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\Desktop\foad paie 2020\PAIE N5\10-REDUCTION GENERALE DE COTISATIONS PATRONALES\"/>
    </mc:Choice>
  </mc:AlternateContent>
  <xr:revisionPtr revIDLastSave="0" documentId="13_ncr:1_{8DE97744-FDD3-41AA-8D3D-5CD8DD3AC02A}" xr6:coauthVersionLast="47" xr6:coauthVersionMax="47" xr10:uidLastSave="{00000000-0000-0000-0000-000000000000}"/>
  <bookViews>
    <workbookView xWindow="49080" yWindow="-660" windowWidth="29040" windowHeight="15840" activeTab="2" xr2:uid="{2B034AD0-ACBB-44AB-89E0-32A4424E7064}"/>
  </bookViews>
  <sheets>
    <sheet name="Décompte des salaires bruts men" sheetId="14" r:id="rId1"/>
    <sheet name="REGUL PROGRES JUSQU'A DEC" sheetId="11" r:id="rId2"/>
    <sheet name="REGUL  ANNUELLE  DEC " sheetId="15" r:id="rId3"/>
    <sheet name="Feuil1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5" l="1"/>
  <c r="J16" i="15"/>
  <c r="I16" i="15"/>
  <c r="H16" i="15"/>
  <c r="J14" i="15"/>
  <c r="J6" i="15"/>
  <c r="J7" i="15"/>
  <c r="J8" i="15"/>
  <c r="J9" i="15"/>
  <c r="J10" i="15"/>
  <c r="J11" i="15"/>
  <c r="J12" i="15"/>
  <c r="J13" i="15"/>
  <c r="J5" i="15"/>
  <c r="H5" i="15"/>
  <c r="H6" i="15"/>
  <c r="H7" i="15"/>
  <c r="H8" i="15"/>
  <c r="H9" i="15"/>
  <c r="H10" i="15"/>
  <c r="H11" i="15"/>
  <c r="H12" i="15"/>
  <c r="H13" i="15"/>
  <c r="H14" i="15"/>
  <c r="H15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G5" i="15"/>
  <c r="G6" i="15" s="1"/>
  <c r="F5" i="15"/>
  <c r="D5" i="15"/>
  <c r="E5" i="15" s="1"/>
  <c r="E6" i="15" s="1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J17" i="11"/>
  <c r="H6" i="11"/>
  <c r="H7" i="11"/>
  <c r="H8" i="11"/>
  <c r="H9" i="11"/>
  <c r="H10" i="11"/>
  <c r="H11" i="11"/>
  <c r="H12" i="11"/>
  <c r="H13" i="11"/>
  <c r="H14" i="11"/>
  <c r="H15" i="11"/>
  <c r="H16" i="11"/>
  <c r="H5" i="11"/>
  <c r="F6" i="11"/>
  <c r="F7" i="11"/>
  <c r="F8" i="11"/>
  <c r="F9" i="11"/>
  <c r="F10" i="11"/>
  <c r="F11" i="11"/>
  <c r="F12" i="11"/>
  <c r="F13" i="11"/>
  <c r="F14" i="11"/>
  <c r="F15" i="11"/>
  <c r="F16" i="11"/>
  <c r="F5" i="11"/>
  <c r="D6" i="11"/>
  <c r="D7" i="11"/>
  <c r="D8" i="11"/>
  <c r="D9" i="11"/>
  <c r="D10" i="11"/>
  <c r="D11" i="11"/>
  <c r="D12" i="11"/>
  <c r="D13" i="11"/>
  <c r="D14" i="11"/>
  <c r="D15" i="11"/>
  <c r="D16" i="11"/>
  <c r="D5" i="11"/>
  <c r="L6" i="14"/>
  <c r="L8" i="14"/>
  <c r="L10" i="14"/>
  <c r="L11" i="14"/>
  <c r="L12" i="14"/>
  <c r="L13" i="14"/>
  <c r="L14" i="14"/>
  <c r="L15" i="14"/>
  <c r="L16" i="14"/>
  <c r="L17" i="14"/>
  <c r="K9" i="14"/>
  <c r="L9" i="14" s="1"/>
  <c r="K8" i="14"/>
  <c r="J7" i="14"/>
  <c r="L7" i="14" s="1"/>
  <c r="F6" i="14"/>
  <c r="F10" i="14"/>
  <c r="F11" i="14"/>
  <c r="F12" i="14"/>
  <c r="F13" i="14"/>
  <c r="F14" i="14"/>
  <c r="F15" i="14"/>
  <c r="F16" i="14"/>
  <c r="F17" i="14"/>
  <c r="E7" i="14"/>
  <c r="F7" i="14" s="1"/>
  <c r="D9" i="14"/>
  <c r="F9" i="14" s="1"/>
  <c r="D8" i="14"/>
  <c r="F8" i="14" s="1"/>
  <c r="G7" i="15" l="1"/>
  <c r="L5" i="15" l="1"/>
  <c r="M5" i="15" s="1"/>
  <c r="G8" i="15"/>
  <c r="G5" i="11"/>
  <c r="L6" i="15" l="1"/>
  <c r="M6" i="15" s="1"/>
  <c r="L7" i="15"/>
  <c r="M7" i="15" s="1"/>
  <c r="G9" i="15"/>
  <c r="G6" i="11"/>
  <c r="G7" i="11" s="1"/>
  <c r="E5" i="11"/>
  <c r="L8" i="15" l="1"/>
  <c r="M8" i="15"/>
  <c r="G10" i="15"/>
  <c r="E6" i="11"/>
  <c r="I6" i="11" s="1"/>
  <c r="I5" i="11"/>
  <c r="J5" i="11" s="1"/>
  <c r="L5" i="11" s="1"/>
  <c r="E7" i="11"/>
  <c r="E8" i="11" s="1"/>
  <c r="E9" i="11" s="1"/>
  <c r="E10" i="11" s="1"/>
  <c r="E11" i="11" s="1"/>
  <c r="E12" i="11" s="1"/>
  <c r="E13" i="11" s="1"/>
  <c r="G8" i="11"/>
  <c r="L9" i="15" l="1"/>
  <c r="M9" i="15" s="1"/>
  <c r="G11" i="15"/>
  <c r="J6" i="11"/>
  <c r="E14" i="11"/>
  <c r="E15" i="11" s="1"/>
  <c r="E16" i="11" s="1"/>
  <c r="M5" i="11"/>
  <c r="I7" i="11"/>
  <c r="G9" i="11"/>
  <c r="I8" i="11"/>
  <c r="L10" i="15" l="1"/>
  <c r="M10" i="15"/>
  <c r="G12" i="15"/>
  <c r="L6" i="11"/>
  <c r="M6" i="11" s="1"/>
  <c r="J7" i="11"/>
  <c r="J8" i="11"/>
  <c r="L8" i="11" s="1"/>
  <c r="I9" i="11"/>
  <c r="G10" i="11"/>
  <c r="G13" i="15" l="1"/>
  <c r="L11" i="15"/>
  <c r="M11" i="15" s="1"/>
  <c r="L7" i="11"/>
  <c r="M7" i="11" s="1"/>
  <c r="J9" i="11"/>
  <c r="L9" i="11" s="1"/>
  <c r="M8" i="11"/>
  <c r="I10" i="11"/>
  <c r="G11" i="11"/>
  <c r="L12" i="15" l="1"/>
  <c r="M12" i="15"/>
  <c r="G14" i="15"/>
  <c r="M9" i="11"/>
  <c r="J10" i="11"/>
  <c r="L10" i="11" s="1"/>
  <c r="I11" i="11"/>
  <c r="G12" i="11"/>
  <c r="L13" i="15" l="1"/>
  <c r="M13" i="15" s="1"/>
  <c r="G15" i="15"/>
  <c r="M10" i="11"/>
  <c r="J11" i="11"/>
  <c r="L11" i="11" s="1"/>
  <c r="I12" i="11"/>
  <c r="G13" i="11"/>
  <c r="I13" i="11" s="1"/>
  <c r="L14" i="15" l="1"/>
  <c r="M14" i="15"/>
  <c r="G16" i="15"/>
  <c r="M11" i="11"/>
  <c r="J12" i="11"/>
  <c r="L12" i="11" s="1"/>
  <c r="G14" i="11"/>
  <c r="L15" i="15" l="1"/>
  <c r="M15" i="15" s="1"/>
  <c r="M12" i="11"/>
  <c r="J13" i="11"/>
  <c r="L13" i="11" s="1"/>
  <c r="I14" i="11"/>
  <c r="G15" i="11"/>
  <c r="L16" i="15" l="1"/>
  <c r="M16" i="15"/>
  <c r="J17" i="15"/>
  <c r="J14" i="11"/>
  <c r="L14" i="11" s="1"/>
  <c r="M13" i="11"/>
  <c r="G16" i="11"/>
  <c r="I15" i="11"/>
  <c r="L17" i="15" l="1"/>
  <c r="M17" i="15" s="1"/>
  <c r="M14" i="11"/>
  <c r="J15" i="11"/>
  <c r="L15" i="11" s="1"/>
  <c r="I16" i="11"/>
  <c r="M15" i="11" l="1"/>
  <c r="J16" i="11"/>
  <c r="L16" i="11" s="1"/>
  <c r="M16" i="11" l="1"/>
  <c r="L17" i="11" l="1"/>
  <c r="M17" i="11" s="1"/>
</calcChain>
</file>

<file path=xl/sharedStrings.xml><?xml version="1.0" encoding="utf-8"?>
<sst xmlns="http://schemas.openxmlformats.org/spreadsheetml/2006/main" count="81" uniqueCount="34">
  <si>
    <t>cumul</t>
  </si>
  <si>
    <t>SMIC cumulé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</si>
  <si>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</si>
  <si>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</si>
  <si>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</si>
  <si>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</si>
  <si>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</si>
  <si>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</si>
  <si>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</si>
  <si>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</si>
  <si>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</si>
  <si>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novembre</t>
  </si>
  <si>
    <t>décembre</t>
  </si>
  <si>
    <t>COEFF</t>
  </si>
  <si>
    <t>Salaires</t>
  </si>
  <si>
    <t>Réduction
 cumulée</t>
  </si>
  <si>
    <t>coef 
arrondi</t>
  </si>
  <si>
    <t>Réduction 
du mois</t>
  </si>
  <si>
    <t>octobre</t>
  </si>
  <si>
    <t>DECLARATION
RETRAITE</t>
  </si>
  <si>
    <t>DECLARATION
URSSAF</t>
  </si>
  <si>
    <t>SMIC</t>
  </si>
  <si>
    <t xml:space="preserve">Calcul de l'allègement </t>
  </si>
  <si>
    <t>primes</t>
  </si>
  <si>
    <t>heures sup 125%</t>
  </si>
  <si>
    <t>absences</t>
  </si>
  <si>
    <t>Salaires
de base</t>
  </si>
  <si>
    <t>BRUTS</t>
  </si>
  <si>
    <t>SMIC hors, HS
 et absences</t>
  </si>
  <si>
    <t>SMIC si 
absence</t>
  </si>
  <si>
    <t>SMIC SI HS</t>
  </si>
  <si>
    <t>SMIC A UTILISER</t>
  </si>
  <si>
    <t>SALAIRES MENSUELS ET CUMULS</t>
  </si>
  <si>
    <t>Réduction cumulée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</si>
</sst>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3" xfId="0" applyFont="1" applyBorder="1" applyAlignment="1">
      <alignment vertical="center"/>
    </xf>
    <xf numFmtId="44" fontId="4" fillId="0" borderId="4" xfId="2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4" fillId="0" borderId="7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Continuous" vertical="center"/>
    </xf>
    <xf numFmtId="44" fontId="5" fillId="0" borderId="5" xfId="2" applyFont="1" applyBorder="1" applyAlignment="1">
      <alignment horizontal="center" vertical="center"/>
    </xf>
    <xf numFmtId="44" fontId="5" fillId="0" borderId="12" xfId="2" applyFont="1" applyBorder="1" applyAlignment="1">
      <alignment horizontal="center" vertical="center"/>
    </xf>
    <xf numFmtId="44" fontId="3" fillId="0" borderId="5" xfId="0" applyNumberFormat="1" applyFont="1" applyBorder="1" applyAlignment="1">
      <alignment vertical="center"/>
    </xf>
    <xf numFmtId="44" fontId="3" fillId="0" borderId="12" xfId="0" applyNumberFormat="1" applyFont="1" applyBorder="1" applyAlignment="1">
      <alignment vertical="center"/>
    </xf>
    <xf numFmtId="0" fontId="8" fillId="0" borderId="0" xfId="0" applyFont="1"/>
    <xf numFmtId="0" fontId="7" fillId="2" borderId="0" xfId="0" applyFont="1" applyFill="1"/>
    <xf numFmtId="10" fontId="9" fillId="2" borderId="0" xfId="0" applyNumberFormat="1" applyFont="1" applyFill="1" applyAlignment="1">
      <alignment horizontal="center"/>
    </xf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4" fontId="4" fillId="0" borderId="4" xfId="2" applyFont="1" applyBorder="1" applyAlignment="1">
      <alignment horizontal="center"/>
    </xf>
    <xf numFmtId="44" fontId="4" fillId="0" borderId="4" xfId="0" applyNumberFormat="1" applyFont="1" applyBorder="1"/>
    <xf numFmtId="44" fontId="4" fillId="3" borderId="5" xfId="0" applyNumberFormat="1" applyFont="1" applyFill="1" applyBorder="1"/>
    <xf numFmtId="44" fontId="5" fillId="2" borderId="3" xfId="0" applyNumberFormat="1" applyFont="1" applyFill="1" applyBorder="1"/>
    <xf numFmtId="44" fontId="5" fillId="4" borderId="5" xfId="0" applyNumberFormat="1" applyFont="1" applyFill="1" applyBorder="1"/>
    <xf numFmtId="44" fontId="4" fillId="0" borderId="5" xfId="0" applyNumberFormat="1" applyFont="1" applyBorder="1"/>
    <xf numFmtId="164" fontId="0" fillId="0" borderId="0" xfId="1" applyNumberFormat="1" applyFont="1" applyAlignment="1"/>
    <xf numFmtId="0" fontId="4" fillId="0" borderId="6" xfId="0" applyFont="1" applyBorder="1"/>
    <xf numFmtId="44" fontId="4" fillId="0" borderId="7" xfId="2" applyFont="1" applyBorder="1" applyAlignment="1">
      <alignment horizontal="center"/>
    </xf>
    <xf numFmtId="44" fontId="0" fillId="0" borderId="0" xfId="0" applyNumberFormat="1"/>
    <xf numFmtId="44" fontId="10" fillId="0" borderId="0" xfId="0" applyNumberFormat="1" applyFont="1"/>
    <xf numFmtId="0" fontId="11" fillId="0" borderId="4" xfId="0" applyFont="1" applyBorder="1" applyAlignment="1">
      <alignment horizontal="center" readingOrder="1"/>
    </xf>
    <xf numFmtId="0" fontId="11" fillId="0" borderId="7" xfId="0" applyFont="1" applyBorder="1" applyAlignment="1">
      <alignment horizontal="center" readingOrder="1"/>
    </xf>
    <xf numFmtId="0" fontId="6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4" fontId="5" fillId="0" borderId="4" xfId="0" applyNumberFormat="1" applyFont="1" applyBorder="1"/>
    <xf numFmtId="44" fontId="4" fillId="5" borderId="4" xfId="2" applyFont="1" applyFill="1" applyBorder="1" applyAlignment="1">
      <alignment horizontal="center"/>
    </xf>
    <xf numFmtId="44" fontId="4" fillId="5" borderId="7" xfId="2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A0AC-918F-42FD-8A8D-82AB1CA7F20A}">
  <sheetPr>
    <tabColor rgb="FFFFFF00"/>
  </sheetPr>
  <dimension ref="A2:L17"/>
  <sheetViews>
    <sheetView zoomScaleNormal="100" workbookViewId="0">
      <selection activeCell="L9" sqref="L9"/>
    </sheetView>
  </sheetViews>
  <sheetFormatPr baseColWidth="10" defaultRowHeight="15" x14ac:dyDescent="0.25"/>
  <cols>
    <col min="1" max="1" width="12.5703125" style="7" bestFit="1" customWidth="1"/>
    <col min="2" max="2" width="14.42578125" style="7" bestFit="1" customWidth="1"/>
    <col min="3" max="3" width="15.42578125" style="7" bestFit="1" customWidth="1"/>
    <col min="4" max="4" width="21.5703125" style="7" bestFit="1" customWidth="1"/>
    <col min="5" max="5" width="14.140625" style="7" bestFit="1" customWidth="1"/>
    <col min="6" max="6" width="18" style="7" customWidth="1"/>
    <col min="7" max="8" width="11.42578125" style="7"/>
    <col min="9" max="9" width="19.42578125" style="7" customWidth="1"/>
    <col min="10" max="10" width="12.140625" style="7" bestFit="1" customWidth="1"/>
    <col min="11" max="11" width="14.140625" style="7" bestFit="1" customWidth="1"/>
    <col min="12" max="12" width="25" style="7" customWidth="1"/>
    <col min="13" max="16384" width="11.42578125" style="7"/>
  </cols>
  <sheetData>
    <row r="2" spans="1:12" ht="15.75" thickBot="1" x14ac:dyDescent="0.3"/>
    <row r="3" spans="1:12" ht="24.75" thickTop="1" thickBot="1" x14ac:dyDescent="0.3">
      <c r="A3" s="13" t="s">
        <v>32</v>
      </c>
      <c r="B3" s="14"/>
      <c r="C3" s="14"/>
      <c r="D3" s="14"/>
      <c r="E3" s="14"/>
      <c r="F3" s="15"/>
      <c r="H3" s="13" t="s">
        <v>32</v>
      </c>
      <c r="I3" s="14"/>
      <c r="J3" s="14"/>
      <c r="K3" s="14"/>
      <c r="L3" s="15"/>
    </row>
    <row r="4" spans="1:12" ht="16.5" thickTop="1" thickBot="1" x14ac:dyDescent="0.3"/>
    <row r="5" spans="1:12" ht="37.5" x14ac:dyDescent="0.25">
      <c r="A5" s="8"/>
      <c r="B5" s="9" t="s">
        <v>26</v>
      </c>
      <c r="C5" s="10" t="s">
        <v>23</v>
      </c>
      <c r="D5" s="10" t="s">
        <v>24</v>
      </c>
      <c r="E5" s="9" t="s">
        <v>25</v>
      </c>
      <c r="F5" s="11" t="s">
        <v>27</v>
      </c>
      <c r="H5" s="8"/>
      <c r="I5" s="9" t="s">
        <v>28</v>
      </c>
      <c r="J5" s="9" t="s">
        <v>29</v>
      </c>
      <c r="K5" s="9" t="s">
        <v>30</v>
      </c>
      <c r="L5" s="11" t="s">
        <v>31</v>
      </c>
    </row>
    <row r="6" spans="1:12" ht="32.25" customHeight="1" x14ac:dyDescent="0.25">
      <c r="A6" s="1" t="s">
        <v>2</v>
      </c>
      <c r="B6" s="2">
        <v>2000</v>
      </c>
      <c r="C6" s="2">
        <v>300</v>
      </c>
      <c r="D6" s="2"/>
      <c r="E6" s="3"/>
      <c r="F6" s="18">
        <f t="shared" ref="F6:F17" si="0">SUM(B6:E6)</f>
        <v>2300</v>
      </c>
      <c r="H6" s="1" t="s">
        <v>2</v>
      </c>
      <c r="I6" s="2">
        <v>1823.03</v>
      </c>
      <c r="J6" s="2"/>
      <c r="K6" s="2"/>
      <c r="L6" s="16">
        <f t="shared" ref="L6:L17" si="1">SUM(I6:K6)</f>
        <v>1823.03</v>
      </c>
    </row>
    <row r="7" spans="1:12" ht="32.25" customHeight="1" x14ac:dyDescent="0.25">
      <c r="A7" s="1" t="s">
        <v>3</v>
      </c>
      <c r="B7" s="2">
        <v>2000</v>
      </c>
      <c r="C7" s="2"/>
      <c r="D7" s="2"/>
      <c r="E7" s="4">
        <f>-B7/140*70</f>
        <v>-1000</v>
      </c>
      <c r="F7" s="18">
        <f t="shared" si="0"/>
        <v>1000</v>
      </c>
      <c r="H7" s="1" t="s">
        <v>3</v>
      </c>
      <c r="I7" s="2"/>
      <c r="J7" s="2">
        <f>I6*1000/2000</f>
        <v>911.51499999999999</v>
      </c>
      <c r="K7" s="2"/>
      <c r="L7" s="16">
        <f t="shared" si="1"/>
        <v>911.51499999999999</v>
      </c>
    </row>
    <row r="8" spans="1:12" ht="32.25" customHeight="1" x14ac:dyDescent="0.25">
      <c r="A8" s="1" t="s">
        <v>4</v>
      </c>
      <c r="B8" s="2">
        <v>2000</v>
      </c>
      <c r="C8" s="2"/>
      <c r="D8" s="2">
        <f>B8/151.67*1.25*12</f>
        <v>197.79785059669021</v>
      </c>
      <c r="E8" s="3"/>
      <c r="F8" s="18">
        <f t="shared" si="0"/>
        <v>2197.7978505966903</v>
      </c>
      <c r="H8" s="1" t="s">
        <v>4</v>
      </c>
      <c r="I8" s="2"/>
      <c r="J8" s="2"/>
      <c r="K8" s="2">
        <f>12.02*163.57</f>
        <v>1966.1113999999998</v>
      </c>
      <c r="L8" s="16">
        <f t="shared" si="1"/>
        <v>1966.1113999999998</v>
      </c>
    </row>
    <row r="9" spans="1:12" ht="32.25" customHeight="1" x14ac:dyDescent="0.25">
      <c r="A9" s="1" t="s">
        <v>5</v>
      </c>
      <c r="B9" s="2">
        <v>2000</v>
      </c>
      <c r="C9" s="2"/>
      <c r="D9" s="2">
        <f>B9/151.67*1.25*20</f>
        <v>329.66308432781705</v>
      </c>
      <c r="E9" s="3"/>
      <c r="F9" s="18">
        <f t="shared" si="0"/>
        <v>2329.6630843278172</v>
      </c>
      <c r="H9" s="1" t="s">
        <v>5</v>
      </c>
      <c r="I9" s="2"/>
      <c r="J9" s="2"/>
      <c r="K9" s="2">
        <f>12.02*171.57</f>
        <v>2062.2713999999996</v>
      </c>
      <c r="L9" s="16">
        <f t="shared" si="1"/>
        <v>2062.2713999999996</v>
      </c>
    </row>
    <row r="10" spans="1:12" ht="32.25" customHeight="1" x14ac:dyDescent="0.25">
      <c r="A10" s="1" t="s">
        <v>6</v>
      </c>
      <c r="B10" s="2">
        <v>2000</v>
      </c>
      <c r="C10" s="2"/>
      <c r="D10" s="2"/>
      <c r="E10" s="3"/>
      <c r="F10" s="18">
        <f t="shared" si="0"/>
        <v>2000</v>
      </c>
      <c r="H10" s="1" t="s">
        <v>6</v>
      </c>
      <c r="I10" s="2">
        <v>1823.03</v>
      </c>
      <c r="J10" s="2"/>
      <c r="K10" s="2"/>
      <c r="L10" s="16">
        <f t="shared" si="1"/>
        <v>1823.03</v>
      </c>
    </row>
    <row r="11" spans="1:12" ht="32.25" customHeight="1" x14ac:dyDescent="0.25">
      <c r="A11" s="1" t="s">
        <v>7</v>
      </c>
      <c r="B11" s="2">
        <v>2000</v>
      </c>
      <c r="C11" s="2">
        <v>1000</v>
      </c>
      <c r="D11" s="2"/>
      <c r="E11" s="3"/>
      <c r="F11" s="18">
        <f t="shared" si="0"/>
        <v>3000</v>
      </c>
      <c r="H11" s="1" t="s">
        <v>7</v>
      </c>
      <c r="I11" s="2">
        <v>1823.03</v>
      </c>
      <c r="J11" s="2"/>
      <c r="K11" s="2"/>
      <c r="L11" s="16">
        <f t="shared" si="1"/>
        <v>1823.03</v>
      </c>
    </row>
    <row r="12" spans="1:12" ht="32.25" customHeight="1" x14ac:dyDescent="0.25">
      <c r="A12" s="1" t="s">
        <v>8</v>
      </c>
      <c r="B12" s="2">
        <v>2000</v>
      </c>
      <c r="C12" s="2"/>
      <c r="D12" s="2"/>
      <c r="E12" s="3"/>
      <c r="F12" s="18">
        <f t="shared" si="0"/>
        <v>2000</v>
      </c>
      <c r="H12" s="1" t="s">
        <v>8</v>
      </c>
      <c r="I12" s="2">
        <v>1823.03</v>
      </c>
      <c r="J12" s="2"/>
      <c r="K12" s="2"/>
      <c r="L12" s="16">
        <f t="shared" si="1"/>
        <v>1823.03</v>
      </c>
    </row>
    <row r="13" spans="1:12" ht="32.25" customHeight="1" x14ac:dyDescent="0.25">
      <c r="A13" s="1" t="s">
        <v>9</v>
      </c>
      <c r="B13" s="2">
        <v>2000</v>
      </c>
      <c r="C13" s="2"/>
      <c r="D13" s="2"/>
      <c r="E13" s="3"/>
      <c r="F13" s="18">
        <f t="shared" si="0"/>
        <v>2000</v>
      </c>
      <c r="H13" s="1" t="s">
        <v>9</v>
      </c>
      <c r="I13" s="2">
        <v>1823.03</v>
      </c>
      <c r="J13" s="2"/>
      <c r="K13" s="2"/>
      <c r="L13" s="16">
        <f t="shared" si="1"/>
        <v>1823.03</v>
      </c>
    </row>
    <row r="14" spans="1:12" ht="32.25" customHeight="1" x14ac:dyDescent="0.25">
      <c r="A14" s="1" t="s">
        <v>10</v>
      </c>
      <c r="B14" s="2">
        <v>2000</v>
      </c>
      <c r="C14" s="2"/>
      <c r="D14" s="2"/>
      <c r="E14" s="3"/>
      <c r="F14" s="18">
        <f t="shared" si="0"/>
        <v>2000</v>
      </c>
      <c r="H14" s="1" t="s">
        <v>10</v>
      </c>
      <c r="I14" s="2">
        <v>1823.03</v>
      </c>
      <c r="J14" s="2"/>
      <c r="K14" s="2"/>
      <c r="L14" s="16">
        <f t="shared" si="1"/>
        <v>1823.03</v>
      </c>
    </row>
    <row r="15" spans="1:12" ht="32.25" customHeight="1" x14ac:dyDescent="0.25">
      <c r="A15" s="1" t="s">
        <v>18</v>
      </c>
      <c r="B15" s="2">
        <v>2000</v>
      </c>
      <c r="C15" s="2"/>
      <c r="D15" s="2"/>
      <c r="E15" s="3"/>
      <c r="F15" s="18">
        <f t="shared" si="0"/>
        <v>2000</v>
      </c>
      <c r="H15" s="1" t="s">
        <v>18</v>
      </c>
      <c r="I15" s="2">
        <v>1823.03</v>
      </c>
      <c r="J15" s="2"/>
      <c r="K15" s="2"/>
      <c r="L15" s="16">
        <f t="shared" si="1"/>
        <v>1823.03</v>
      </c>
    </row>
    <row r="16" spans="1:12" ht="32.25" customHeight="1" x14ac:dyDescent="0.25">
      <c r="A16" s="1" t="s">
        <v>11</v>
      </c>
      <c r="B16" s="2">
        <v>2000</v>
      </c>
      <c r="C16" s="2"/>
      <c r="D16" s="2"/>
      <c r="E16" s="3"/>
      <c r="F16" s="18">
        <f t="shared" si="0"/>
        <v>2000</v>
      </c>
      <c r="H16" s="1" t="s">
        <v>11</v>
      </c>
      <c r="I16" s="2">
        <v>1823.03</v>
      </c>
      <c r="J16" s="2"/>
      <c r="K16" s="2"/>
      <c r="L16" s="16">
        <f t="shared" si="1"/>
        <v>1823.03</v>
      </c>
    </row>
    <row r="17" spans="1:12" ht="32.25" customHeight="1" thickBot="1" x14ac:dyDescent="0.3">
      <c r="A17" s="5" t="s">
        <v>12</v>
      </c>
      <c r="B17" s="6">
        <v>2000</v>
      </c>
      <c r="C17" s="6">
        <v>1800</v>
      </c>
      <c r="D17" s="6"/>
      <c r="E17" s="12"/>
      <c r="F17" s="19">
        <f t="shared" si="0"/>
        <v>3800</v>
      </c>
      <c r="H17" s="5" t="s">
        <v>12</v>
      </c>
      <c r="I17" s="6">
        <v>1823.03</v>
      </c>
      <c r="J17" s="6"/>
      <c r="K17" s="6"/>
      <c r="L17" s="17">
        <f t="shared" si="1"/>
        <v>1823.03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CB4-E28A-4DD7-97B2-5928D45568AB}">
  <sheetPr>
    <tabColor rgb="FFFFFF00"/>
  </sheetPr>
  <dimension ref="C1:M17"/>
  <sheetViews>
    <sheetView zoomScaleNormal="100" workbookViewId="0">
      <selection activeCell="J18" sqref="J18"/>
    </sheetView>
  </sheetViews>
  <sheetFormatPr baseColWidth="10" defaultRowHeight="15" x14ac:dyDescent="0.25"/>
  <cols>
    <col min="1" max="1" width="11.7109375" customWidth="1"/>
    <col min="2" max="2" width="20.85546875" customWidth="1"/>
    <col min="3" max="3" width="12.5703125" bestFit="1" customWidth="1"/>
    <col min="4" max="4" width="14.42578125" bestFit="1" customWidth="1"/>
    <col min="5" max="5" width="15.42578125" bestFit="1" customWidth="1"/>
    <col min="6" max="6" width="14.140625" bestFit="1" customWidth="1"/>
    <col min="7" max="7" width="17.5703125" bestFit="1" customWidth="1"/>
    <col min="8" max="8" width="18.85546875" customWidth="1"/>
    <col min="9" max="9" width="21.85546875" bestFit="1" customWidth="1"/>
    <col min="10" max="10" width="19" bestFit="1" customWidth="1"/>
    <col min="11" max="11" width="3.28515625" customWidth="1"/>
    <col min="12" max="12" width="23.5703125" customWidth="1"/>
    <col min="13" max="13" width="24" customWidth="1"/>
    <col min="14" max="14" width="8" customWidth="1"/>
    <col min="15" max="15" width="13.85546875" customWidth="1"/>
    <col min="16" max="19" width="7.42578125" customWidth="1"/>
    <col min="20" max="20" width="4.85546875" customWidth="1"/>
    <col min="24" max="24" width="12.42578125" customWidth="1"/>
  </cols>
  <sheetData>
    <row r="1" spans="3:13" ht="23.25" x14ac:dyDescent="0.35">
      <c r="C1" s="20"/>
      <c r="G1" s="21" t="s">
        <v>13</v>
      </c>
      <c r="H1" s="21">
        <v>0.3821</v>
      </c>
    </row>
    <row r="2" spans="3:13" ht="15.75" thickBot="1" x14ac:dyDescent="0.3"/>
    <row r="3" spans="3:13" ht="32.25" customHeight="1" thickBot="1" x14ac:dyDescent="0.45">
      <c r="C3" s="45" t="s">
        <v>22</v>
      </c>
      <c r="D3" s="46"/>
      <c r="E3" s="46"/>
      <c r="F3" s="46"/>
      <c r="G3" s="46"/>
      <c r="H3" s="46"/>
      <c r="I3" s="46"/>
      <c r="J3" s="47"/>
      <c r="L3" s="22">
        <v>6.0100000000000001E-2</v>
      </c>
    </row>
    <row r="4" spans="3:13" ht="37.5" x14ac:dyDescent="0.3">
      <c r="C4" s="23"/>
      <c r="D4" s="24" t="s">
        <v>14</v>
      </c>
      <c r="E4" s="24" t="s">
        <v>0</v>
      </c>
      <c r="F4" s="24" t="s">
        <v>21</v>
      </c>
      <c r="G4" s="25" t="s">
        <v>1</v>
      </c>
      <c r="H4" s="26" t="s">
        <v>16</v>
      </c>
      <c r="I4" s="27" t="s">
        <v>15</v>
      </c>
      <c r="J4" s="28" t="s">
        <v>17</v>
      </c>
      <c r="K4" s="29"/>
      <c r="L4" s="30" t="s">
        <v>19</v>
      </c>
      <c r="M4" s="31" t="s">
        <v>20</v>
      </c>
    </row>
    <row r="5" spans="3:13" ht="32.25" customHeight="1" x14ac:dyDescent="0.3">
      <c r="C5" s="23" t="s">
        <v>2</v>
      </c>
      <c r="D5" s="32">
        <f>+'Décompte des salaires bruts men'!F6</f>
        <v>2300</v>
      </c>
      <c r="E5" s="32">
        <f>D5</f>
        <v>2300</v>
      </c>
      <c r="F5" s="32">
        <f>+'Décompte des salaires bruts men'!L6</f>
        <v>1823.03</v>
      </c>
      <c r="G5" s="32">
        <f>+F5</f>
        <v>1823.03</v>
      </c>
      <c r="H5" s="43">
        <f>ROUND(0.02+($H$1*(0.5*((3*G5/E5)-1))^1.75),4)</f>
        <v>0.21909999999999999</v>
      </c>
      <c r="I5" s="33">
        <f>H5*E5</f>
        <v>503.92999999999995</v>
      </c>
      <c r="J5" s="34">
        <f>I5</f>
        <v>503.92999999999995</v>
      </c>
      <c r="L5" s="35">
        <f>J5/31.95*6.01</f>
        <v>94.792466353677611</v>
      </c>
      <c r="M5" s="36">
        <f>J5-L5</f>
        <v>409.13753364632237</v>
      </c>
    </row>
    <row r="6" spans="3:13" ht="32.25" customHeight="1" x14ac:dyDescent="0.3">
      <c r="C6" s="23" t="s">
        <v>3</v>
      </c>
      <c r="D6" s="32">
        <f>+'Décompte des salaires bruts men'!F7</f>
        <v>1000</v>
      </c>
      <c r="E6" s="32">
        <f>E5+D6</f>
        <v>3300</v>
      </c>
      <c r="F6" s="32">
        <f>+'Décompte des salaires bruts men'!L7</f>
        <v>911.51499999999999</v>
      </c>
      <c r="G6" s="32">
        <f>G5+F6</f>
        <v>2734.5450000000001</v>
      </c>
      <c r="H6" s="43">
        <f t="shared" ref="H6:H16" si="0">ROUND(0.02+($H$1*(0.5*((3*G6/E6)-1))^1.75),4)</f>
        <v>0.2472</v>
      </c>
      <c r="I6" s="33">
        <f t="shared" ref="I6:I16" si="1">H6*E6</f>
        <v>815.76</v>
      </c>
      <c r="J6" s="34">
        <f>I6-I5</f>
        <v>311.83000000000004</v>
      </c>
      <c r="L6" s="35">
        <f t="shared" ref="L6:L17" si="2">J6/31.95*6.01</f>
        <v>58.657223787167453</v>
      </c>
      <c r="M6" s="36">
        <f>J6-L6</f>
        <v>253.17277621283259</v>
      </c>
    </row>
    <row r="7" spans="3:13" ht="32.25" customHeight="1" x14ac:dyDescent="0.3">
      <c r="C7" s="23" t="s">
        <v>4</v>
      </c>
      <c r="D7" s="32">
        <f>+'Décompte des salaires bruts men'!F8</f>
        <v>2197.7978505966903</v>
      </c>
      <c r="E7" s="32">
        <f t="shared" ref="E7:E16" si="3">E6+D7</f>
        <v>5497.7978505966903</v>
      </c>
      <c r="F7" s="32">
        <f>+'Décompte des salaires bruts men'!L8</f>
        <v>1966.1113999999998</v>
      </c>
      <c r="G7" s="32">
        <f t="shared" ref="G7:G16" si="4">G6+F7</f>
        <v>4700.6563999999998</v>
      </c>
      <c r="H7" s="43">
        <f t="shared" si="0"/>
        <v>0.26879999999999998</v>
      </c>
      <c r="I7" s="33">
        <f t="shared" si="1"/>
        <v>1477.8080622403902</v>
      </c>
      <c r="J7" s="34">
        <f t="shared" ref="J7:J9" si="5">I7-I6</f>
        <v>662.04806224039021</v>
      </c>
      <c r="L7" s="35">
        <f t="shared" si="2"/>
        <v>124.53548839013288</v>
      </c>
      <c r="M7" s="36">
        <f t="shared" ref="M7:M17" si="6">J7-L7</f>
        <v>537.51257385025735</v>
      </c>
    </row>
    <row r="8" spans="3:13" ht="32.25" customHeight="1" x14ac:dyDescent="0.3">
      <c r="C8" s="23" t="s">
        <v>5</v>
      </c>
      <c r="D8" s="32">
        <f>+'Décompte des salaires bruts men'!F9</f>
        <v>2329.6630843278172</v>
      </c>
      <c r="E8" s="32">
        <f t="shared" si="3"/>
        <v>7827.4609349245075</v>
      </c>
      <c r="F8" s="32">
        <f>+'Décompte des salaires bruts men'!L9</f>
        <v>2062.2713999999996</v>
      </c>
      <c r="G8" s="32">
        <f t="shared" si="4"/>
        <v>6762.9277999999995</v>
      </c>
      <c r="H8" s="43">
        <f t="shared" si="0"/>
        <v>0.27629999999999999</v>
      </c>
      <c r="I8" s="33">
        <f t="shared" si="1"/>
        <v>2162.7274563196415</v>
      </c>
      <c r="J8" s="34">
        <f t="shared" si="5"/>
        <v>684.91939407925133</v>
      </c>
      <c r="L8" s="35">
        <f t="shared" si="2"/>
        <v>128.8377326577872</v>
      </c>
      <c r="M8" s="36">
        <f t="shared" si="6"/>
        <v>556.0816614214641</v>
      </c>
    </row>
    <row r="9" spans="3:13" ht="32.25" customHeight="1" x14ac:dyDescent="0.3">
      <c r="C9" s="23" t="s">
        <v>6</v>
      </c>
      <c r="D9" s="32">
        <f>+'Décompte des salaires bruts men'!F10</f>
        <v>2000</v>
      </c>
      <c r="E9" s="32">
        <f t="shared" si="3"/>
        <v>9827.4609349245075</v>
      </c>
      <c r="F9" s="32">
        <f>+'Décompte des salaires bruts men'!L10</f>
        <v>1823.03</v>
      </c>
      <c r="G9" s="32">
        <f t="shared" si="4"/>
        <v>8585.9578000000001</v>
      </c>
      <c r="H9" s="43">
        <f t="shared" si="0"/>
        <v>0.28449999999999998</v>
      </c>
      <c r="I9" s="33">
        <f t="shared" si="1"/>
        <v>2795.912635986022</v>
      </c>
      <c r="J9" s="34">
        <f t="shared" si="5"/>
        <v>633.18517966638046</v>
      </c>
      <c r="L9" s="35">
        <f t="shared" si="2"/>
        <v>119.10619498575733</v>
      </c>
      <c r="M9" s="36">
        <f t="shared" si="6"/>
        <v>514.07898468062308</v>
      </c>
    </row>
    <row r="10" spans="3:13" ht="32.25" customHeight="1" x14ac:dyDescent="0.3">
      <c r="C10" s="23" t="s">
        <v>7</v>
      </c>
      <c r="D10" s="32">
        <f>+'Décompte des salaires bruts men'!F11</f>
        <v>3000</v>
      </c>
      <c r="E10" s="32">
        <f t="shared" si="3"/>
        <v>12827.460934924507</v>
      </c>
      <c r="F10" s="32">
        <f>+'Décompte des salaires bruts men'!L11</f>
        <v>1823.03</v>
      </c>
      <c r="G10" s="32">
        <f t="shared" si="4"/>
        <v>10408.987800000001</v>
      </c>
      <c r="H10" s="43">
        <f t="shared" si="0"/>
        <v>0.2336</v>
      </c>
      <c r="I10" s="33">
        <f t="shared" si="1"/>
        <v>2996.494874398365</v>
      </c>
      <c r="J10" s="34">
        <f>I10-I9</f>
        <v>200.58223841234303</v>
      </c>
      <c r="L10" s="35">
        <f t="shared" si="2"/>
        <v>37.730806036249817</v>
      </c>
      <c r="M10" s="36">
        <f t="shared" si="6"/>
        <v>162.85143237609321</v>
      </c>
    </row>
    <row r="11" spans="3:13" ht="32.25" customHeight="1" x14ac:dyDescent="0.3">
      <c r="C11" s="23" t="s">
        <v>8</v>
      </c>
      <c r="D11" s="32">
        <f>+'Décompte des salaires bruts men'!F12</f>
        <v>2000</v>
      </c>
      <c r="E11" s="32">
        <f t="shared" si="3"/>
        <v>14827.460934924507</v>
      </c>
      <c r="F11" s="32">
        <f>+'Décompte des salaires bruts men'!L12</f>
        <v>1823.03</v>
      </c>
      <c r="G11" s="32">
        <f t="shared" si="4"/>
        <v>12232.017800000001</v>
      </c>
      <c r="H11" s="43">
        <f t="shared" si="0"/>
        <v>0.2442</v>
      </c>
      <c r="I11" s="33">
        <f t="shared" si="1"/>
        <v>3620.8659603085648</v>
      </c>
      <c r="J11" s="34">
        <f t="shared" ref="J11:J13" si="7">I11-I10</f>
        <v>624.37108591019978</v>
      </c>
      <c r="L11" s="35">
        <f t="shared" si="2"/>
        <v>117.44820739656653</v>
      </c>
      <c r="M11" s="36">
        <f t="shared" si="6"/>
        <v>506.92287851363324</v>
      </c>
    </row>
    <row r="12" spans="3:13" ht="32.25" customHeight="1" x14ac:dyDescent="0.3">
      <c r="C12" s="23" t="s">
        <v>9</v>
      </c>
      <c r="D12" s="32">
        <f>+'Décompte des salaires bruts men'!F13</f>
        <v>2000</v>
      </c>
      <c r="E12" s="32">
        <f t="shared" si="3"/>
        <v>16827.460934924507</v>
      </c>
      <c r="F12" s="32">
        <f>+'Décompte des salaires bruts men'!L13</f>
        <v>1823.03</v>
      </c>
      <c r="G12" s="32">
        <f t="shared" si="4"/>
        <v>14055.047800000002</v>
      </c>
      <c r="H12" s="43">
        <f t="shared" si="0"/>
        <v>0.2525</v>
      </c>
      <c r="I12" s="33">
        <f t="shared" si="1"/>
        <v>4248.9338860684384</v>
      </c>
      <c r="J12" s="34">
        <f t="shared" si="7"/>
        <v>628.06792575987356</v>
      </c>
      <c r="L12" s="35">
        <f t="shared" si="2"/>
        <v>118.14360669223286</v>
      </c>
      <c r="M12" s="36">
        <f t="shared" si="6"/>
        <v>509.92431906764068</v>
      </c>
    </row>
    <row r="13" spans="3:13" ht="32.25" customHeight="1" x14ac:dyDescent="0.3">
      <c r="C13" s="23" t="s">
        <v>10</v>
      </c>
      <c r="D13" s="32">
        <f>+'Décompte des salaires bruts men'!F14</f>
        <v>2000</v>
      </c>
      <c r="E13" s="32">
        <f t="shared" si="3"/>
        <v>18827.460934924507</v>
      </c>
      <c r="F13" s="32">
        <f>+'Décompte des salaires bruts men'!L14</f>
        <v>1823.03</v>
      </c>
      <c r="G13" s="32">
        <f t="shared" si="4"/>
        <v>15878.077800000003</v>
      </c>
      <c r="H13" s="43">
        <f t="shared" si="0"/>
        <v>0.2591</v>
      </c>
      <c r="I13" s="33">
        <f t="shared" si="1"/>
        <v>4878.19512823894</v>
      </c>
      <c r="J13" s="34">
        <f t="shared" si="7"/>
        <v>629.26124217050165</v>
      </c>
      <c r="L13" s="35">
        <f t="shared" si="2"/>
        <v>118.36807716571877</v>
      </c>
      <c r="M13" s="36">
        <f t="shared" si="6"/>
        <v>510.89316500478287</v>
      </c>
    </row>
    <row r="14" spans="3:13" ht="32.25" customHeight="1" x14ac:dyDescent="0.3">
      <c r="C14" s="23" t="s">
        <v>18</v>
      </c>
      <c r="D14" s="32">
        <f>+'Décompte des salaires bruts men'!F15</f>
        <v>2000</v>
      </c>
      <c r="E14" s="32">
        <f>E13+D14</f>
        <v>20827.460934924507</v>
      </c>
      <c r="F14" s="32">
        <f>+'Décompte des salaires bruts men'!L15</f>
        <v>1823.03</v>
      </c>
      <c r="G14" s="32">
        <f>G13+F14</f>
        <v>17701.107800000002</v>
      </c>
      <c r="H14" s="43">
        <f t="shared" si="0"/>
        <v>0.26450000000000001</v>
      </c>
      <c r="I14" s="33">
        <f t="shared" si="1"/>
        <v>5508.8634172875327</v>
      </c>
      <c r="J14" s="37">
        <f>I14-I13</f>
        <v>630.66828904859267</v>
      </c>
      <c r="K14" s="38"/>
      <c r="L14" s="35">
        <f t="shared" si="2"/>
        <v>118.632751711488</v>
      </c>
      <c r="M14" s="36">
        <f t="shared" si="6"/>
        <v>512.03553733710464</v>
      </c>
    </row>
    <row r="15" spans="3:13" ht="32.25" customHeight="1" x14ac:dyDescent="0.3">
      <c r="C15" s="23" t="s">
        <v>11</v>
      </c>
      <c r="D15" s="32">
        <f>+'Décompte des salaires bruts men'!F16</f>
        <v>2000</v>
      </c>
      <c r="E15" s="32">
        <f>E14+D15</f>
        <v>22827.460934924507</v>
      </c>
      <c r="F15" s="32">
        <f>+'Décompte des salaires bruts men'!L16</f>
        <v>1823.03</v>
      </c>
      <c r="G15" s="32">
        <f>G14+F15</f>
        <v>19524.1378</v>
      </c>
      <c r="H15" s="43">
        <f t="shared" si="0"/>
        <v>0.26900000000000002</v>
      </c>
      <c r="I15" s="33">
        <f t="shared" si="1"/>
        <v>6140.5869914946925</v>
      </c>
      <c r="J15" s="37">
        <f>I15-I14</f>
        <v>631.7235742071598</v>
      </c>
      <c r="K15" s="38"/>
      <c r="L15" s="35">
        <f t="shared" si="2"/>
        <v>118.83125762081471</v>
      </c>
      <c r="M15" s="36">
        <f t="shared" si="6"/>
        <v>512.89231658634503</v>
      </c>
    </row>
    <row r="16" spans="3:13" ht="32.25" customHeight="1" thickBot="1" x14ac:dyDescent="0.35">
      <c r="C16" s="39" t="s">
        <v>12</v>
      </c>
      <c r="D16" s="32">
        <f>+'Décompte des salaires bruts men'!F17</f>
        <v>3800</v>
      </c>
      <c r="E16" s="40">
        <f t="shared" si="3"/>
        <v>26627.460934924507</v>
      </c>
      <c r="F16" s="32">
        <f>+'Décompte des salaires bruts men'!L17</f>
        <v>1823.03</v>
      </c>
      <c r="G16" s="32">
        <f t="shared" si="4"/>
        <v>21347.167799999999</v>
      </c>
      <c r="H16" s="44">
        <f t="shared" si="0"/>
        <v>0.22600000000000001</v>
      </c>
      <c r="I16" s="33">
        <f t="shared" si="1"/>
        <v>6017.8061712929384</v>
      </c>
      <c r="J16" s="37">
        <f t="shared" ref="J16" si="8">I16-I15</f>
        <v>-122.78082020175407</v>
      </c>
      <c r="K16" s="41"/>
      <c r="L16" s="35">
        <f t="shared" si="2"/>
        <v>-23.095860075509918</v>
      </c>
      <c r="M16" s="36">
        <f t="shared" si="6"/>
        <v>-99.68496012624415</v>
      </c>
    </row>
    <row r="17" spans="10:13" ht="21" x14ac:dyDescent="0.35">
      <c r="J17" s="42">
        <f>SUM(J5:J16)</f>
        <v>6017.8061712929384</v>
      </c>
      <c r="L17" s="35">
        <f t="shared" si="2"/>
        <v>1131.9879527220833</v>
      </c>
      <c r="M17" s="35">
        <f t="shared" si="6"/>
        <v>4885.8182185708556</v>
      </c>
    </row>
  </sheetData>
  <mergeCells count="1">
    <mergeCell ref="C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BB71-BF62-4BD4-B3ED-A50134EF4252}">
  <sheetPr>
    <tabColor rgb="FFFFFF00"/>
  </sheetPr>
  <dimension ref="C1:M17"/>
  <sheetViews>
    <sheetView tabSelected="1" zoomScaleNormal="100" workbookViewId="0">
      <selection activeCell="P14" sqref="P14"/>
    </sheetView>
  </sheetViews>
  <sheetFormatPr baseColWidth="10" defaultRowHeight="15" x14ac:dyDescent="0.25"/>
  <cols>
    <col min="1" max="1" width="11.7109375" customWidth="1"/>
    <col min="2" max="2" width="20.85546875" customWidth="1"/>
    <col min="3" max="3" width="12.5703125" bestFit="1" customWidth="1"/>
    <col min="4" max="4" width="14.42578125" bestFit="1" customWidth="1"/>
    <col min="5" max="5" width="15.42578125" bestFit="1" customWidth="1"/>
    <col min="6" max="6" width="14.140625" bestFit="1" customWidth="1"/>
    <col min="7" max="7" width="17.5703125" bestFit="1" customWidth="1"/>
    <col min="8" max="8" width="18.85546875" customWidth="1"/>
    <col min="9" max="9" width="21.85546875" bestFit="1" customWidth="1"/>
    <col min="10" max="10" width="19" bestFit="1" customWidth="1"/>
    <col min="11" max="11" width="3.28515625" customWidth="1"/>
    <col min="12" max="12" width="23.5703125" customWidth="1"/>
    <col min="13" max="13" width="24" customWidth="1"/>
    <col min="14" max="14" width="8" customWidth="1"/>
    <col min="15" max="15" width="13.85546875" customWidth="1"/>
    <col min="16" max="19" width="7.42578125" customWidth="1"/>
    <col min="20" max="20" width="4.85546875" customWidth="1"/>
    <col min="24" max="24" width="12.42578125" customWidth="1"/>
  </cols>
  <sheetData>
    <row r="1" spans="3:13" ht="23.25" x14ac:dyDescent="0.35">
      <c r="C1" s="20"/>
      <c r="G1" s="21" t="s">
        <v>13</v>
      </c>
      <c r="H1" s="21">
        <v>0.3821</v>
      </c>
    </row>
    <row r="2" spans="3:13" ht="15.75" thickBot="1" x14ac:dyDescent="0.3"/>
    <row r="3" spans="3:13" ht="32.25" customHeight="1" thickBot="1" x14ac:dyDescent="0.45">
      <c r="C3" s="45" t="s">
        <v>22</v>
      </c>
      <c r="D3" s="46"/>
      <c r="E3" s="46"/>
      <c r="F3" s="46"/>
      <c r="G3" s="46"/>
      <c r="H3" s="46"/>
      <c r="I3" s="46"/>
      <c r="J3" s="47"/>
      <c r="L3" s="22">
        <v>6.0100000000000001E-2</v>
      </c>
    </row>
    <row r="4" spans="3:13" ht="37.5" x14ac:dyDescent="0.3">
      <c r="C4" s="23"/>
      <c r="D4" s="24" t="s">
        <v>14</v>
      </c>
      <c r="E4" s="24" t="s">
        <v>0</v>
      </c>
      <c r="F4" s="24" t="s">
        <v>21</v>
      </c>
      <c r="G4" s="25" t="s">
        <v>1</v>
      </c>
      <c r="H4" s="26" t="s">
        <v>16</v>
      </c>
      <c r="I4" s="26" t="s">
        <v>33</v>
      </c>
      <c r="J4" s="28" t="s">
        <v>17</v>
      </c>
      <c r="K4" s="29"/>
      <c r="L4" s="30" t="s">
        <v>19</v>
      </c>
      <c r="M4" s="31" t="s">
        <v>20</v>
      </c>
    </row>
    <row r="5" spans="3:13" ht="32.25" customHeight="1" x14ac:dyDescent="0.3">
      <c r="C5" s="23" t="s">
        <v>2</v>
      </c>
      <c r="D5" s="49">
        <f>+'Décompte des salaires bruts men'!F6</f>
        <v>2300</v>
      </c>
      <c r="E5" s="32">
        <f>D5</f>
        <v>2300</v>
      </c>
      <c r="F5" s="49">
        <f>+'Décompte des salaires bruts men'!L6</f>
        <v>1823.03</v>
      </c>
      <c r="G5" s="32">
        <f>+F5</f>
        <v>1823.03</v>
      </c>
      <c r="H5" s="43">
        <f>ROUND(0.02+($H$1*(0.5*((3*F5/D5)-1))^1.75),4)</f>
        <v>0.21909999999999999</v>
      </c>
      <c r="I5" s="33"/>
      <c r="J5" s="34">
        <f>H5*D5</f>
        <v>503.92999999999995</v>
      </c>
      <c r="L5" s="35">
        <f>J5/31.95*6.01</f>
        <v>94.792466353677611</v>
      </c>
      <c r="M5" s="36">
        <f>J5-L5</f>
        <v>409.13753364632237</v>
      </c>
    </row>
    <row r="6" spans="3:13" ht="32.25" customHeight="1" x14ac:dyDescent="0.3">
      <c r="C6" s="23" t="s">
        <v>3</v>
      </c>
      <c r="D6" s="49">
        <f>+'Décompte des salaires bruts men'!F7</f>
        <v>1000</v>
      </c>
      <c r="E6" s="32">
        <f>E5+D6</f>
        <v>3300</v>
      </c>
      <c r="F6" s="49">
        <f>+'Décompte des salaires bruts men'!L7</f>
        <v>911.51499999999999</v>
      </c>
      <c r="G6" s="32">
        <f>G5+F6</f>
        <v>2734.5450000000001</v>
      </c>
      <c r="H6" s="43">
        <f t="shared" ref="H6:H15" si="0">ROUND(0.02+($H$1*(0.5*((3*F6/D6)-1))^1.75),4)</f>
        <v>0.31780000000000003</v>
      </c>
      <c r="I6" s="33"/>
      <c r="J6" s="34">
        <f t="shared" ref="J6:J16" si="1">H6*D6</f>
        <v>317.8</v>
      </c>
      <c r="L6" s="35">
        <f t="shared" ref="L6:L17" si="2">J6/31.95*6.01</f>
        <v>59.78021909233177</v>
      </c>
      <c r="M6" s="36">
        <f>J6-L6</f>
        <v>258.01978090766823</v>
      </c>
    </row>
    <row r="7" spans="3:13" ht="32.25" customHeight="1" x14ac:dyDescent="0.3">
      <c r="C7" s="23" t="s">
        <v>4</v>
      </c>
      <c r="D7" s="49">
        <f>+'Décompte des salaires bruts men'!F8</f>
        <v>2197.7978505966903</v>
      </c>
      <c r="E7" s="32">
        <f t="shared" ref="E7:E16" si="3">E6+D7</f>
        <v>5497.7978505966903</v>
      </c>
      <c r="F7" s="49">
        <f>+'Décompte des salaires bruts men'!L8</f>
        <v>1966.1113999999998</v>
      </c>
      <c r="G7" s="32">
        <f t="shared" ref="G7:G16" si="4">G6+F7</f>
        <v>4700.6563999999998</v>
      </c>
      <c r="H7" s="43">
        <f t="shared" si="0"/>
        <v>0.30270000000000002</v>
      </c>
      <c r="I7" s="33"/>
      <c r="J7" s="34">
        <f t="shared" si="1"/>
        <v>665.27340937561826</v>
      </c>
      <c r="L7" s="35">
        <f t="shared" si="2"/>
        <v>125.14219688098484</v>
      </c>
      <c r="M7" s="36">
        <f t="shared" ref="M7:M17" si="5">J7-L7</f>
        <v>540.13121249463347</v>
      </c>
    </row>
    <row r="8" spans="3:13" ht="32.25" customHeight="1" x14ac:dyDescent="0.3">
      <c r="C8" s="23" t="s">
        <v>5</v>
      </c>
      <c r="D8" s="49">
        <f>+'Décompte des salaires bruts men'!F9</f>
        <v>2329.6630843278172</v>
      </c>
      <c r="E8" s="32">
        <f t="shared" si="3"/>
        <v>7827.4609349245075</v>
      </c>
      <c r="F8" s="49">
        <f>+'Décompte des salaires bruts men'!L9</f>
        <v>2062.2713999999996</v>
      </c>
      <c r="G8" s="32">
        <f t="shared" si="4"/>
        <v>6762.9277999999995</v>
      </c>
      <c r="H8" s="43">
        <f t="shared" si="0"/>
        <v>0.29449999999999998</v>
      </c>
      <c r="I8" s="33"/>
      <c r="J8" s="34">
        <f t="shared" si="1"/>
        <v>686.08577833454217</v>
      </c>
      <c r="L8" s="35">
        <f t="shared" si="2"/>
        <v>129.05713702005002</v>
      </c>
      <c r="M8" s="36">
        <f t="shared" si="5"/>
        <v>557.02864131449212</v>
      </c>
    </row>
    <row r="9" spans="3:13" ht="32.25" customHeight="1" x14ac:dyDescent="0.3">
      <c r="C9" s="23" t="s">
        <v>6</v>
      </c>
      <c r="D9" s="49">
        <f>+'Décompte des salaires bruts men'!F10</f>
        <v>2000</v>
      </c>
      <c r="E9" s="32">
        <f t="shared" si="3"/>
        <v>9827.4609349245075</v>
      </c>
      <c r="F9" s="49">
        <f>+'Décompte des salaires bruts men'!L10</f>
        <v>1823.03</v>
      </c>
      <c r="G9" s="32">
        <f t="shared" si="4"/>
        <v>8585.9578000000001</v>
      </c>
      <c r="H9" s="43">
        <f t="shared" si="0"/>
        <v>0.31780000000000003</v>
      </c>
      <c r="I9" s="33"/>
      <c r="J9" s="34">
        <f t="shared" si="1"/>
        <v>635.6</v>
      </c>
      <c r="L9" s="35">
        <f t="shared" si="2"/>
        <v>119.56043818466354</v>
      </c>
      <c r="M9" s="36">
        <f t="shared" si="5"/>
        <v>516.03956181533647</v>
      </c>
    </row>
    <row r="10" spans="3:13" ht="32.25" customHeight="1" x14ac:dyDescent="0.3">
      <c r="C10" s="23" t="s">
        <v>7</v>
      </c>
      <c r="D10" s="49">
        <f>+'Décompte des salaires bruts men'!F11</f>
        <v>3000</v>
      </c>
      <c r="E10" s="32">
        <f t="shared" si="3"/>
        <v>12827.460934924507</v>
      </c>
      <c r="F10" s="49">
        <f>+'Décompte des salaires bruts men'!L11</f>
        <v>1823.03</v>
      </c>
      <c r="G10" s="32">
        <f t="shared" si="4"/>
        <v>10408.987800000001</v>
      </c>
      <c r="H10" s="43">
        <f t="shared" si="0"/>
        <v>0.1008</v>
      </c>
      <c r="I10" s="33"/>
      <c r="J10" s="34">
        <f t="shared" si="1"/>
        <v>302.39999999999998</v>
      </c>
      <c r="L10" s="35">
        <f t="shared" si="2"/>
        <v>56.883380281690137</v>
      </c>
      <c r="M10" s="36">
        <f t="shared" si="5"/>
        <v>245.51661971830984</v>
      </c>
    </row>
    <row r="11" spans="3:13" ht="32.25" customHeight="1" x14ac:dyDescent="0.3">
      <c r="C11" s="23" t="s">
        <v>8</v>
      </c>
      <c r="D11" s="49">
        <f>+'Décompte des salaires bruts men'!F12</f>
        <v>2000</v>
      </c>
      <c r="E11" s="32">
        <f t="shared" si="3"/>
        <v>14827.460934924507</v>
      </c>
      <c r="F11" s="49">
        <f>+'Décompte des salaires bruts men'!L12</f>
        <v>1823.03</v>
      </c>
      <c r="G11" s="32">
        <f t="shared" si="4"/>
        <v>12232.017800000001</v>
      </c>
      <c r="H11" s="43">
        <f t="shared" si="0"/>
        <v>0.31780000000000003</v>
      </c>
      <c r="I11" s="33"/>
      <c r="J11" s="34">
        <f t="shared" si="1"/>
        <v>635.6</v>
      </c>
      <c r="L11" s="35">
        <f t="shared" si="2"/>
        <v>119.56043818466354</v>
      </c>
      <c r="M11" s="36">
        <f t="shared" si="5"/>
        <v>516.03956181533647</v>
      </c>
    </row>
    <row r="12" spans="3:13" ht="32.25" customHeight="1" x14ac:dyDescent="0.3">
      <c r="C12" s="23" t="s">
        <v>9</v>
      </c>
      <c r="D12" s="49">
        <f>+'Décompte des salaires bruts men'!F13</f>
        <v>2000</v>
      </c>
      <c r="E12" s="32">
        <f t="shared" si="3"/>
        <v>16827.460934924507</v>
      </c>
      <c r="F12" s="49">
        <f>+'Décompte des salaires bruts men'!L13</f>
        <v>1823.03</v>
      </c>
      <c r="G12" s="32">
        <f t="shared" si="4"/>
        <v>14055.047800000002</v>
      </c>
      <c r="H12" s="43">
        <f t="shared" si="0"/>
        <v>0.31780000000000003</v>
      </c>
      <c r="I12" s="33"/>
      <c r="J12" s="34">
        <f t="shared" si="1"/>
        <v>635.6</v>
      </c>
      <c r="L12" s="35">
        <f t="shared" si="2"/>
        <v>119.56043818466354</v>
      </c>
      <c r="M12" s="36">
        <f t="shared" si="5"/>
        <v>516.03956181533647</v>
      </c>
    </row>
    <row r="13" spans="3:13" ht="32.25" customHeight="1" x14ac:dyDescent="0.3">
      <c r="C13" s="23" t="s">
        <v>10</v>
      </c>
      <c r="D13" s="49">
        <f>+'Décompte des salaires bruts men'!F14</f>
        <v>2000</v>
      </c>
      <c r="E13" s="32">
        <f t="shared" si="3"/>
        <v>18827.460934924507</v>
      </c>
      <c r="F13" s="49">
        <f>+'Décompte des salaires bruts men'!L14</f>
        <v>1823.03</v>
      </c>
      <c r="G13" s="32">
        <f t="shared" si="4"/>
        <v>15878.077800000003</v>
      </c>
      <c r="H13" s="43">
        <f t="shared" si="0"/>
        <v>0.31780000000000003</v>
      </c>
      <c r="I13" s="33"/>
      <c r="J13" s="34">
        <f t="shared" si="1"/>
        <v>635.6</v>
      </c>
      <c r="L13" s="35">
        <f t="shared" si="2"/>
        <v>119.56043818466354</v>
      </c>
      <c r="M13" s="36">
        <f t="shared" si="5"/>
        <v>516.03956181533647</v>
      </c>
    </row>
    <row r="14" spans="3:13" ht="32.25" customHeight="1" x14ac:dyDescent="0.3">
      <c r="C14" s="23" t="s">
        <v>18</v>
      </c>
      <c r="D14" s="49">
        <f>+'Décompte des salaires bruts men'!F15</f>
        <v>2000</v>
      </c>
      <c r="E14" s="32">
        <f>E13+D14</f>
        <v>20827.460934924507</v>
      </c>
      <c r="F14" s="49">
        <f>+'Décompte des salaires bruts men'!L15</f>
        <v>1823.03</v>
      </c>
      <c r="G14" s="32">
        <f>G13+F14</f>
        <v>17701.107800000002</v>
      </c>
      <c r="H14" s="43">
        <f t="shared" si="0"/>
        <v>0.31780000000000003</v>
      </c>
      <c r="I14" s="33"/>
      <c r="J14" s="34">
        <f>H14*D14</f>
        <v>635.6</v>
      </c>
      <c r="K14" s="38"/>
      <c r="L14" s="35">
        <f t="shared" si="2"/>
        <v>119.56043818466354</v>
      </c>
      <c r="M14" s="36">
        <f t="shared" si="5"/>
        <v>516.03956181533647</v>
      </c>
    </row>
    <row r="15" spans="3:13" ht="32.25" customHeight="1" x14ac:dyDescent="0.3">
      <c r="C15" s="23" t="s">
        <v>11</v>
      </c>
      <c r="D15" s="49">
        <f>+'Décompte des salaires bruts men'!F16</f>
        <v>2000</v>
      </c>
      <c r="E15" s="32">
        <f>E14+D15</f>
        <v>22827.460934924507</v>
      </c>
      <c r="F15" s="49">
        <f>+'Décompte des salaires bruts men'!L16</f>
        <v>1823.03</v>
      </c>
      <c r="G15" s="32">
        <f>G14+F15</f>
        <v>19524.1378</v>
      </c>
      <c r="H15" s="43">
        <f t="shared" si="0"/>
        <v>0.31780000000000003</v>
      </c>
      <c r="I15" s="33"/>
      <c r="J15" s="34">
        <f>H15*D15</f>
        <v>635.6</v>
      </c>
      <c r="K15" s="38"/>
      <c r="L15" s="35">
        <f t="shared" si="2"/>
        <v>119.56043818466354</v>
      </c>
      <c r="M15" s="36">
        <f t="shared" si="5"/>
        <v>516.03956181533647</v>
      </c>
    </row>
    <row r="16" spans="3:13" ht="32.25" customHeight="1" thickBot="1" x14ac:dyDescent="0.35">
      <c r="C16" s="39" t="s">
        <v>12</v>
      </c>
      <c r="D16" s="32">
        <f>+'Décompte des salaires bruts men'!F17</f>
        <v>3800</v>
      </c>
      <c r="E16" s="50">
        <f t="shared" si="3"/>
        <v>26627.460934924507</v>
      </c>
      <c r="F16" s="32">
        <f>+'Décompte des salaires bruts men'!L17</f>
        <v>1823.03</v>
      </c>
      <c r="G16" s="49">
        <f t="shared" si="4"/>
        <v>21347.167799999999</v>
      </c>
      <c r="H16" s="44">
        <f>ROUND(0.02+($H$1*(0.5*((3*G16/E16)-1))^1.75),4)</f>
        <v>0.22600000000000001</v>
      </c>
      <c r="I16" s="48">
        <f>H16*E16</f>
        <v>6017.8061712929384</v>
      </c>
      <c r="J16" s="34">
        <f>I16-SUM(J5:J15)</f>
        <v>-271.28301641722283</v>
      </c>
      <c r="K16" s="41"/>
      <c r="L16" s="35">
        <f t="shared" si="2"/>
        <v>-51.030076014632527</v>
      </c>
      <c r="M16" s="36">
        <f t="shared" si="5"/>
        <v>-220.2529404025903</v>
      </c>
    </row>
    <row r="17" spans="10:13" ht="21" x14ac:dyDescent="0.35">
      <c r="J17" s="42">
        <f>SUM(J5:J16)</f>
        <v>6017.8061712929384</v>
      </c>
      <c r="L17" s="35">
        <f t="shared" si="2"/>
        <v>1131.9879527220833</v>
      </c>
      <c r="M17" s="35">
        <f t="shared" si="5"/>
        <v>4885.8182185708556</v>
      </c>
    </row>
  </sheetData>
  <mergeCells count="1">
    <mergeCell ref="C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C31E-4C8E-4A29-B80E-B8A30B029E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Décompte des salaires bruts men</vt:lpstr>
      <vt:lpstr>REGUL PROGRES JUSQU'A DEC</vt:lpstr>
      <vt:lpstr>REGUL  ANNUELLE  DEC 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ARKHOS</dc:creator>
  <cp:lastModifiedBy>alain henry</cp:lastModifiedBy>
  <dcterms:created xsi:type="dcterms:W3CDTF">2019-09-09T15:16:47Z</dcterms:created>
  <dcterms:modified xsi:type="dcterms:W3CDTF">2026-04-12T16:18:36Z</dcterms:modified>
</cp:coreProperties>
</file>