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5\22-CAS ESSENCE DE VIE\"/>
    </mc:Choice>
  </mc:AlternateContent>
  <xr:revisionPtr revIDLastSave="0" documentId="13_ncr:1_{FC27D64D-7DF6-4342-986C-885DBB1D1E4F}" xr6:coauthVersionLast="47" xr6:coauthVersionMax="47" xr10:uidLastSave="{00000000-0000-0000-0000-000000000000}"/>
  <bookViews>
    <workbookView xWindow="49080" yWindow="-660" windowWidth="29040" windowHeight="15840" tabRatio="944" xr2:uid="{00000000-000D-0000-FFFF-FFFF00000000}"/>
  </bookViews>
  <sheets>
    <sheet name="CALCULS DIVERS" sheetId="25" r:id="rId1"/>
    <sheet name="REGUL DUMONT" sheetId="14" r:id="rId2"/>
    <sheet name="Bulletin DUMONT" sheetId="13" r:id="rId3"/>
    <sheet name="REGUL LAMBERT" sheetId="21" r:id="rId4"/>
    <sheet name="Bulletin LAMBERT" sheetId="16" r:id="rId5"/>
    <sheet name="REGUL SALVI" sheetId="19" r:id="rId6"/>
    <sheet name="Bulletin SALVI" sheetId="18" r:id="rId7"/>
    <sheet name="REGUL SMITH" sheetId="22" r:id="rId8"/>
    <sheet name="Bulletin SMITH" sheetId="20" r:id="rId9"/>
    <sheet name="REGUL WINCKERT" sheetId="23" r:id="rId10"/>
    <sheet name="Calcul maladie WINCKERT" sheetId="17" r:id="rId11"/>
    <sheet name="Bulletin WINCKERT" sheetId="24" r:id="rId12"/>
    <sheet name="Feuil1" sheetId="11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13" l="1"/>
  <c r="E67" i="13"/>
  <c r="D185" i="18" l="1"/>
  <c r="E185" i="18"/>
  <c r="F186" i="18"/>
  <c r="E25" i="16" l="1"/>
  <c r="D25" i="16"/>
  <c r="D24" i="16"/>
  <c r="D23" i="16"/>
  <c r="J34" i="16"/>
  <c r="J33" i="16"/>
  <c r="J32" i="16"/>
  <c r="J14" i="14"/>
  <c r="E22" i="23"/>
  <c r="D11" i="22"/>
  <c r="G75" i="13"/>
  <c r="E10" i="21"/>
  <c r="E8" i="21"/>
  <c r="E9" i="21" s="1"/>
  <c r="E7" i="21"/>
  <c r="G42" i="13"/>
  <c r="C42" i="13"/>
  <c r="C55" i="13"/>
  <c r="G55" i="13" s="1"/>
  <c r="K29" i="14"/>
  <c r="G44" i="24"/>
  <c r="E44" i="24"/>
  <c r="G44" i="20"/>
  <c r="E44" i="20"/>
  <c r="G44" i="18"/>
  <c r="E44" i="18"/>
  <c r="G44" i="16"/>
  <c r="E44" i="16"/>
  <c r="G45" i="13"/>
  <c r="E45" i="13"/>
  <c r="D11" i="23"/>
  <c r="D31" i="22"/>
  <c r="D32" i="22"/>
  <c r="D33" i="22"/>
  <c r="D30" i="22"/>
  <c r="D8" i="23"/>
  <c r="D9" i="23"/>
  <c r="D10" i="23"/>
  <c r="D7" i="23"/>
  <c r="D54" i="23"/>
  <c r="D51" i="23"/>
  <c r="D52" i="23"/>
  <c r="D53" i="23"/>
  <c r="D50" i="23"/>
  <c r="D8" i="22"/>
  <c r="D9" i="22"/>
  <c r="D10" i="22"/>
  <c r="D7" i="22"/>
  <c r="E177" i="18" l="1"/>
  <c r="E21" i="21"/>
  <c r="F6" i="21"/>
  <c r="D52" i="14"/>
  <c r="D53" i="14"/>
  <c r="D54" i="14"/>
  <c r="D51" i="14"/>
  <c r="D50" i="14"/>
  <c r="F18" i="14"/>
  <c r="D9" i="14"/>
  <c r="D10" i="14"/>
  <c r="D11" i="14"/>
  <c r="D8" i="14"/>
  <c r="D7" i="14"/>
  <c r="B29" i="23"/>
  <c r="C29" i="23" s="1"/>
  <c r="E29" i="23"/>
  <c r="F29" i="23" s="1"/>
  <c r="G29" i="23" s="1"/>
  <c r="B30" i="23"/>
  <c r="D30" i="23"/>
  <c r="E30" i="23"/>
  <c r="F30" i="23"/>
  <c r="B31" i="23"/>
  <c r="D31" i="23" s="1"/>
  <c r="E31" i="23"/>
  <c r="F31" i="23" s="1"/>
  <c r="B32" i="23"/>
  <c r="D32" i="23"/>
  <c r="E32" i="23"/>
  <c r="F32" i="23"/>
  <c r="E33" i="23"/>
  <c r="F33" i="23" s="1"/>
  <c r="F18" i="23"/>
  <c r="C32" i="24"/>
  <c r="D7" i="17"/>
  <c r="D9" i="17" s="1"/>
  <c r="C28" i="16"/>
  <c r="C9" i="25"/>
  <c r="D9" i="25" s="1"/>
  <c r="C8" i="25"/>
  <c r="D8" i="25" s="1"/>
  <c r="D28" i="16"/>
  <c r="E29" i="14"/>
  <c r="M12" i="21"/>
  <c r="C115" i="16"/>
  <c r="E30" i="14" l="1"/>
  <c r="E31" i="14"/>
  <c r="D32" i="24"/>
  <c r="E32" i="24" s="1"/>
  <c r="G30" i="23"/>
  <c r="G31" i="23" s="1"/>
  <c r="G32" i="23" s="1"/>
  <c r="G33" i="23" s="1"/>
  <c r="C30" i="23"/>
  <c r="H29" i="23"/>
  <c r="I29" i="23" s="1"/>
  <c r="J29" i="23" s="1"/>
  <c r="D29" i="23"/>
  <c r="D34" i="22"/>
  <c r="E32" i="14" l="1"/>
  <c r="E33" i="14"/>
  <c r="K29" i="23"/>
  <c r="H30" i="23"/>
  <c r="I30" i="23" s="1"/>
  <c r="J30" i="23" s="1"/>
  <c r="K30" i="23" s="1"/>
  <c r="C31" i="23"/>
  <c r="E161" i="24"/>
  <c r="E162" i="24" s="1"/>
  <c r="E160" i="24"/>
  <c r="C164" i="24" s="1"/>
  <c r="E154" i="24"/>
  <c r="E155" i="24" s="1"/>
  <c r="E156" i="24" s="1"/>
  <c r="E152" i="24"/>
  <c r="E153" i="24" s="1"/>
  <c r="E163" i="24" s="1"/>
  <c r="D164" i="24" s="1"/>
  <c r="E164" i="24" s="1"/>
  <c r="E151" i="24"/>
  <c r="E150" i="24"/>
  <c r="E149" i="24"/>
  <c r="E145" i="24"/>
  <c r="E143" i="24"/>
  <c r="D133" i="24"/>
  <c r="E133" i="24" s="1"/>
  <c r="F132" i="24"/>
  <c r="D132" i="24"/>
  <c r="E132" i="24" s="1"/>
  <c r="D131" i="24"/>
  <c r="F131" i="24" s="1"/>
  <c r="D130" i="24"/>
  <c r="F124" i="24"/>
  <c r="D124" i="24"/>
  <c r="C121" i="24"/>
  <c r="E114" i="24"/>
  <c r="C100" i="24"/>
  <c r="E100" i="24" s="1"/>
  <c r="C98" i="24"/>
  <c r="C97" i="24"/>
  <c r="C93" i="24"/>
  <c r="C92" i="24"/>
  <c r="E73" i="24"/>
  <c r="G64" i="24"/>
  <c r="F45" i="24"/>
  <c r="F42" i="24"/>
  <c r="D27" i="24"/>
  <c r="C27" i="24"/>
  <c r="D26" i="24"/>
  <c r="C26" i="24"/>
  <c r="E26" i="24" s="1"/>
  <c r="D25" i="24"/>
  <c r="E25" i="24" s="1"/>
  <c r="C25" i="24"/>
  <c r="D24" i="24"/>
  <c r="C24" i="24"/>
  <c r="C66" i="24" s="1"/>
  <c r="E20" i="24"/>
  <c r="D22" i="24" s="1"/>
  <c r="E22" i="24" s="1"/>
  <c r="E50" i="23"/>
  <c r="E51" i="23" s="1"/>
  <c r="E52" i="23" s="1"/>
  <c r="D40" i="23"/>
  <c r="E39" i="23"/>
  <c r="C39" i="23"/>
  <c r="B53" i="23"/>
  <c r="F22" i="23"/>
  <c r="F21" i="23"/>
  <c r="D21" i="23"/>
  <c r="F20" i="23"/>
  <c r="D20" i="23"/>
  <c r="B52" i="23"/>
  <c r="F19" i="23"/>
  <c r="D19" i="23"/>
  <c r="G18" i="23"/>
  <c r="E7" i="23"/>
  <c r="E8" i="23" s="1"/>
  <c r="E9" i="23" s="1"/>
  <c r="E10" i="23" s="1"/>
  <c r="E11" i="23" s="1"/>
  <c r="C7" i="23"/>
  <c r="E73" i="20"/>
  <c r="E30" i="22"/>
  <c r="E31" i="22" s="1"/>
  <c r="D20" i="22"/>
  <c r="E20" i="22" s="1"/>
  <c r="E19" i="22"/>
  <c r="C19" i="22"/>
  <c r="C20" i="22" s="1"/>
  <c r="C21" i="22" s="1"/>
  <c r="C22" i="22" s="1"/>
  <c r="C23" i="22" s="1"/>
  <c r="E7" i="22"/>
  <c r="E8" i="22" s="1"/>
  <c r="E9" i="22" s="1"/>
  <c r="E10" i="22" s="1"/>
  <c r="E11" i="22" s="1"/>
  <c r="C7" i="22"/>
  <c r="F7" i="22" s="1"/>
  <c r="G7" i="22" s="1"/>
  <c r="H7" i="22" s="1"/>
  <c r="E7" i="19"/>
  <c r="C7" i="19"/>
  <c r="C8" i="19" s="1"/>
  <c r="C9" i="19" s="1"/>
  <c r="C10" i="19" s="1"/>
  <c r="F19" i="22" l="1"/>
  <c r="E40" i="23"/>
  <c r="E41" i="23" s="1"/>
  <c r="E42" i="23" s="1"/>
  <c r="C32" i="23"/>
  <c r="H31" i="23"/>
  <c r="I31" i="23" s="1"/>
  <c r="J31" i="23" s="1"/>
  <c r="K31" i="23" s="1"/>
  <c r="F7" i="23"/>
  <c r="G7" i="23" s="1"/>
  <c r="H7" i="23" s="1"/>
  <c r="E8" i="19"/>
  <c r="F8" i="19" s="1"/>
  <c r="G8" i="19" s="1"/>
  <c r="F7" i="19"/>
  <c r="G7" i="19" s="1"/>
  <c r="H7" i="19" s="1"/>
  <c r="G19" i="23"/>
  <c r="G20" i="23" s="1"/>
  <c r="G21" i="23" s="1"/>
  <c r="G22" i="23" s="1"/>
  <c r="E24" i="24"/>
  <c r="F133" i="24"/>
  <c r="E131" i="24"/>
  <c r="G124" i="24"/>
  <c r="H124" i="24" s="1"/>
  <c r="E36" i="24"/>
  <c r="B51" i="23"/>
  <c r="E53" i="23"/>
  <c r="C8" i="23"/>
  <c r="F39" i="23"/>
  <c r="C40" i="23"/>
  <c r="C41" i="23" s="1"/>
  <c r="C42" i="23" s="1"/>
  <c r="C43" i="23" s="1"/>
  <c r="E43" i="23"/>
  <c r="F43" i="23" s="1"/>
  <c r="D18" i="23"/>
  <c r="C18" i="23"/>
  <c r="G66" i="24"/>
  <c r="C115" i="24"/>
  <c r="E115" i="24" s="1"/>
  <c r="E27" i="24"/>
  <c r="C65" i="24" s="1"/>
  <c r="E65" i="24" s="1"/>
  <c r="F130" i="24"/>
  <c r="E130" i="24"/>
  <c r="D135" i="24"/>
  <c r="E157" i="24"/>
  <c r="C8" i="22"/>
  <c r="F8" i="22" s="1"/>
  <c r="G8" i="22" s="1"/>
  <c r="H8" i="22" s="1"/>
  <c r="G19" i="22"/>
  <c r="H19" i="22" s="1"/>
  <c r="I19" i="22"/>
  <c r="E21" i="22"/>
  <c r="F20" i="22"/>
  <c r="E32" i="22"/>
  <c r="C30" i="22"/>
  <c r="H32" i="23" l="1"/>
  <c r="I32" i="23" s="1"/>
  <c r="J32" i="23" s="1"/>
  <c r="K32" i="23" s="1"/>
  <c r="F40" i="23"/>
  <c r="E9" i="19"/>
  <c r="F9" i="19" s="1"/>
  <c r="G9" i="19" s="1"/>
  <c r="H9" i="19" s="1"/>
  <c r="H8" i="19"/>
  <c r="E135" i="24"/>
  <c r="F135" i="24"/>
  <c r="B50" i="23"/>
  <c r="C50" i="23" s="1"/>
  <c r="I40" i="23"/>
  <c r="G40" i="23"/>
  <c r="G43" i="23"/>
  <c r="I43" i="23"/>
  <c r="C63" i="24"/>
  <c r="E63" i="24" s="1"/>
  <c r="C9" i="23"/>
  <c r="F8" i="23"/>
  <c r="G8" i="23" s="1"/>
  <c r="H8" i="23" s="1"/>
  <c r="E54" i="23"/>
  <c r="F41" i="23"/>
  <c r="C19" i="23"/>
  <c r="H18" i="23"/>
  <c r="I18" i="23" s="1"/>
  <c r="J18" i="23" s="1"/>
  <c r="K18" i="23" s="1"/>
  <c r="I39" i="23"/>
  <c r="G39" i="23"/>
  <c r="H39" i="23" s="1"/>
  <c r="F42" i="23"/>
  <c r="C9" i="22"/>
  <c r="F9" i="22" s="1"/>
  <c r="G9" i="22" s="1"/>
  <c r="H9" i="22" s="1"/>
  <c r="G30" i="22"/>
  <c r="H30" i="22" s="1"/>
  <c r="C31" i="22"/>
  <c r="E22" i="22"/>
  <c r="F21" i="22"/>
  <c r="E33" i="22"/>
  <c r="F30" i="22"/>
  <c r="I20" i="22"/>
  <c r="G20" i="22"/>
  <c r="H20" i="22" s="1"/>
  <c r="E10" i="19" l="1"/>
  <c r="E11" i="19" s="1"/>
  <c r="I41" i="23"/>
  <c r="G41" i="23"/>
  <c r="H41" i="23" s="1"/>
  <c r="C51" i="23"/>
  <c r="G50" i="23"/>
  <c r="H50" i="23" s="1"/>
  <c r="F50" i="23"/>
  <c r="H40" i="23"/>
  <c r="C10" i="23"/>
  <c r="F9" i="23"/>
  <c r="G9" i="23" s="1"/>
  <c r="H9" i="23" s="1"/>
  <c r="G42" i="23"/>
  <c r="H43" i="23" s="1"/>
  <c r="I42" i="23"/>
  <c r="C20" i="23"/>
  <c r="H19" i="23"/>
  <c r="I19" i="23" s="1"/>
  <c r="J19" i="23" s="1"/>
  <c r="K19" i="23" s="1"/>
  <c r="C10" i="22"/>
  <c r="G21" i="22"/>
  <c r="H21" i="22" s="1"/>
  <c r="I21" i="22"/>
  <c r="E23" i="22"/>
  <c r="F23" i="22" s="1"/>
  <c r="F22" i="22"/>
  <c r="F10" i="22"/>
  <c r="G10" i="22" s="1"/>
  <c r="H10" i="22" s="1"/>
  <c r="C32" i="22"/>
  <c r="G31" i="22"/>
  <c r="H31" i="22" s="1"/>
  <c r="F31" i="22"/>
  <c r="E34" i="22"/>
  <c r="F10" i="19" l="1"/>
  <c r="G10" i="19" s="1"/>
  <c r="H10" i="19" s="1"/>
  <c r="G51" i="23"/>
  <c r="H51" i="23" s="1"/>
  <c r="C52" i="23"/>
  <c r="F51" i="23"/>
  <c r="H20" i="23"/>
  <c r="I20" i="23" s="1"/>
  <c r="J20" i="23" s="1"/>
  <c r="K20" i="23" s="1"/>
  <c r="C21" i="23"/>
  <c r="F10" i="23"/>
  <c r="G10" i="23" s="1"/>
  <c r="H10" i="23" s="1"/>
  <c r="G56" i="24"/>
  <c r="E56" i="24"/>
  <c r="H42" i="23"/>
  <c r="I22" i="22"/>
  <c r="G22" i="22"/>
  <c r="H22" i="22" s="1"/>
  <c r="G32" i="22"/>
  <c r="H32" i="22" s="1"/>
  <c r="C33" i="22"/>
  <c r="F32" i="22"/>
  <c r="G23" i="22"/>
  <c r="H23" i="22" s="1"/>
  <c r="I23" i="22"/>
  <c r="H21" i="23" l="1"/>
  <c r="I21" i="23" s="1"/>
  <c r="J21" i="23" s="1"/>
  <c r="K21" i="23" s="1"/>
  <c r="G52" i="23"/>
  <c r="H52" i="23" s="1"/>
  <c r="C53" i="23"/>
  <c r="F52" i="23"/>
  <c r="G33" i="22"/>
  <c r="H33" i="22" s="1"/>
  <c r="F33" i="22"/>
  <c r="G53" i="23" l="1"/>
  <c r="H53" i="23" s="1"/>
  <c r="F53" i="23"/>
  <c r="D72" i="18" l="1"/>
  <c r="E72" i="18" s="1"/>
  <c r="E172" i="18"/>
  <c r="E173" i="18" s="1"/>
  <c r="E178" i="18"/>
  <c r="F21" i="21"/>
  <c r="E38" i="21"/>
  <c r="D28" i="21"/>
  <c r="E28" i="21" s="1"/>
  <c r="C28" i="21"/>
  <c r="C29" i="21" s="1"/>
  <c r="C30" i="21" s="1"/>
  <c r="C31" i="21" s="1"/>
  <c r="E27" i="21"/>
  <c r="F27" i="21" s="1"/>
  <c r="C27" i="21"/>
  <c r="F20" i="21"/>
  <c r="F19" i="21"/>
  <c r="F18" i="21"/>
  <c r="F17" i="21"/>
  <c r="G17" i="21" s="1"/>
  <c r="F10" i="21"/>
  <c r="F9" i="21"/>
  <c r="B20" i="21"/>
  <c r="F8" i="21"/>
  <c r="D8" i="21"/>
  <c r="B19" i="21"/>
  <c r="B40" i="21" s="1"/>
  <c r="F7" i="21"/>
  <c r="D7" i="21"/>
  <c r="B18" i="21"/>
  <c r="G6" i="21"/>
  <c r="D6" i="21"/>
  <c r="D139" i="16"/>
  <c r="G139" i="16" s="1"/>
  <c r="D72" i="16"/>
  <c r="E72" i="16" s="1"/>
  <c r="C23" i="16"/>
  <c r="F30" i="14"/>
  <c r="F31" i="14"/>
  <c r="F32" i="14"/>
  <c r="F33" i="14"/>
  <c r="F20" i="14"/>
  <c r="F21" i="14"/>
  <c r="F22" i="14"/>
  <c r="D22" i="14"/>
  <c r="B20" i="14"/>
  <c r="D20" i="14" s="1"/>
  <c r="B21" i="14"/>
  <c r="D21" i="14" s="1"/>
  <c r="B22" i="14"/>
  <c r="B33" i="14" s="1"/>
  <c r="D33" i="14" s="1"/>
  <c r="B18" i="14"/>
  <c r="B29" i="14" s="1"/>
  <c r="B50" i="14" s="1"/>
  <c r="C50" i="14" s="1"/>
  <c r="E160" i="20"/>
  <c r="E154" i="20"/>
  <c r="E151" i="20"/>
  <c r="E150" i="20"/>
  <c r="E149" i="20"/>
  <c r="E152" i="20" s="1"/>
  <c r="E153" i="20" s="1"/>
  <c r="E163" i="20" s="1"/>
  <c r="D164" i="20" s="1"/>
  <c r="E143" i="20"/>
  <c r="E145" i="20" s="1"/>
  <c r="D133" i="20"/>
  <c r="F133" i="20" s="1"/>
  <c r="D132" i="20"/>
  <c r="F132" i="20" s="1"/>
  <c r="D131" i="20"/>
  <c r="E131" i="20" s="1"/>
  <c r="D130" i="20"/>
  <c r="F124" i="20"/>
  <c r="D124" i="20"/>
  <c r="C121" i="20"/>
  <c r="E114" i="20"/>
  <c r="C98" i="20"/>
  <c r="C97" i="20"/>
  <c r="C93" i="20"/>
  <c r="C92" i="20"/>
  <c r="G64" i="20"/>
  <c r="F45" i="20"/>
  <c r="F42" i="20"/>
  <c r="E36" i="20"/>
  <c r="D27" i="20"/>
  <c r="D26" i="20"/>
  <c r="E26" i="20" s="1"/>
  <c r="C26" i="20"/>
  <c r="D25" i="20"/>
  <c r="D24" i="20"/>
  <c r="C24" i="20"/>
  <c r="E20" i="20"/>
  <c r="E155" i="18"/>
  <c r="E163" i="18"/>
  <c r="D164" i="18" s="1"/>
  <c r="E145" i="18"/>
  <c r="D133" i="18"/>
  <c r="F133" i="18" s="1"/>
  <c r="D132" i="18"/>
  <c r="F132" i="18" s="1"/>
  <c r="D131" i="18"/>
  <c r="E131" i="18" s="1"/>
  <c r="D130" i="18"/>
  <c r="F124" i="18"/>
  <c r="D124" i="18"/>
  <c r="C98" i="18"/>
  <c r="C97" i="18"/>
  <c r="C93" i="18"/>
  <c r="C92" i="18"/>
  <c r="F45" i="18"/>
  <c r="F42" i="18"/>
  <c r="D36" i="18"/>
  <c r="E36" i="18" s="1"/>
  <c r="C36" i="18"/>
  <c r="D27" i="18"/>
  <c r="D26" i="18"/>
  <c r="C26" i="18"/>
  <c r="D25" i="18"/>
  <c r="D24" i="18"/>
  <c r="C24" i="18"/>
  <c r="C22" i="18"/>
  <c r="E20" i="18"/>
  <c r="E173" i="16"/>
  <c r="D174" i="16" s="1"/>
  <c r="E155" i="16"/>
  <c r="E32" i="16" s="1"/>
  <c r="D133" i="16"/>
  <c r="F133" i="16" s="1"/>
  <c r="D132" i="16"/>
  <c r="F132" i="16" s="1"/>
  <c r="D131" i="16"/>
  <c r="E131" i="16" s="1"/>
  <c r="D130" i="16"/>
  <c r="F124" i="16"/>
  <c r="D124" i="16"/>
  <c r="C121" i="16"/>
  <c r="E114" i="16"/>
  <c r="C98" i="16"/>
  <c r="C97" i="16"/>
  <c r="C93" i="16"/>
  <c r="C92" i="16"/>
  <c r="G64" i="16"/>
  <c r="F45" i="16"/>
  <c r="F42" i="16"/>
  <c r="D27" i="16"/>
  <c r="D26" i="16"/>
  <c r="C26" i="16"/>
  <c r="C24" i="16"/>
  <c r="E20" i="16"/>
  <c r="D22" i="16" s="1"/>
  <c r="E22" i="16" s="1"/>
  <c r="E180" i="18" l="1"/>
  <c r="D186" i="18"/>
  <c r="E186" i="18" s="1"/>
  <c r="E187" i="18" s="1"/>
  <c r="E174" i="18"/>
  <c r="D135" i="18"/>
  <c r="G124" i="20"/>
  <c r="H124" i="20" s="1"/>
  <c r="G18" i="21"/>
  <c r="G19" i="21" s="1"/>
  <c r="G20" i="21" s="1"/>
  <c r="G21" i="21"/>
  <c r="E37" i="24"/>
  <c r="D29" i="18"/>
  <c r="E29" i="18" s="1"/>
  <c r="E30" i="18" s="1"/>
  <c r="E181" i="18"/>
  <c r="F131" i="18"/>
  <c r="B54" i="14"/>
  <c r="D135" i="20"/>
  <c r="F131" i="20"/>
  <c r="D22" i="20"/>
  <c r="E22" i="20" s="1"/>
  <c r="E130" i="20"/>
  <c r="F130" i="20"/>
  <c r="F135" i="20" s="1"/>
  <c r="E130" i="18"/>
  <c r="F130" i="18"/>
  <c r="D22" i="18"/>
  <c r="E22" i="18" s="1"/>
  <c r="E24" i="20"/>
  <c r="E26" i="18"/>
  <c r="E24" i="18"/>
  <c r="G7" i="21"/>
  <c r="G8" i="21" s="1"/>
  <c r="G9" i="21" s="1"/>
  <c r="G10" i="21" s="1"/>
  <c r="D20" i="21"/>
  <c r="B41" i="21"/>
  <c r="E29" i="21"/>
  <c r="F28" i="21"/>
  <c r="D18" i="21"/>
  <c r="B39" i="21"/>
  <c r="G27" i="21"/>
  <c r="H27" i="21" s="1"/>
  <c r="I27" i="21"/>
  <c r="C6" i="21"/>
  <c r="D9" i="21"/>
  <c r="B17" i="21"/>
  <c r="D19" i="21"/>
  <c r="E39" i="21"/>
  <c r="F131" i="16"/>
  <c r="D135" i="16"/>
  <c r="E130" i="16"/>
  <c r="F130" i="16"/>
  <c r="E28" i="16"/>
  <c r="E23" i="16"/>
  <c r="E24" i="16"/>
  <c r="E36" i="16"/>
  <c r="G124" i="16"/>
  <c r="H124" i="16" s="1"/>
  <c r="E26" i="16"/>
  <c r="B32" i="14"/>
  <c r="B31" i="14"/>
  <c r="E155" i="20"/>
  <c r="E133" i="20"/>
  <c r="C164" i="20"/>
  <c r="E164" i="20" s="1"/>
  <c r="E132" i="20"/>
  <c r="E161" i="20"/>
  <c r="E162" i="20" s="1"/>
  <c r="E156" i="18"/>
  <c r="E157" i="18" s="1"/>
  <c r="E133" i="18"/>
  <c r="C164" i="18"/>
  <c r="E164" i="18" s="1"/>
  <c r="E132" i="18"/>
  <c r="E161" i="18"/>
  <c r="E162" i="18" s="1"/>
  <c r="E165" i="16"/>
  <c r="E133" i="16"/>
  <c r="E132" i="16"/>
  <c r="E171" i="16"/>
  <c r="E172" i="16" s="1"/>
  <c r="E34" i="16" s="1"/>
  <c r="C174" i="16"/>
  <c r="E174" i="16" s="1"/>
  <c r="E33" i="16" s="1"/>
  <c r="G186" i="18" l="1"/>
  <c r="H186" i="18" s="1"/>
  <c r="G185" i="18"/>
  <c r="H185" i="18" s="1"/>
  <c r="H187" i="18" s="1"/>
  <c r="I187" i="18" s="1"/>
  <c r="E31" i="18" s="1"/>
  <c r="D91" i="24"/>
  <c r="C106" i="24"/>
  <c r="C53" i="24"/>
  <c r="G53" i="24" s="1"/>
  <c r="C48" i="24"/>
  <c r="C41" i="24"/>
  <c r="C55" i="24"/>
  <c r="G55" i="24" s="1"/>
  <c r="B11" i="23"/>
  <c r="F135" i="18"/>
  <c r="E135" i="20"/>
  <c r="E135" i="18"/>
  <c r="F135" i="16"/>
  <c r="K43" i="20"/>
  <c r="K44" i="20" s="1"/>
  <c r="K45" i="20" s="1"/>
  <c r="K46" i="20" s="1"/>
  <c r="E30" i="21"/>
  <c r="F29" i="21"/>
  <c r="I28" i="21"/>
  <c r="G28" i="21"/>
  <c r="H28" i="21" s="1"/>
  <c r="C17" i="21"/>
  <c r="B38" i="21"/>
  <c r="C38" i="21" s="1"/>
  <c r="D17" i="21"/>
  <c r="E40" i="21"/>
  <c r="C7" i="21"/>
  <c r="H6" i="21"/>
  <c r="I6" i="21" s="1"/>
  <c r="J6" i="21" s="1"/>
  <c r="K6" i="21" s="1"/>
  <c r="E135" i="16"/>
  <c r="D32" i="14"/>
  <c r="B53" i="14"/>
  <c r="D31" i="14"/>
  <c r="B52" i="14"/>
  <c r="E156" i="20"/>
  <c r="E157" i="20"/>
  <c r="C25" i="20"/>
  <c r="C27" i="20"/>
  <c r="E27" i="20" s="1"/>
  <c r="C25" i="18"/>
  <c r="C27" i="18"/>
  <c r="E27" i="18" s="1"/>
  <c r="C25" i="16"/>
  <c r="C66" i="16" s="1"/>
  <c r="C27" i="16"/>
  <c r="E27" i="16" s="1"/>
  <c r="E166" i="16"/>
  <c r="E167" i="16" s="1"/>
  <c r="G48" i="24" l="1"/>
  <c r="E48" i="24"/>
  <c r="E51" i="24"/>
  <c r="G51" i="24"/>
  <c r="B22" i="23"/>
  <c r="B33" i="23" s="1"/>
  <c r="C11" i="23"/>
  <c r="F11" i="23" s="1"/>
  <c r="G11" i="23" s="1"/>
  <c r="J17" i="24" s="1"/>
  <c r="C107" i="24"/>
  <c r="E107" i="24" s="1"/>
  <c r="E106" i="24"/>
  <c r="C116" i="24"/>
  <c r="G41" i="24"/>
  <c r="E94" i="24"/>
  <c r="E97" i="24"/>
  <c r="E96" i="24"/>
  <c r="E92" i="24"/>
  <c r="E95" i="24"/>
  <c r="E93" i="24"/>
  <c r="E98" i="24"/>
  <c r="E25" i="20"/>
  <c r="C63" i="20" s="1"/>
  <c r="E63" i="20" s="1"/>
  <c r="C66" i="20"/>
  <c r="E25" i="18"/>
  <c r="E37" i="18" s="1"/>
  <c r="C66" i="18"/>
  <c r="G29" i="21"/>
  <c r="H29" i="21" s="1"/>
  <c r="I29" i="21"/>
  <c r="H7" i="21"/>
  <c r="I7" i="21" s="1"/>
  <c r="J7" i="21" s="1"/>
  <c r="K7" i="21" s="1"/>
  <c r="C8" i="21"/>
  <c r="C39" i="21"/>
  <c r="G38" i="21"/>
  <c r="H38" i="21" s="1"/>
  <c r="F38" i="21"/>
  <c r="E41" i="21"/>
  <c r="H17" i="21"/>
  <c r="I17" i="21" s="1"/>
  <c r="J17" i="21" s="1"/>
  <c r="K17" i="21" s="1"/>
  <c r="C18" i="21"/>
  <c r="F30" i="21"/>
  <c r="E31" i="21"/>
  <c r="F31" i="21" s="1"/>
  <c r="E37" i="20"/>
  <c r="C65" i="16" l="1"/>
  <c r="C63" i="16"/>
  <c r="D33" i="23"/>
  <c r="C33" i="23"/>
  <c r="H33" i="23" s="1"/>
  <c r="I33" i="23" s="1"/>
  <c r="J33" i="23" s="1"/>
  <c r="C101" i="24"/>
  <c r="E101" i="24" s="1"/>
  <c r="E103" i="24" s="1"/>
  <c r="G57" i="24" s="1"/>
  <c r="C42" i="24"/>
  <c r="G42" i="24" s="1"/>
  <c r="C49" i="24"/>
  <c r="C47" i="24"/>
  <c r="E116" i="24"/>
  <c r="C117" i="24"/>
  <c r="E117" i="24" s="1"/>
  <c r="D22" i="23"/>
  <c r="C22" i="23"/>
  <c r="H22" i="23" s="1"/>
  <c r="I22" i="23" s="1"/>
  <c r="J22" i="23" s="1"/>
  <c r="H11" i="23"/>
  <c r="J18" i="24" s="1"/>
  <c r="B11" i="22"/>
  <c r="B34" i="22" s="1"/>
  <c r="C106" i="20"/>
  <c r="E37" i="16"/>
  <c r="C55" i="20"/>
  <c r="G55" i="20" s="1"/>
  <c r="K34" i="20"/>
  <c r="C115" i="20"/>
  <c r="E115" i="20" s="1"/>
  <c r="C63" i="18"/>
  <c r="E63" i="18" s="1"/>
  <c r="C115" i="18"/>
  <c r="E115" i="18" s="1"/>
  <c r="I30" i="21"/>
  <c r="G30" i="21"/>
  <c r="H30" i="21" s="1"/>
  <c r="H8" i="21"/>
  <c r="I8" i="21" s="1"/>
  <c r="J8" i="21" s="1"/>
  <c r="K8" i="21" s="1"/>
  <c r="C9" i="21"/>
  <c r="C19" i="21"/>
  <c r="H18" i="21"/>
  <c r="I18" i="21" s="1"/>
  <c r="J18" i="21" s="1"/>
  <c r="K18" i="21" s="1"/>
  <c r="G31" i="21"/>
  <c r="H31" i="21" s="1"/>
  <c r="I31" i="21"/>
  <c r="E42" i="21"/>
  <c r="C40" i="21"/>
  <c r="G39" i="21"/>
  <c r="H39" i="21" s="1"/>
  <c r="F39" i="21"/>
  <c r="E63" i="16"/>
  <c r="E115" i="16"/>
  <c r="G66" i="16"/>
  <c r="D91" i="20"/>
  <c r="C41" i="20"/>
  <c r="G41" i="20" s="1"/>
  <c r="C53" i="20"/>
  <c r="G53" i="20" s="1"/>
  <c r="C48" i="20"/>
  <c r="C116" i="18" l="1"/>
  <c r="E116" i="18" s="1"/>
  <c r="K33" i="23"/>
  <c r="K22" i="23"/>
  <c r="E47" i="24"/>
  <c r="G47" i="24"/>
  <c r="G49" i="24"/>
  <c r="E49" i="24"/>
  <c r="C50" i="24"/>
  <c r="C43" i="24"/>
  <c r="G43" i="24" s="1"/>
  <c r="C61" i="24" s="1"/>
  <c r="E118" i="24"/>
  <c r="E84" i="24" s="1"/>
  <c r="B54" i="23"/>
  <c r="C54" i="23" s="1"/>
  <c r="C45" i="24"/>
  <c r="G45" i="24" s="1"/>
  <c r="C117" i="18"/>
  <c r="E117" i="18" s="1"/>
  <c r="C56" i="16"/>
  <c r="E56" i="16" s="1"/>
  <c r="B10" i="21"/>
  <c r="D10" i="21" s="1"/>
  <c r="C116" i="16"/>
  <c r="C107" i="16"/>
  <c r="D91" i="16"/>
  <c r="E95" i="16" s="1"/>
  <c r="C48" i="16"/>
  <c r="G48" i="16" s="1"/>
  <c r="C107" i="20"/>
  <c r="E107" i="20" s="1"/>
  <c r="E106" i="20"/>
  <c r="C116" i="20"/>
  <c r="C11" i="22"/>
  <c r="F11" i="22" s="1"/>
  <c r="G11" i="22" s="1"/>
  <c r="J17" i="20" s="1"/>
  <c r="C101" i="20" s="1"/>
  <c r="E101" i="20" s="1"/>
  <c r="C41" i="16"/>
  <c r="G41" i="16" s="1"/>
  <c r="C53" i="16"/>
  <c r="C55" i="16"/>
  <c r="G55" i="16" s="1"/>
  <c r="B11" i="19"/>
  <c r="C11" i="19" s="1"/>
  <c r="F11" i="19" s="1"/>
  <c r="G11" i="19" s="1"/>
  <c r="H11" i="19" s="1"/>
  <c r="G64" i="18" s="1"/>
  <c r="E114" i="18" s="1"/>
  <c r="C106" i="18"/>
  <c r="C55" i="18"/>
  <c r="G55" i="18" s="1"/>
  <c r="C53" i="18"/>
  <c r="G53" i="18" s="1"/>
  <c r="C41" i="18"/>
  <c r="C121" i="18"/>
  <c r="G124" i="18" s="1"/>
  <c r="H124" i="18" s="1"/>
  <c r="J17" i="18"/>
  <c r="C101" i="18" s="1"/>
  <c r="E101" i="18" s="1"/>
  <c r="E56" i="18"/>
  <c r="F41" i="18"/>
  <c r="C48" i="18"/>
  <c r="G48" i="18" s="1"/>
  <c r="D91" i="18"/>
  <c r="E96" i="18" s="1"/>
  <c r="C41" i="21"/>
  <c r="G40" i="21"/>
  <c r="H40" i="21" s="1"/>
  <c r="F40" i="21"/>
  <c r="H9" i="21"/>
  <c r="I9" i="21" s="1"/>
  <c r="J9" i="21" s="1"/>
  <c r="K9" i="21" s="1"/>
  <c r="C20" i="21"/>
  <c r="H19" i="21"/>
  <c r="I19" i="21" s="1"/>
  <c r="J19" i="21" s="1"/>
  <c r="K19" i="21" s="1"/>
  <c r="K38" i="20"/>
  <c r="G48" i="20"/>
  <c r="E48" i="20"/>
  <c r="G56" i="20"/>
  <c r="E56" i="20"/>
  <c r="E94" i="20"/>
  <c r="E95" i="20"/>
  <c r="E96" i="20"/>
  <c r="E92" i="20"/>
  <c r="E97" i="20"/>
  <c r="E98" i="20"/>
  <c r="E93" i="20"/>
  <c r="E118" i="18" l="1"/>
  <c r="E84" i="18" s="1"/>
  <c r="E97" i="16"/>
  <c r="E94" i="16"/>
  <c r="G56" i="16"/>
  <c r="G54" i="23"/>
  <c r="H54" i="23" s="1"/>
  <c r="F54" i="23"/>
  <c r="C62" i="24"/>
  <c r="E62" i="24" s="1"/>
  <c r="C108" i="24"/>
  <c r="E108" i="24" s="1"/>
  <c r="E110" i="24" s="1"/>
  <c r="G77" i="24" s="1"/>
  <c r="E61" i="24"/>
  <c r="E50" i="24"/>
  <c r="G50" i="24"/>
  <c r="G67" i="24" s="1"/>
  <c r="E85" i="24" s="1"/>
  <c r="E98" i="16"/>
  <c r="E96" i="16"/>
  <c r="C10" i="21"/>
  <c r="H10" i="21" s="1"/>
  <c r="I10" i="21" s="1"/>
  <c r="J10" i="21" s="1"/>
  <c r="K10" i="21" s="1"/>
  <c r="B21" i="21"/>
  <c r="D21" i="21" s="1"/>
  <c r="E92" i="16"/>
  <c r="E48" i="16"/>
  <c r="E93" i="16"/>
  <c r="C106" i="16"/>
  <c r="E106" i="16" s="1"/>
  <c r="E107" i="16"/>
  <c r="C117" i="16"/>
  <c r="E117" i="16" s="1"/>
  <c r="E116" i="16"/>
  <c r="H11" i="22"/>
  <c r="J18" i="20" s="1"/>
  <c r="C117" i="20"/>
  <c r="E117" i="20" s="1"/>
  <c r="E116" i="20"/>
  <c r="G41" i="18"/>
  <c r="E93" i="18"/>
  <c r="C107" i="18"/>
  <c r="E107" i="18" s="1"/>
  <c r="E106" i="18"/>
  <c r="G56" i="18"/>
  <c r="E48" i="18"/>
  <c r="E92" i="18"/>
  <c r="E95" i="18"/>
  <c r="E98" i="18"/>
  <c r="E94" i="18"/>
  <c r="E97" i="18"/>
  <c r="H20" i="21"/>
  <c r="I20" i="21" s="1"/>
  <c r="J20" i="21" s="1"/>
  <c r="K20" i="21" s="1"/>
  <c r="G41" i="21"/>
  <c r="H41" i="21" s="1"/>
  <c r="F41" i="21"/>
  <c r="E67" i="24" l="1"/>
  <c r="G75" i="24" s="1"/>
  <c r="C21" i="21"/>
  <c r="H21" i="21" s="1"/>
  <c r="I21" i="21" s="1"/>
  <c r="J21" i="21" s="1"/>
  <c r="K21" i="21" s="1"/>
  <c r="B42" i="21"/>
  <c r="C42" i="21" s="1"/>
  <c r="F42" i="21" s="1"/>
  <c r="E118" i="20"/>
  <c r="E84" i="20" s="1"/>
  <c r="E118" i="16"/>
  <c r="E84" i="16" s="1"/>
  <c r="C34" i="22"/>
  <c r="C45" i="18"/>
  <c r="G45" i="18" s="1"/>
  <c r="C47" i="18"/>
  <c r="C42" i="18"/>
  <c r="G42" i="18" s="1"/>
  <c r="C49" i="18"/>
  <c r="C45" i="20"/>
  <c r="G45" i="20" s="1"/>
  <c r="C49" i="20"/>
  <c r="C42" i="20"/>
  <c r="G42" i="20" s="1"/>
  <c r="C47" i="20"/>
  <c r="C50" i="20"/>
  <c r="C43" i="20"/>
  <c r="G43" i="20" s="1"/>
  <c r="C50" i="18"/>
  <c r="C43" i="18"/>
  <c r="G43" i="18" s="1"/>
  <c r="G42" i="21" l="1"/>
  <c r="H42" i="21" s="1"/>
  <c r="C51" i="16" s="1"/>
  <c r="E79" i="24"/>
  <c r="C80" i="24" s="1"/>
  <c r="E80" i="24" s="1"/>
  <c r="G76" i="24"/>
  <c r="G34" i="22"/>
  <c r="H34" i="22" s="1"/>
  <c r="C51" i="20" s="1"/>
  <c r="E51" i="20" s="1"/>
  <c r="F34" i="22"/>
  <c r="G47" i="20"/>
  <c r="E47" i="20"/>
  <c r="E47" i="18"/>
  <c r="G47" i="18"/>
  <c r="E49" i="18"/>
  <c r="G49" i="18"/>
  <c r="K37" i="20"/>
  <c r="C100" i="20"/>
  <c r="E100" i="20" s="1"/>
  <c r="E103" i="20" s="1"/>
  <c r="G57" i="20" s="1"/>
  <c r="C61" i="20"/>
  <c r="C100" i="18"/>
  <c r="E100" i="18" s="1"/>
  <c r="C61" i="18"/>
  <c r="G49" i="20"/>
  <c r="E49" i="20"/>
  <c r="G51" i="20"/>
  <c r="E50" i="18"/>
  <c r="G50" i="18"/>
  <c r="E50" i="20"/>
  <c r="G50" i="20"/>
  <c r="G51" i="18"/>
  <c r="E51" i="18"/>
  <c r="E103" i="18" l="1"/>
  <c r="G57" i="18" s="1"/>
  <c r="G67" i="18" s="1"/>
  <c r="E85" i="18" s="1"/>
  <c r="E83" i="24"/>
  <c r="G67" i="20"/>
  <c r="E85" i="20" s="1"/>
  <c r="C62" i="18"/>
  <c r="E62" i="18" s="1"/>
  <c r="C108" i="18"/>
  <c r="E108" i="18" s="1"/>
  <c r="E61" i="18"/>
  <c r="C62" i="20"/>
  <c r="E62" i="20" s="1"/>
  <c r="C108" i="20"/>
  <c r="E108" i="20" s="1"/>
  <c r="E110" i="20" s="1"/>
  <c r="G77" i="20" s="1"/>
  <c r="E61" i="20"/>
  <c r="E110" i="18" l="1"/>
  <c r="G77" i="18" s="1"/>
  <c r="E67" i="18"/>
  <c r="G75" i="18" s="1"/>
  <c r="E67" i="20"/>
  <c r="G75" i="20" s="1"/>
  <c r="K36" i="20"/>
  <c r="F19" i="14"/>
  <c r="C18" i="14"/>
  <c r="E152" i="13"/>
  <c r="E153" i="13" s="1"/>
  <c r="E163" i="13" s="1"/>
  <c r="D164" i="13" s="1"/>
  <c r="E143" i="13"/>
  <c r="E145" i="13" s="1"/>
  <c r="E32" i="13" s="1"/>
  <c r="E50" i="14"/>
  <c r="E51" i="14" s="1"/>
  <c r="E52" i="14" s="1"/>
  <c r="E53" i="14" s="1"/>
  <c r="E54" i="14" s="1"/>
  <c r="D40" i="14"/>
  <c r="E39" i="14"/>
  <c r="C39" i="14"/>
  <c r="C40" i="14" s="1"/>
  <c r="C41" i="14" s="1"/>
  <c r="C42" i="14" s="1"/>
  <c r="C43" i="14" s="1"/>
  <c r="F29" i="14"/>
  <c r="G29" i="14" s="1"/>
  <c r="G18" i="14"/>
  <c r="E7" i="14"/>
  <c r="C7" i="14"/>
  <c r="K35" i="20" l="1"/>
  <c r="D79" i="20"/>
  <c r="C80" i="20" s="1"/>
  <c r="E80" i="20" s="1"/>
  <c r="G76" i="18"/>
  <c r="E79" i="18"/>
  <c r="C80" i="18" s="1"/>
  <c r="E80" i="18" s="1"/>
  <c r="G76" i="20"/>
  <c r="K39" i="20"/>
  <c r="K47" i="20" s="1"/>
  <c r="E155" i="13"/>
  <c r="G30" i="14"/>
  <c r="G31" i="14" s="1"/>
  <c r="G32" i="14" s="1"/>
  <c r="G33" i="14" s="1"/>
  <c r="C29" i="14"/>
  <c r="E40" i="14"/>
  <c r="E41" i="14" s="1"/>
  <c r="E42" i="14" s="1"/>
  <c r="F7" i="14"/>
  <c r="G7" i="14" s="1"/>
  <c r="H7" i="14" s="1"/>
  <c r="F39" i="14"/>
  <c r="I39" i="14" s="1"/>
  <c r="G19" i="14"/>
  <c r="G20" i="14" s="1"/>
  <c r="G21" i="14" s="1"/>
  <c r="G22" i="14" s="1"/>
  <c r="D18" i="14"/>
  <c r="E8" i="14"/>
  <c r="E9" i="14" s="1"/>
  <c r="E10" i="14" s="1"/>
  <c r="E11" i="14" s="1"/>
  <c r="E156" i="13"/>
  <c r="E157" i="13" s="1"/>
  <c r="E161" i="13"/>
  <c r="E162" i="13" s="1"/>
  <c r="E34" i="13" s="1"/>
  <c r="C164" i="13"/>
  <c r="E164" i="13" s="1"/>
  <c r="E33" i="13" s="1"/>
  <c r="H18" i="14"/>
  <c r="I18" i="14" s="1"/>
  <c r="J18" i="14" s="1"/>
  <c r="E83" i="20" l="1"/>
  <c r="K18" i="14"/>
  <c r="F40" i="14"/>
  <c r="G40" i="14" s="1"/>
  <c r="F41" i="14"/>
  <c r="G41" i="14" s="1"/>
  <c r="D29" i="14"/>
  <c r="G39" i="14"/>
  <c r="H39" i="14" s="1"/>
  <c r="H29" i="14"/>
  <c r="I29" i="14" s="1"/>
  <c r="J29" i="14" s="1"/>
  <c r="E43" i="14"/>
  <c r="F43" i="14" s="1"/>
  <c r="F42" i="14"/>
  <c r="I41" i="14" l="1"/>
  <c r="I40" i="14"/>
  <c r="G50" i="14"/>
  <c r="H50" i="14" s="1"/>
  <c r="F50" i="14"/>
  <c r="H40" i="14"/>
  <c r="G42" i="14"/>
  <c r="H42" i="14" s="1"/>
  <c r="I42" i="14"/>
  <c r="I43" i="14"/>
  <c r="G43" i="14"/>
  <c r="H41" i="14"/>
  <c r="H43" i="14" l="1"/>
  <c r="D133" i="13" l="1"/>
  <c r="E133" i="13" s="1"/>
  <c r="D132" i="13"/>
  <c r="F132" i="13" s="1"/>
  <c r="D131" i="13"/>
  <c r="F131" i="13" s="1"/>
  <c r="D130" i="13"/>
  <c r="F130" i="13" s="1"/>
  <c r="F124" i="13"/>
  <c r="C121" i="13"/>
  <c r="E117" i="13"/>
  <c r="E116" i="13"/>
  <c r="C98" i="13"/>
  <c r="F46" i="13"/>
  <c r="F43" i="13"/>
  <c r="D36" i="13"/>
  <c r="C26" i="13"/>
  <c r="D25" i="13"/>
  <c r="D24" i="13"/>
  <c r="C24" i="13"/>
  <c r="C22" i="13"/>
  <c r="E20" i="13"/>
  <c r="D22" i="13" s="1"/>
  <c r="E22" i="13" s="1"/>
  <c r="C92" i="13"/>
  <c r="E24" i="13" l="1"/>
  <c r="E36" i="13"/>
  <c r="E132" i="13"/>
  <c r="F133" i="13"/>
  <c r="F135" i="13" s="1"/>
  <c r="D27" i="13"/>
  <c r="D26" i="13"/>
  <c r="E26" i="13" s="1"/>
  <c r="C93" i="13"/>
  <c r="E131" i="13"/>
  <c r="D135" i="13"/>
  <c r="C97" i="13"/>
  <c r="E130" i="13"/>
  <c r="E135" i="13" l="1"/>
  <c r="E115" i="13"/>
  <c r="C25" i="13"/>
  <c r="E25" i="13" s="1"/>
  <c r="C27" i="13"/>
  <c r="E27" i="13" s="1"/>
  <c r="E37" i="13" l="1"/>
  <c r="C65" i="13"/>
  <c r="E65" i="13" s="1"/>
  <c r="C41" i="13" l="1"/>
  <c r="G41" i="13" s="1"/>
  <c r="C54" i="13"/>
  <c r="G54" i="13" s="1"/>
  <c r="C57" i="13"/>
  <c r="D124" i="13"/>
  <c r="G124" i="13" s="1"/>
  <c r="H124" i="13" s="1"/>
  <c r="C58" i="13"/>
  <c r="D91" i="13"/>
  <c r="C49" i="13"/>
  <c r="G57" i="13" l="1"/>
  <c r="C8" i="14"/>
  <c r="C9" i="14" s="1"/>
  <c r="B19" i="14"/>
  <c r="G58" i="13"/>
  <c r="E58" i="13"/>
  <c r="E114" i="13"/>
  <c r="E118" i="13" s="1"/>
  <c r="G66" i="13"/>
  <c r="G49" i="13"/>
  <c r="E49" i="13"/>
  <c r="E94" i="13"/>
  <c r="E95" i="13"/>
  <c r="E96" i="13"/>
  <c r="E98" i="13"/>
  <c r="E92" i="13"/>
  <c r="E97" i="13"/>
  <c r="E93" i="13"/>
  <c r="C107" i="13" l="1"/>
  <c r="E107" i="13" s="1"/>
  <c r="E106" i="13"/>
  <c r="D19" i="14"/>
  <c r="B30" i="14"/>
  <c r="C30" i="14" s="1"/>
  <c r="F8" i="14"/>
  <c r="G8" i="14" s="1"/>
  <c r="C10" i="14"/>
  <c r="F9" i="14"/>
  <c r="C19" i="14"/>
  <c r="B51" i="14" l="1"/>
  <c r="C51" i="14" s="1"/>
  <c r="D30" i="14"/>
  <c r="C31" i="14"/>
  <c r="H30" i="14"/>
  <c r="I30" i="14" s="1"/>
  <c r="J30" i="14" s="1"/>
  <c r="K30" i="14" s="1"/>
  <c r="G53" i="16" s="1"/>
  <c r="G9" i="14"/>
  <c r="H9" i="14" s="1"/>
  <c r="H19" i="14"/>
  <c r="I19" i="14" s="1"/>
  <c r="J19" i="14" s="1"/>
  <c r="K19" i="14" s="1"/>
  <c r="C20" i="14"/>
  <c r="H8" i="14"/>
  <c r="C11" i="14"/>
  <c r="F11" i="14" s="1"/>
  <c r="F10" i="14"/>
  <c r="G10" i="14" s="1"/>
  <c r="H10" i="14" s="1"/>
  <c r="C52" i="14" l="1"/>
  <c r="G51" i="14"/>
  <c r="H51" i="14" s="1"/>
  <c r="F51" i="14"/>
  <c r="H31" i="14"/>
  <c r="I31" i="14" s="1"/>
  <c r="J31" i="14" s="1"/>
  <c r="K31" i="14" s="1"/>
  <c r="C32" i="14"/>
  <c r="C21" i="14"/>
  <c r="H20" i="14"/>
  <c r="I20" i="14" s="1"/>
  <c r="J20" i="14" s="1"/>
  <c r="K20" i="14" s="1"/>
  <c r="G11" i="14"/>
  <c r="J18" i="16" s="1"/>
  <c r="C47" i="16" s="1"/>
  <c r="C49" i="16" l="1"/>
  <c r="G49" i="16" s="1"/>
  <c r="C101" i="16"/>
  <c r="E101" i="16" s="1"/>
  <c r="J19" i="16"/>
  <c r="C42" i="16"/>
  <c r="G42" i="16" s="1"/>
  <c r="H11" i="14"/>
  <c r="J18" i="13" s="1"/>
  <c r="J17" i="13"/>
  <c r="C53" i="14"/>
  <c r="F52" i="14"/>
  <c r="G52" i="14"/>
  <c r="H52" i="14" s="1"/>
  <c r="C33" i="14"/>
  <c r="H33" i="14" s="1"/>
  <c r="I33" i="14" s="1"/>
  <c r="H32" i="14"/>
  <c r="I32" i="14" s="1"/>
  <c r="J32" i="14" s="1"/>
  <c r="K32" i="14" s="1"/>
  <c r="C100" i="16"/>
  <c r="E100" i="16" s="1"/>
  <c r="E103" i="16" s="1"/>
  <c r="E49" i="16"/>
  <c r="G47" i="16"/>
  <c r="E47" i="16"/>
  <c r="C22" i="14"/>
  <c r="H22" i="14" s="1"/>
  <c r="I22" i="14" s="1"/>
  <c r="H21" i="14"/>
  <c r="I21" i="14" s="1"/>
  <c r="J21" i="14" s="1"/>
  <c r="K21" i="14" s="1"/>
  <c r="G57" i="16" l="1"/>
  <c r="C50" i="16"/>
  <c r="C45" i="16"/>
  <c r="G45" i="16" s="1"/>
  <c r="C43" i="16"/>
  <c r="G43" i="16" s="1"/>
  <c r="J22" i="14"/>
  <c r="K22" i="14" s="1"/>
  <c r="C51" i="13"/>
  <c r="C44" i="13"/>
  <c r="G44" i="13" s="1"/>
  <c r="C101" i="13"/>
  <c r="E101" i="13" s="1"/>
  <c r="C48" i="13"/>
  <c r="C46" i="13"/>
  <c r="G46" i="13" s="1"/>
  <c r="C43" i="13"/>
  <c r="G43" i="13" s="1"/>
  <c r="C50" i="13"/>
  <c r="C54" i="14"/>
  <c r="F53" i="14"/>
  <c r="G53" i="14"/>
  <c r="H53" i="14" s="1"/>
  <c r="G51" i="16"/>
  <c r="E51" i="16"/>
  <c r="J33" i="14"/>
  <c r="K33" i="14" s="1"/>
  <c r="C61" i="16" l="1"/>
  <c r="C108" i="16" s="1"/>
  <c r="E108" i="16" s="1"/>
  <c r="E110" i="16" s="1"/>
  <c r="G77" i="16" s="1"/>
  <c r="C62" i="16"/>
  <c r="E62" i="16" s="1"/>
  <c r="G50" i="16"/>
  <c r="G67" i="16" s="1"/>
  <c r="E85" i="16" s="1"/>
  <c r="E50" i="16"/>
  <c r="J60" i="16" s="1"/>
  <c r="F54" i="14"/>
  <c r="G54" i="14"/>
  <c r="H54" i="14" s="1"/>
  <c r="C52" i="13" s="1"/>
  <c r="C100" i="13"/>
  <c r="E100" i="13" s="1"/>
  <c r="E103" i="13" s="1"/>
  <c r="G59" i="13" s="1"/>
  <c r="C63" i="13"/>
  <c r="G50" i="13"/>
  <c r="E50" i="13"/>
  <c r="E51" i="13"/>
  <c r="G51" i="13"/>
  <c r="G48" i="13"/>
  <c r="E48" i="13"/>
  <c r="E61" i="16" l="1"/>
  <c r="G52" i="13"/>
  <c r="E52" i="13"/>
  <c r="J61" i="16"/>
  <c r="D65" i="16" s="1"/>
  <c r="E65" i="16" s="1"/>
  <c r="I51" i="16"/>
  <c r="E85" i="13"/>
  <c r="C108" i="13"/>
  <c r="E108" i="13" s="1"/>
  <c r="C64" i="13"/>
  <c r="E64" i="13" s="1"/>
  <c r="E63" i="13"/>
  <c r="I85" i="16"/>
  <c r="E67" i="16" l="1"/>
  <c r="G76" i="16"/>
  <c r="G76" i="13"/>
  <c r="G75" i="16" l="1"/>
  <c r="E79" i="16"/>
  <c r="C80" i="16"/>
  <c r="E80" i="16" s="1"/>
  <c r="E83" i="16" s="1"/>
  <c r="E79" i="13"/>
  <c r="C80" i="13" s="1"/>
  <c r="E80" i="13" s="1"/>
  <c r="E83" i="13" s="1"/>
</calcChain>
</file>

<file path=xl/sharedStrings.xml><?xml version="1.0" encoding="utf-8"?>
<sst xmlns="http://schemas.openxmlformats.org/spreadsheetml/2006/main" count="1373" uniqueCount="304">
  <si>
    <t>Durée hebdomadaire</t>
  </si>
  <si>
    <t>Mutuelle salariale</t>
  </si>
  <si>
    <t>Mutuelle patronale</t>
  </si>
  <si>
    <t>jeudi</t>
  </si>
  <si>
    <t>vendredi</t>
  </si>
  <si>
    <t>lundi</t>
  </si>
  <si>
    <t>mardi</t>
  </si>
  <si>
    <t>mercredi</t>
  </si>
  <si>
    <t>Effectif</t>
  </si>
  <si>
    <t>ARRET DE TRAVAIL MALADIE</t>
  </si>
  <si>
    <t>Retenues sur salaires</t>
  </si>
  <si>
    <t>Salaire de base</t>
  </si>
  <si>
    <t>Jours calendaires</t>
  </si>
  <si>
    <t>Retenue par journée</t>
  </si>
  <si>
    <t>Nombre de jours d'absence</t>
  </si>
  <si>
    <t>Retenue sur salaires</t>
  </si>
  <si>
    <t>Indemnités journalières de sécutité sociale</t>
  </si>
  <si>
    <t>Maladie</t>
  </si>
  <si>
    <t>Bruts</t>
  </si>
  <si>
    <t>Limite</t>
  </si>
  <si>
    <t>Salaires N-1</t>
  </si>
  <si>
    <t>Salaires N-2</t>
  </si>
  <si>
    <t>Salaires N-3</t>
  </si>
  <si>
    <t>Total des salaires</t>
  </si>
  <si>
    <t>Par jour</t>
  </si>
  <si>
    <t>IJSS Brutes</t>
  </si>
  <si>
    <t>CSG CRDS 6,70%</t>
  </si>
  <si>
    <t xml:space="preserve">IJSS Nettes </t>
  </si>
  <si>
    <t>Maintien de salaire</t>
  </si>
  <si>
    <t>Jours de maintien de salaire</t>
  </si>
  <si>
    <t>Maintien par jour de maladie</t>
  </si>
  <si>
    <t>Maintien de salaire brut</t>
  </si>
  <si>
    <t>IJSS Brutes par journée</t>
  </si>
  <si>
    <t>IJSS Brutes sur la durée du maintien</t>
  </si>
  <si>
    <t>BULLETIN DE SALAIRE</t>
  </si>
  <si>
    <t>SAISIE DES VARIABLES</t>
  </si>
  <si>
    <t>Employeur</t>
  </si>
  <si>
    <t>Salarié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</si>
  <si>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</si>
  <si>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</si>
  <si>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</si>
  <si>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</si>
  <si>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</si>
  <si>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</si>
  <si>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</si>
  <si>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</si>
  <si>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Code postal :</t>
  </si>
  <si>
    <t>Taux accident du travail</t>
  </si>
  <si>
    <t>Ville :</t>
  </si>
  <si>
    <t>CP/ Ville</t>
  </si>
  <si>
    <t>Taux de versement de mobilité</t>
  </si>
  <si>
    <t>Le versement de mobilité ne peut pas être appliqué car l'effectif est inférieur à 11 salariés.</t>
  </si>
  <si>
    <t>N° SIRET :</t>
  </si>
  <si>
    <t>Emploi :</t>
  </si>
  <si>
    <t>Gérant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</si>
  <si>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</si>
  <si>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</si>
  <si>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</si>
  <si>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</si>
  <si>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</si>
  <si>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</si>
  <si>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</si>
  <si>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</si>
  <si>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</si>
  <si>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</si>
  <si>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</si>
  <si>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</si>
  <si>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</si>
  <si>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</si>
  <si>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</si>
  <si>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</si>
  <si>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</si>
  <si>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</si>
  <si>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</si>
  <si>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</si>
  <si>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</si>
  <si>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</si>
  <si>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</si>
  <si>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</si>
  <si>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</si>
  <si>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Taux de prélèvement à la source</t>
  </si>
  <si>
    <t>Taux de mutuelle salariale</t>
  </si>
  <si>
    <t>Absences</t>
  </si>
  <si>
    <t>Taux de mutuelle patronale</t>
  </si>
  <si>
    <t>Taux de prévoyance salariale</t>
  </si>
  <si>
    <t>Taux de prévoyance patronale</t>
  </si>
  <si>
    <t>Taux de la prime d'ancienneté</t>
  </si>
  <si>
    <t>Salaire minimum de la catégorie du salarié SMIC</t>
  </si>
  <si>
    <t>Retenues pour congés payés</t>
  </si>
  <si>
    <t>Indemnité pour congés payés</t>
  </si>
  <si>
    <t>Retenue absence arrêt de travail</t>
  </si>
  <si>
    <t xml:space="preserve">IJSS </t>
  </si>
  <si>
    <t>Prime d'ancienneté</t>
  </si>
  <si>
    <t>Salaire brut</t>
  </si>
  <si>
    <t>Cotisations et contributions sociales</t>
  </si>
  <si>
    <t>Assiettes</t>
  </si>
  <si>
    <t>Taux</t>
  </si>
  <si>
    <t>Retenues
salariales</t>
  </si>
  <si>
    <t>Retenues
patronales</t>
  </si>
  <si>
    <t>SANTE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</si>
  <si>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</si>
  <si>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</si>
  <si>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</si>
  <si>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 xml:space="preserve">Complémentaire santé 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</si>
  <si>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</si>
  <si>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</si>
  <si>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</si>
  <si>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</si>
  <si>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</si>
  <si>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</si>
  <si>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</si>
  <si>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</si>
  <si>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</si>
  <si>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</si>
  <si>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 xml:space="preserve">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</si>
  <si>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</si>
  <si>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</si>
  <si>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</si>
  <si>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</si>
  <si>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</si>
  <si>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</si>
  <si>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 xml:space="preserve">Réduction générale de cotisations patronales </t>
  </si>
  <si>
    <t>Réduction cotisations heures supplémentaires et complémentaires</t>
  </si>
  <si>
    <t>Exonération de cotisation employeur sur heures supplémentaires</t>
  </si>
  <si>
    <t>Total de cotisations et contributions</t>
  </si>
  <si>
    <t>Acompte</t>
  </si>
  <si>
    <t>Avantage en nature</t>
  </si>
  <si>
    <t>Saisie sur salaires</t>
  </si>
  <si>
    <t>Titres repas</t>
  </si>
  <si>
    <t>Frais de déplacement professionnel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</si>
  <si>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</si>
  <si>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</si>
  <si>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</si>
  <si>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</si>
  <si>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Montant</t>
  </si>
  <si>
    <t>NET FISCAL</t>
  </si>
  <si>
    <t>Salaires bruts</t>
  </si>
  <si>
    <t>Salaires imposables</t>
  </si>
  <si>
    <t>Dans votre intérêt et pour vous aider à faire valoir vos droits, conserver ce bulletin de paie sans limitation de durée</t>
  </si>
  <si>
    <t>versement transport :</t>
  </si>
  <si>
    <t>FNAL : 0,50%</t>
  </si>
  <si>
    <t>Dialogue social : 0,016%</t>
  </si>
  <si>
    <t>Solidarité autonomie : 0,30%</t>
  </si>
  <si>
    <t>Apprentissage : 0,68%</t>
  </si>
  <si>
    <t>Formation : %</t>
  </si>
  <si>
    <t>Forfait social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</si>
  <si>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</si>
  <si>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</si>
  <si>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</si>
  <si>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</si>
  <si>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</si>
  <si>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</si>
  <si>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</si>
  <si>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</si>
  <si>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</si>
  <si>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</si>
  <si>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</si>
  <si>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</si>
  <si>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coeff maximum cumulé</t>
  </si>
  <si>
    <t>MOIS</t>
  </si>
  <si>
    <t>BRUTS</t>
  </si>
  <si>
    <t>CUMULS</t>
  </si>
  <si>
    <t>smics</t>
  </si>
  <si>
    <t>SMICS
 CUMULES</t>
  </si>
  <si>
    <t>COEF ALLEGT
CUMULES</t>
  </si>
  <si>
    <t>ALLEGT 
CUMULES</t>
  </si>
  <si>
    <t>ALLEGT 
DU MOIS</t>
  </si>
  <si>
    <t>janvier</t>
  </si>
  <si>
    <t>Heures supplémentaire</t>
  </si>
  <si>
    <t>Décompte</t>
  </si>
  <si>
    <t xml:space="preserve">Heures effectuées </t>
  </si>
  <si>
    <t>Heure Compl</t>
  </si>
  <si>
    <t>Heure Comp 110%</t>
  </si>
  <si>
    <t>Heure Comp 125%</t>
  </si>
  <si>
    <t>Semaine du 3 au 7 janvier</t>
  </si>
  <si>
    <t>Semaine du 10 au 14</t>
  </si>
  <si>
    <t>Semaine du 17 au 21</t>
  </si>
  <si>
    <t>Semaine du 24 au 28</t>
  </si>
  <si>
    <t>Semaine du 31 au -</t>
  </si>
  <si>
    <t>report au mois suivant- non complet</t>
  </si>
  <si>
    <t>Total</t>
  </si>
  <si>
    <t>Nombre de jours d'arret pris en charge</t>
  </si>
  <si>
    <t>21-3</t>
  </si>
  <si>
    <t>Regularisation mensuelle progressive des plafonds de sécurité sociale</t>
  </si>
  <si>
    <t>Plafond de sécurité sociale</t>
  </si>
  <si>
    <t>Cumuls bruts</t>
  </si>
  <si>
    <t>Plafonds</t>
  </si>
  <si>
    <t>Plafonds 
cumulés</t>
  </si>
  <si>
    <t>TA/T1 
cumulées</t>
  </si>
  <si>
    <t>TA/T1
du mois</t>
  </si>
  <si>
    <t>TB/T2
 du mois</t>
  </si>
  <si>
    <t>JANVIER</t>
  </si>
  <si>
    <t>FÉVRIER</t>
  </si>
  <si>
    <t>MARS</t>
  </si>
  <si>
    <t>AVRIL</t>
  </si>
  <si>
    <t>MAI</t>
  </si>
  <si>
    <t>Regularisation mensuelle progressive des cotisations de maladie</t>
  </si>
  <si>
    <t>Assiette 
 7%</t>
  </si>
  <si>
    <t>2,5 SMIC</t>
  </si>
  <si>
    <t>CUMUL 2,5 SMIC</t>
  </si>
  <si>
    <t xml:space="preserve">Complément
6% </t>
  </si>
  <si>
    <t>Assiette cumulé
6%</t>
  </si>
  <si>
    <t>Assiette 6%
du mois</t>
  </si>
  <si>
    <t>Patronale
maladie</t>
  </si>
  <si>
    <t>Regularisation mensuelle progressive des cotisations d'allocations familiales</t>
  </si>
  <si>
    <t>Assiette 
 3,45%</t>
  </si>
  <si>
    <t>3,5 SMIC</t>
  </si>
  <si>
    <t>CUMUL 3,5 SMIC</t>
  </si>
  <si>
    <t xml:space="preserve">Complément
1,8% </t>
  </si>
  <si>
    <t>Assiette cumulée
1,8%</t>
  </si>
  <si>
    <t>Assiette 1,8%
du mois</t>
  </si>
  <si>
    <t xml:space="preserve">ALLEGEMENT GENERAL DE COTISATIONS </t>
  </si>
  <si>
    <t>Remarque</t>
  </si>
  <si>
    <t>Regularisation mensuelle progressive de la cotisation CET</t>
  </si>
  <si>
    <t>CET à payer</t>
  </si>
  <si>
    <t>CET 
cumulées</t>
  </si>
  <si>
    <t>Jours rémunérés</t>
  </si>
  <si>
    <t>28-7</t>
  </si>
  <si>
    <t>IJSS nettes</t>
  </si>
  <si>
    <t>REVENU FISCAL</t>
  </si>
  <si>
    <t>Retenues salariales</t>
  </si>
  <si>
    <t>CSG 2,90%</t>
  </si>
  <si>
    <t>Prévoyance patronale</t>
  </si>
  <si>
    <t>IJSS</t>
  </si>
  <si>
    <t>IJSS brutes</t>
  </si>
  <si>
    <t>CSG à 3,80%</t>
  </si>
  <si>
    <t>NET</t>
  </si>
  <si>
    <t>IJSS 50%</t>
  </si>
  <si>
    <t>1211,20*50%</t>
  </si>
  <si>
    <t>CADRE</t>
  </si>
  <si>
    <t>Salaire minimum de la catégorie du salarié</t>
  </si>
  <si>
    <t>Assiette CET 
du mois</t>
  </si>
  <si>
    <t>Heures supplémentaires</t>
  </si>
  <si>
    <t>DUREE</t>
  </si>
  <si>
    <t>HS110%</t>
  </si>
  <si>
    <t>HS125%</t>
  </si>
  <si>
    <t>HS150%</t>
  </si>
  <si>
    <t>11 au 15</t>
  </si>
  <si>
    <t>HS</t>
  </si>
  <si>
    <t>Heures bonifiées à 25%</t>
  </si>
  <si>
    <t>Samedi 30</t>
  </si>
  <si>
    <t>Heures supplémentaires à 110%</t>
  </si>
  <si>
    <t>Bonification du samedi</t>
  </si>
  <si>
    <t>Moyenne cotisations / salaires</t>
  </si>
  <si>
    <t>ce taux est inférieur à 11,31%</t>
  </si>
  <si>
    <t>1/26</t>
  </si>
  <si>
    <t>Nombre de jours pris</t>
  </si>
  <si>
    <t>Indemnité de congé</t>
  </si>
  <si>
    <t>Indemnité payés sur les 4 semaines de congés en juillet et aout</t>
  </si>
  <si>
    <t>CONGES PAYES</t>
  </si>
  <si>
    <t>Salaire mensuel</t>
  </si>
  <si>
    <t>Prime de rendement</t>
  </si>
  <si>
    <t>Assiette</t>
  </si>
  <si>
    <t>1/10</t>
  </si>
  <si>
    <t>31-3</t>
  </si>
  <si>
    <t>Abonnement transport</t>
  </si>
  <si>
    <t>Commissions</t>
  </si>
  <si>
    <t>Exonération, écrètement et allègements de cotisations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</si>
  <si>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</si>
  <si>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</si>
  <si>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</si>
  <si>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</si>
  <si>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</si>
  <si>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</si>
  <si>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</si>
  <si>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REDUCTION  GENERALE DE COTISATIONS</t>
  </si>
  <si>
    <t>SMIC</t>
  </si>
  <si>
    <t>DUMONT</t>
  </si>
  <si>
    <t>LAMBERT</t>
  </si>
  <si>
    <t>SALVI</t>
  </si>
  <si>
    <t>SMITH</t>
  </si>
  <si>
    <t>WINCKERT</t>
  </si>
  <si>
    <t>SALARIALES</t>
  </si>
  <si>
    <t>PATRONALES</t>
  </si>
  <si>
    <t>MUTUELLES ADULTES</t>
  </si>
  <si>
    <t>repas</t>
  </si>
  <si>
    <t>taux</t>
  </si>
  <si>
    <t>Prime exceptionnelle</t>
  </si>
  <si>
    <t>Salaire de base d'avril</t>
  </si>
  <si>
    <t>Jours ouvrés en avril</t>
  </si>
  <si>
    <t>ARRET DE TRAVAIL</t>
  </si>
  <si>
    <t>Pas de maintien de salaire car durée de 7 jours</t>
  </si>
  <si>
    <t>3666*24/31</t>
  </si>
  <si>
    <t>Frais de santé sur plafond SS</t>
  </si>
  <si>
    <t>Patronale
alloc fam</t>
  </si>
  <si>
    <t xml:space="preserve"> Famille complément</t>
  </si>
  <si>
    <t>Sécurité sociale - Maladie - Maternité - Invalidité décès complément</t>
  </si>
  <si>
    <t>160,42*11,52</t>
  </si>
  <si>
    <t>NET SOCIAL</t>
  </si>
  <si>
    <t>3864*28/31</t>
  </si>
  <si>
    <t>11,52*116,67</t>
  </si>
  <si>
    <t>Taux horaire heures suppl</t>
  </si>
  <si>
    <t>Taux 100%</t>
  </si>
  <si>
    <t>Cotisations salariales de retraite</t>
  </si>
  <si>
    <t>Régle du dixième</t>
  </si>
  <si>
    <t>Maintien</t>
  </si>
  <si>
    <t>dixieme</t>
  </si>
  <si>
    <t>Indemnité sur ma 5eme semaine</t>
  </si>
  <si>
    <t>Régularisat au 1/10</t>
  </si>
  <si>
    <t>J Ouvrables</t>
  </si>
  <si>
    <t>Par J</t>
  </si>
  <si>
    <t>Régularisation au 1/10</t>
  </si>
  <si>
    <t>1750*12</t>
  </si>
  <si>
    <t>2200/30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</si>
</sst>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\ &quot;€&quot;"/>
    <numFmt numFmtId="167" formatCode="_-* #,##0.00\ [$€-40C]_-;\-* #,##0.00\ [$€-40C]_-;_-* &quot;-&quot;??\ [$€-40C]_-;_-@_-"/>
    <numFmt numFmtId="168" formatCode="0.000%"/>
    <numFmt numFmtId="169" formatCode="0.0000%"/>
    <numFmt numFmtId="170" formatCode="0.00000%"/>
    <numFmt numFmtId="171" formatCode="_-* #,##0\ &quot;€&quot;_-;\-* #,##0\ &quot;€&quot;_-;_-* &quot;-&quot;??\ &quot;€&quot;_-;_-@_-"/>
    <numFmt numFmtId="172" formatCode="#,##0.00\ [$€-40C];[Red]\-#,##0.00\ [$€-40C]"/>
    <numFmt numFmtId="173" formatCode="_-* #,##0.0000_-;\-* #,##0.00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8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2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48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center"/>
    </xf>
    <xf numFmtId="0" fontId="0" fillId="0" borderId="6" xfId="0" applyBorder="1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7" fillId="0" borderId="0" xfId="0" applyFont="1" applyAlignment="1">
      <alignment vertical="center"/>
    </xf>
    <xf numFmtId="0" fontId="9" fillId="3" borderId="12" xfId="4" applyFont="1" applyFill="1" applyBorder="1" applyAlignment="1">
      <alignment horizontal="centerContinuous" vertical="center"/>
    </xf>
    <xf numFmtId="0" fontId="7" fillId="3" borderId="13" xfId="0" applyFont="1" applyFill="1" applyBorder="1" applyAlignment="1">
      <alignment horizontal="centerContinuous" vertical="center"/>
    </xf>
    <xf numFmtId="0" fontId="7" fillId="3" borderId="14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horizontal="center" vertical="center"/>
    </xf>
    <xf numFmtId="0" fontId="11" fillId="0" borderId="1" xfId="4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8" fillId="0" borderId="4" xfId="4" applyNumberForma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7" fillId="0" borderId="6" xfId="3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0" fontId="13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8" fontId="7" fillId="0" borderId="6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7" fillId="0" borderId="5" xfId="0" applyNumberFormat="1" applyFont="1" applyBorder="1" applyAlignment="1">
      <alignment vertical="center"/>
    </xf>
    <xf numFmtId="14" fontId="7" fillId="0" borderId="6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4" borderId="19" xfId="4" applyFont="1" applyFill="1" applyBorder="1" applyAlignment="1">
      <alignment horizontal="center" vertical="center"/>
    </xf>
    <xf numFmtId="0" fontId="11" fillId="4" borderId="20" xfId="4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vertical="center"/>
    </xf>
    <xf numFmtId="0" fontId="9" fillId="3" borderId="19" xfId="4" applyFont="1" applyFill="1" applyBorder="1" applyAlignment="1">
      <alignment horizontal="centerContinuous" vertical="center"/>
    </xf>
    <xf numFmtId="0" fontId="7" fillId="3" borderId="20" xfId="0" applyFont="1" applyFill="1" applyBorder="1" applyAlignment="1">
      <alignment horizontal="centerContinuous" vertical="center"/>
    </xf>
    <xf numFmtId="0" fontId="7" fillId="3" borderId="21" xfId="0" applyFont="1" applyFill="1" applyBorder="1" applyAlignment="1">
      <alignment horizontal="centerContinuous" vertical="center"/>
    </xf>
    <xf numFmtId="44" fontId="12" fillId="0" borderId="6" xfId="0" applyNumberFormat="1" applyFont="1" applyBorder="1" applyAlignment="1">
      <alignment vertical="center"/>
    </xf>
    <xf numFmtId="0" fontId="11" fillId="0" borderId="22" xfId="4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2" fontId="7" fillId="0" borderId="2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horizontal="right" vertical="center"/>
    </xf>
    <xf numFmtId="0" fontId="7" fillId="6" borderId="24" xfId="0" applyFont="1" applyFill="1" applyBorder="1" applyAlignment="1">
      <alignment vertical="center"/>
    </xf>
    <xf numFmtId="44" fontId="7" fillId="6" borderId="3" xfId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165" fontId="15" fillId="0" borderId="6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horizontal="right" vertical="center"/>
    </xf>
    <xf numFmtId="44" fontId="7" fillId="0" borderId="26" xfId="1" applyFont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44" fontId="7" fillId="6" borderId="26" xfId="1" applyFont="1" applyFill="1" applyBorder="1" applyAlignment="1">
      <alignment vertical="center"/>
    </xf>
    <xf numFmtId="2" fontId="7" fillId="0" borderId="11" xfId="0" applyNumberFormat="1" applyFont="1" applyBorder="1" applyAlignment="1">
      <alignment horizontal="right" vertical="center"/>
    </xf>
    <xf numFmtId="9" fontId="7" fillId="0" borderId="6" xfId="0" applyNumberFormat="1" applyFont="1" applyBorder="1" applyAlignment="1">
      <alignment vertical="center"/>
    </xf>
    <xf numFmtId="44" fontId="7" fillId="0" borderId="5" xfId="1" applyFont="1" applyBorder="1" applyAlignment="1">
      <alignment vertical="center"/>
    </xf>
    <xf numFmtId="44" fontId="7" fillId="0" borderId="6" xfId="1" applyFont="1" applyBorder="1" applyAlignment="1">
      <alignment vertical="center"/>
    </xf>
    <xf numFmtId="0" fontId="7" fillId="6" borderId="28" xfId="0" applyFont="1" applyFill="1" applyBorder="1" applyAlignment="1">
      <alignment vertical="center"/>
    </xf>
    <xf numFmtId="44" fontId="7" fillId="6" borderId="6" xfId="0" applyNumberFormat="1" applyFont="1" applyFill="1" applyBorder="1" applyAlignment="1">
      <alignment vertical="center"/>
    </xf>
    <xf numFmtId="165" fontId="7" fillId="0" borderId="9" xfId="2" applyNumberFormat="1" applyFont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10" fontId="0" fillId="0" borderId="6" xfId="2" applyNumberFormat="1" applyFont="1" applyBorder="1" applyAlignment="1">
      <alignment horizontal="center" vertical="center"/>
    </xf>
    <xf numFmtId="0" fontId="16" fillId="0" borderId="0" xfId="0" applyFont="1"/>
    <xf numFmtId="0" fontId="0" fillId="0" borderId="7" xfId="0" applyBorder="1" applyAlignment="1">
      <alignment vertical="center"/>
    </xf>
    <xf numFmtId="44" fontId="0" fillId="0" borderId="9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7" fontId="7" fillId="6" borderId="28" xfId="0" applyNumberFormat="1" applyFont="1" applyFill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167" fontId="7" fillId="6" borderId="30" xfId="0" applyNumberFormat="1" applyFont="1" applyFill="1" applyBorder="1" applyAlignment="1">
      <alignment vertical="center"/>
    </xf>
    <xf numFmtId="167" fontId="7" fillId="6" borderId="31" xfId="0" applyNumberFormat="1" applyFont="1" applyFill="1" applyBorder="1" applyAlignment="1">
      <alignment vertical="center"/>
    </xf>
    <xf numFmtId="0" fontId="7" fillId="0" borderId="32" xfId="0" applyFont="1" applyBorder="1" applyAlignment="1">
      <alignment vertical="center"/>
    </xf>
    <xf numFmtId="44" fontId="13" fillId="7" borderId="33" xfId="1" applyFont="1" applyFill="1" applyBorder="1" applyAlignment="1">
      <alignment horizontal="right" vertical="center" wrapText="1"/>
    </xf>
    <xf numFmtId="9" fontId="12" fillId="0" borderId="10" xfId="0" applyNumberFormat="1" applyFont="1" applyBorder="1" applyAlignment="1">
      <alignment vertical="center"/>
    </xf>
    <xf numFmtId="44" fontId="12" fillId="0" borderId="29" xfId="1" applyFont="1" applyBorder="1" applyAlignment="1">
      <alignment vertical="center"/>
    </xf>
    <xf numFmtId="9" fontId="12" fillId="6" borderId="34" xfId="0" applyNumberFormat="1" applyFont="1" applyFill="1" applyBorder="1" applyAlignment="1">
      <alignment vertical="center"/>
    </xf>
    <xf numFmtId="44" fontId="7" fillId="6" borderId="18" xfId="1" applyFont="1" applyFill="1" applyBorder="1" applyAlignment="1">
      <alignment vertical="center"/>
    </xf>
    <xf numFmtId="44" fontId="12" fillId="0" borderId="35" xfId="1" applyFont="1" applyBorder="1" applyAlignment="1">
      <alignment vertical="center"/>
    </xf>
    <xf numFmtId="44" fontId="13" fillId="7" borderId="36" xfId="1" applyFont="1" applyFill="1" applyBorder="1" applyAlignment="1">
      <alignment horizontal="right" vertical="center" wrapText="1"/>
    </xf>
    <xf numFmtId="9" fontId="12" fillId="0" borderId="36" xfId="0" applyNumberFormat="1" applyFont="1" applyBorder="1" applyAlignment="1">
      <alignment vertical="center"/>
    </xf>
    <xf numFmtId="44" fontId="12" fillId="0" borderId="37" xfId="1" applyFont="1" applyBorder="1" applyAlignment="1">
      <alignment vertical="center"/>
    </xf>
    <xf numFmtId="9" fontId="12" fillId="6" borderId="0" xfId="0" applyNumberFormat="1" applyFont="1" applyFill="1" applyAlignment="1">
      <alignment vertical="center"/>
    </xf>
    <xf numFmtId="44" fontId="7" fillId="6" borderId="38" xfId="1" applyFont="1" applyFill="1" applyBorder="1" applyAlignment="1">
      <alignment vertical="center"/>
    </xf>
    <xf numFmtId="44" fontId="12" fillId="0" borderId="22" xfId="1" applyFont="1" applyBorder="1" applyAlignment="1">
      <alignment vertical="center"/>
    </xf>
    <xf numFmtId="44" fontId="12" fillId="0" borderId="39" xfId="1" applyFont="1" applyBorder="1" applyAlignment="1">
      <alignment vertical="center"/>
    </xf>
    <xf numFmtId="0" fontId="18" fillId="7" borderId="40" xfId="0" applyFont="1" applyFill="1" applyBorder="1" applyAlignment="1">
      <alignment horizontal="left" vertical="center" wrapText="1" readingOrder="1"/>
    </xf>
    <xf numFmtId="0" fontId="7" fillId="0" borderId="3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44" fontId="7" fillId="2" borderId="42" xfId="1" applyFont="1" applyFill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3" fillId="7" borderId="44" xfId="0" applyFont="1" applyFill="1" applyBorder="1" applyAlignment="1">
      <alignment horizontal="right" vertical="center" wrapText="1"/>
    </xf>
    <xf numFmtId="0" fontId="19" fillId="7" borderId="44" xfId="0" applyFont="1" applyFill="1" applyBorder="1" applyAlignment="1">
      <alignment horizontal="left" vertical="center" wrapText="1" readingOrder="1"/>
    </xf>
    <xf numFmtId="0" fontId="19" fillId="7" borderId="45" xfId="0" applyFont="1" applyFill="1" applyBorder="1" applyAlignment="1">
      <alignment horizontal="left" vertical="center" wrapText="1" readingOrder="1"/>
    </xf>
    <xf numFmtId="44" fontId="19" fillId="7" borderId="46" xfId="0" applyNumberFormat="1" applyFont="1" applyFill="1" applyBorder="1" applyAlignment="1">
      <alignment horizontal="left" vertical="center" wrapText="1" readingOrder="1"/>
    </xf>
    <xf numFmtId="0" fontId="18" fillId="3" borderId="47" xfId="0" applyFont="1" applyFill="1" applyBorder="1" applyAlignment="1">
      <alignment horizontal="left" vertical="center" wrapText="1" readingOrder="1"/>
    </xf>
    <xf numFmtId="0" fontId="18" fillId="3" borderId="48" xfId="0" applyFont="1" applyFill="1" applyBorder="1" applyAlignment="1">
      <alignment horizontal="center" vertical="center" wrapText="1" readingOrder="1"/>
    </xf>
    <xf numFmtId="0" fontId="18" fillId="3" borderId="49" xfId="0" applyFont="1" applyFill="1" applyBorder="1" applyAlignment="1">
      <alignment horizontal="center" vertical="center" wrapText="1" readingOrder="1"/>
    </xf>
    <xf numFmtId="0" fontId="18" fillId="8" borderId="35" xfId="0" applyFont="1" applyFill="1" applyBorder="1" applyAlignment="1">
      <alignment horizontal="left" vertical="center" wrapText="1" readingOrder="1"/>
    </xf>
    <xf numFmtId="0" fontId="13" fillId="8" borderId="36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 readingOrder="1"/>
    </xf>
    <xf numFmtId="0" fontId="18" fillId="8" borderId="50" xfId="0" applyFont="1" applyFill="1" applyBorder="1" applyAlignment="1">
      <alignment horizontal="center" vertical="center" wrapText="1" readingOrder="1"/>
    </xf>
    <xf numFmtId="0" fontId="18" fillId="8" borderId="37" xfId="0" applyFont="1" applyFill="1" applyBorder="1" applyAlignment="1">
      <alignment horizontal="center" vertical="center" wrapText="1" readingOrder="1"/>
    </xf>
    <xf numFmtId="0" fontId="19" fillId="7" borderId="35" xfId="0" applyFont="1" applyFill="1" applyBorder="1" applyAlignment="1">
      <alignment horizontal="left" vertical="center" wrapText="1" readingOrder="1"/>
    </xf>
    <xf numFmtId="0" fontId="13" fillId="7" borderId="36" xfId="0" applyFont="1" applyFill="1" applyBorder="1" applyAlignment="1">
      <alignment vertical="center" wrapText="1"/>
    </xf>
    <xf numFmtId="44" fontId="13" fillId="7" borderId="36" xfId="1" applyFont="1" applyFill="1" applyBorder="1" applyAlignment="1">
      <alignment vertical="center" wrapText="1"/>
    </xf>
    <xf numFmtId="10" fontId="12" fillId="0" borderId="6" xfId="0" applyNumberFormat="1" applyFont="1" applyBorder="1" applyAlignment="1">
      <alignment vertical="center"/>
    </xf>
    <xf numFmtId="44" fontId="13" fillId="7" borderId="37" xfId="1" applyFont="1" applyFill="1" applyBorder="1" applyAlignment="1">
      <alignment horizontal="right" vertical="center" wrapText="1"/>
    </xf>
    <xf numFmtId="10" fontId="19" fillId="7" borderId="36" xfId="0" applyNumberFormat="1" applyFont="1" applyFill="1" applyBorder="1" applyAlignment="1">
      <alignment horizontal="center" vertical="center" wrapText="1" readingOrder="1"/>
    </xf>
    <xf numFmtId="44" fontId="19" fillId="7" borderId="36" xfId="1" applyFont="1" applyFill="1" applyBorder="1" applyAlignment="1">
      <alignment horizontal="right" vertical="center" wrapText="1" readingOrder="1"/>
    </xf>
    <xf numFmtId="168" fontId="19" fillId="7" borderId="50" xfId="1" applyNumberFormat="1" applyFont="1" applyFill="1" applyBorder="1" applyAlignment="1">
      <alignment horizontal="right" vertical="center" wrapText="1" readingOrder="1"/>
    </xf>
    <xf numFmtId="0" fontId="18" fillId="7" borderId="35" xfId="0" applyFont="1" applyFill="1" applyBorder="1" applyAlignment="1">
      <alignment horizontal="left" vertical="center" wrapText="1" readingOrder="1"/>
    </xf>
    <xf numFmtId="168" fontId="19" fillId="0" borderId="36" xfId="0" applyNumberFormat="1" applyFont="1" applyBorder="1" applyAlignment="1">
      <alignment horizontal="right" vertical="center" wrapText="1" readingOrder="1"/>
    </xf>
    <xf numFmtId="0" fontId="19" fillId="7" borderId="36" xfId="0" applyFont="1" applyFill="1" applyBorder="1" applyAlignment="1">
      <alignment horizontal="center" vertical="center" wrapText="1" readingOrder="1"/>
    </xf>
    <xf numFmtId="44" fontId="20" fillId="2" borderId="37" xfId="1" applyFont="1" applyFill="1" applyBorder="1" applyAlignment="1">
      <alignment horizontal="right" vertical="center" wrapText="1"/>
    </xf>
    <xf numFmtId="168" fontId="13" fillId="7" borderId="50" xfId="1" applyNumberFormat="1" applyFont="1" applyFill="1" applyBorder="1" applyAlignment="1">
      <alignment horizontal="right" vertical="center" wrapText="1"/>
    </xf>
    <xf numFmtId="10" fontId="13" fillId="7" borderId="50" xfId="1" applyNumberFormat="1" applyFont="1" applyFill="1" applyBorder="1" applyAlignment="1">
      <alignment horizontal="right" vertical="center" wrapText="1"/>
    </xf>
    <xf numFmtId="168" fontId="19" fillId="7" borderId="36" xfId="0" applyNumberFormat="1" applyFont="1" applyFill="1" applyBorder="1" applyAlignment="1">
      <alignment horizontal="center" vertical="center" wrapText="1" readingOrder="1"/>
    </xf>
    <xf numFmtId="44" fontId="13" fillId="2" borderId="36" xfId="1" applyFont="1" applyFill="1" applyBorder="1" applyAlignment="1">
      <alignment horizontal="right" vertical="center" wrapText="1"/>
    </xf>
    <xf numFmtId="44" fontId="13" fillId="2" borderId="37" xfId="1" applyFont="1" applyFill="1" applyBorder="1" applyAlignment="1">
      <alignment horizontal="right" vertical="center" wrapText="1"/>
    </xf>
    <xf numFmtId="8" fontId="13" fillId="7" borderId="37" xfId="1" applyNumberFormat="1" applyFont="1" applyFill="1" applyBorder="1" applyAlignment="1">
      <alignment horizontal="right" vertical="center" wrapText="1"/>
    </xf>
    <xf numFmtId="0" fontId="21" fillId="8" borderId="35" xfId="0" applyFont="1" applyFill="1" applyBorder="1" applyAlignment="1">
      <alignment horizontal="left" vertical="center" wrapText="1" readingOrder="1"/>
    </xf>
    <xf numFmtId="168" fontId="19" fillId="7" borderId="36" xfId="0" applyNumberFormat="1" applyFont="1" applyFill="1" applyBorder="1" applyAlignment="1">
      <alignment horizontal="right" vertical="center" wrapText="1" readingOrder="1"/>
    </xf>
    <xf numFmtId="0" fontId="21" fillId="7" borderId="35" xfId="0" applyFont="1" applyFill="1" applyBorder="1" applyAlignment="1">
      <alignment horizontal="left" vertical="center" wrapText="1" readingOrder="1"/>
    </xf>
    <xf numFmtId="44" fontId="7" fillId="0" borderId="0" xfId="1" applyFont="1" applyBorder="1" applyAlignment="1">
      <alignment vertical="center"/>
    </xf>
    <xf numFmtId="0" fontId="18" fillId="7" borderId="51" xfId="0" applyFont="1" applyFill="1" applyBorder="1" applyAlignment="1">
      <alignment horizontal="left" vertical="center" wrapText="1" readingOrder="1"/>
    </xf>
    <xf numFmtId="43" fontId="13" fillId="7" borderId="52" xfId="3" applyFont="1" applyFill="1" applyBorder="1" applyAlignment="1">
      <alignment horizontal="right" vertical="center" wrapText="1"/>
    </xf>
    <xf numFmtId="0" fontId="7" fillId="0" borderId="53" xfId="0" applyFont="1" applyBorder="1" applyAlignment="1">
      <alignment vertical="center"/>
    </xf>
    <xf numFmtId="44" fontId="19" fillId="7" borderId="52" xfId="1" applyFont="1" applyFill="1" applyBorder="1" applyAlignment="1">
      <alignment horizontal="right" vertical="center" wrapText="1" readingOrder="1"/>
    </xf>
    <xf numFmtId="44" fontId="19" fillId="7" borderId="54" xfId="1" applyFont="1" applyFill="1" applyBorder="1" applyAlignment="1">
      <alignment horizontal="right" vertical="center" wrapText="1" readingOrder="1"/>
    </xf>
    <xf numFmtId="44" fontId="13" fillId="7" borderId="55" xfId="1" applyFont="1" applyFill="1" applyBorder="1" applyAlignment="1">
      <alignment horizontal="right" vertical="center" wrapText="1"/>
    </xf>
    <xf numFmtId="0" fontId="18" fillId="7" borderId="43" xfId="0" applyFont="1" applyFill="1" applyBorder="1" applyAlignment="1">
      <alignment horizontal="left" vertical="center" wrapText="1" readingOrder="1"/>
    </xf>
    <xf numFmtId="44" fontId="19" fillId="7" borderId="44" xfId="1" applyFont="1" applyFill="1" applyBorder="1" applyAlignment="1">
      <alignment horizontal="right" vertical="center" wrapText="1" readingOrder="1"/>
    </xf>
    <xf numFmtId="0" fontId="18" fillId="7" borderId="44" xfId="0" applyFont="1" applyFill="1" applyBorder="1" applyAlignment="1">
      <alignment horizontal="center" vertical="center" wrapText="1" readingOrder="1"/>
    </xf>
    <xf numFmtId="44" fontId="18" fillId="7" borderId="44" xfId="1" applyFont="1" applyFill="1" applyBorder="1" applyAlignment="1">
      <alignment horizontal="right" vertical="center" wrapText="1" readingOrder="1"/>
    </xf>
    <xf numFmtId="44" fontId="18" fillId="7" borderId="45" xfId="1" applyFont="1" applyFill="1" applyBorder="1" applyAlignment="1">
      <alignment horizontal="right" vertical="center" wrapText="1" readingOrder="1"/>
    </xf>
    <xf numFmtId="44" fontId="18" fillId="7" borderId="46" xfId="1" applyFont="1" applyFill="1" applyBorder="1" applyAlignment="1">
      <alignment horizontal="right" vertical="center" wrapText="1" readingOrder="1"/>
    </xf>
    <xf numFmtId="0" fontId="18" fillId="7" borderId="47" xfId="0" applyFont="1" applyFill="1" applyBorder="1" applyAlignment="1">
      <alignment horizontal="left" vertical="center" wrapText="1" readingOrder="1"/>
    </xf>
    <xf numFmtId="44" fontId="19" fillId="7" borderId="48" xfId="1" applyFont="1" applyFill="1" applyBorder="1" applyAlignment="1">
      <alignment horizontal="right" vertical="center" wrapText="1" readingOrder="1"/>
    </xf>
    <xf numFmtId="0" fontId="18" fillId="7" borderId="48" xfId="0" applyFont="1" applyFill="1" applyBorder="1" applyAlignment="1">
      <alignment horizontal="center" vertical="center" wrapText="1" readingOrder="1"/>
    </xf>
    <xf numFmtId="44" fontId="18" fillId="7" borderId="48" xfId="1" applyFont="1" applyFill="1" applyBorder="1" applyAlignment="1">
      <alignment horizontal="right" vertical="center" wrapText="1" readingOrder="1"/>
    </xf>
    <xf numFmtId="44" fontId="18" fillId="7" borderId="56" xfId="1" applyFont="1" applyFill="1" applyBorder="1" applyAlignment="1">
      <alignment horizontal="right" vertical="center" wrapText="1" readingOrder="1"/>
    </xf>
    <xf numFmtId="44" fontId="18" fillId="7" borderId="57" xfId="1" applyFont="1" applyFill="1" applyBorder="1" applyAlignment="1">
      <alignment horizontal="right" vertical="center" wrapText="1" readingOrder="1"/>
    </xf>
    <xf numFmtId="0" fontId="18" fillId="7" borderId="36" xfId="0" applyFont="1" applyFill="1" applyBorder="1" applyAlignment="1">
      <alignment horizontal="center" vertical="center" wrapText="1" readingOrder="1"/>
    </xf>
    <xf numFmtId="44" fontId="18" fillId="7" borderId="36" xfId="1" applyFont="1" applyFill="1" applyBorder="1" applyAlignment="1">
      <alignment horizontal="right" vertical="center" wrapText="1" readingOrder="1"/>
    </xf>
    <xf numFmtId="44" fontId="18" fillId="7" borderId="50" xfId="1" applyFont="1" applyFill="1" applyBorder="1" applyAlignment="1">
      <alignment horizontal="right" vertical="center" wrapText="1" readingOrder="1"/>
    </xf>
    <xf numFmtId="44" fontId="18" fillId="7" borderId="39" xfId="1" applyFont="1" applyFill="1" applyBorder="1" applyAlignment="1">
      <alignment horizontal="right" vertical="center" wrapText="1" readingOrder="1"/>
    </xf>
    <xf numFmtId="0" fontId="19" fillId="7" borderId="40" xfId="0" applyFont="1" applyFill="1" applyBorder="1" applyAlignment="1">
      <alignment horizontal="left" vertical="center" wrapText="1" readingOrder="1"/>
    </xf>
    <xf numFmtId="44" fontId="18" fillId="7" borderId="33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left" vertical="center"/>
    </xf>
    <xf numFmtId="0" fontId="18" fillId="7" borderId="50" xfId="0" applyFont="1" applyFill="1" applyBorder="1" applyAlignment="1">
      <alignment horizontal="center" vertical="center" wrapText="1" readingOrder="1"/>
    </xf>
    <xf numFmtId="6" fontId="7" fillId="0" borderId="5" xfId="0" applyNumberFormat="1" applyFont="1" applyBorder="1" applyAlignment="1">
      <alignment horizontal="right" vertical="center"/>
    </xf>
    <xf numFmtId="44" fontId="18" fillId="7" borderId="58" xfId="1" applyFont="1" applyFill="1" applyBorder="1" applyAlignment="1">
      <alignment horizontal="right" vertical="center" wrapText="1" readingOrder="1"/>
    </xf>
    <xf numFmtId="0" fontId="19" fillId="7" borderId="59" xfId="0" applyFont="1" applyFill="1" applyBorder="1" applyAlignment="1">
      <alignment horizontal="left" vertical="center" wrapText="1" readingOrder="1"/>
    </xf>
    <xf numFmtId="44" fontId="18" fillId="7" borderId="60" xfId="1" applyFont="1" applyFill="1" applyBorder="1" applyAlignment="1">
      <alignment horizontal="right" vertical="center" wrapText="1" readingOrder="1"/>
    </xf>
    <xf numFmtId="0" fontId="18" fillId="7" borderId="52" xfId="0" applyFont="1" applyFill="1" applyBorder="1" applyAlignment="1">
      <alignment horizontal="center" vertical="center" wrapText="1" readingOrder="1"/>
    </xf>
    <xf numFmtId="44" fontId="18" fillId="7" borderId="52" xfId="1" applyFont="1" applyFill="1" applyBorder="1" applyAlignment="1">
      <alignment horizontal="right" vertical="center" wrapText="1" readingOrder="1"/>
    </xf>
    <xf numFmtId="44" fontId="18" fillId="7" borderId="54" xfId="1" applyFont="1" applyFill="1" applyBorder="1" applyAlignment="1">
      <alignment horizontal="right" vertical="center" wrapText="1" readingOrder="1"/>
    </xf>
    <xf numFmtId="0" fontId="22" fillId="7" borderId="43" xfId="0" applyFont="1" applyFill="1" applyBorder="1" applyAlignment="1">
      <alignment horizontal="left" vertical="center" wrapText="1" readingOrder="1"/>
    </xf>
    <xf numFmtId="44" fontId="23" fillId="7" borderId="61" xfId="1" applyFont="1" applyFill="1" applyBorder="1" applyAlignment="1">
      <alignment horizontal="right" vertical="center" wrapText="1"/>
    </xf>
    <xf numFmtId="0" fontId="18" fillId="7" borderId="62" xfId="0" applyFont="1" applyFill="1" applyBorder="1" applyAlignment="1">
      <alignment horizontal="left" vertical="center" wrapText="1" readingOrder="1"/>
    </xf>
    <xf numFmtId="44" fontId="19" fillId="2" borderId="60" xfId="1" applyFont="1" applyFill="1" applyBorder="1" applyAlignment="1">
      <alignment horizontal="right" vertical="center" wrapText="1" readingOrder="1"/>
    </xf>
    <xf numFmtId="0" fontId="18" fillId="2" borderId="60" xfId="0" applyFont="1" applyFill="1" applyBorder="1" applyAlignment="1">
      <alignment horizontal="center" vertical="center" wrapText="1" readingOrder="1"/>
    </xf>
    <xf numFmtId="44" fontId="18" fillId="2" borderId="60" xfId="1" applyFont="1" applyFill="1" applyBorder="1" applyAlignment="1">
      <alignment horizontal="right" vertical="center" wrapText="1" readingOrder="1"/>
    </xf>
    <xf numFmtId="44" fontId="18" fillId="2" borderId="63" xfId="1" applyFont="1" applyFill="1" applyBorder="1" applyAlignment="1">
      <alignment horizontal="right" vertical="center" wrapText="1" readingOrder="1"/>
    </xf>
    <xf numFmtId="44" fontId="13" fillId="2" borderId="64" xfId="1" applyFont="1" applyFill="1" applyBorder="1" applyAlignment="1">
      <alignment horizontal="right" vertical="center" wrapText="1"/>
    </xf>
    <xf numFmtId="0" fontId="18" fillId="7" borderId="66" xfId="0" applyFont="1" applyFill="1" applyBorder="1" applyAlignment="1">
      <alignment horizontal="left" vertical="center" wrapText="1" readingOrder="1"/>
    </xf>
    <xf numFmtId="0" fontId="24" fillId="0" borderId="74" xfId="4" applyFont="1" applyBorder="1" applyAlignment="1">
      <alignment horizontal="left" vertical="center"/>
    </xf>
    <xf numFmtId="0" fontId="24" fillId="0" borderId="75" xfId="4" applyFont="1" applyBorder="1" applyAlignment="1">
      <alignment horizontal="center" vertical="center"/>
    </xf>
    <xf numFmtId="0" fontId="24" fillId="0" borderId="76" xfId="4" applyFont="1" applyBorder="1" applyAlignment="1">
      <alignment horizontal="center" vertical="center"/>
    </xf>
    <xf numFmtId="44" fontId="23" fillId="7" borderId="73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6" fillId="7" borderId="1" xfId="0" applyFont="1" applyFill="1" applyBorder="1" applyAlignment="1">
      <alignment vertical="center" wrapText="1"/>
    </xf>
    <xf numFmtId="169" fontId="26" fillId="7" borderId="2" xfId="2" applyNumberFormat="1" applyFont="1" applyFill="1" applyBorder="1" applyAlignment="1">
      <alignment horizontal="right" vertical="center"/>
    </xf>
    <xf numFmtId="8" fontId="27" fillId="7" borderId="3" xfId="0" applyNumberFormat="1" applyFont="1" applyFill="1" applyBorder="1" applyAlignment="1">
      <alignment horizontal="right" vertical="center"/>
    </xf>
    <xf numFmtId="0" fontId="26" fillId="7" borderId="4" xfId="0" applyFont="1" applyFill="1" applyBorder="1" applyAlignment="1">
      <alignment vertical="center" wrapText="1"/>
    </xf>
    <xf numFmtId="169" fontId="26" fillId="7" borderId="5" xfId="2" applyNumberFormat="1" applyFont="1" applyFill="1" applyBorder="1" applyAlignment="1">
      <alignment horizontal="right" vertical="center"/>
    </xf>
    <xf numFmtId="44" fontId="27" fillId="7" borderId="6" xfId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167" fontId="7" fillId="0" borderId="8" xfId="0" applyNumberFormat="1" applyFont="1" applyBorder="1" applyAlignment="1">
      <alignment vertical="center"/>
    </xf>
    <xf numFmtId="10" fontId="7" fillId="0" borderId="8" xfId="0" applyNumberFormat="1" applyFont="1" applyBorder="1" applyAlignment="1">
      <alignment vertical="center"/>
    </xf>
    <xf numFmtId="167" fontId="7" fillId="0" borderId="9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44" fontId="22" fillId="2" borderId="21" xfId="0" applyNumberFormat="1" applyFont="1" applyFill="1" applyBorder="1" applyAlignment="1">
      <alignment vertical="center"/>
    </xf>
    <xf numFmtId="0" fontId="7" fillId="0" borderId="68" xfId="0" applyFont="1" applyBorder="1" applyAlignment="1">
      <alignment vertical="center"/>
    </xf>
    <xf numFmtId="44" fontId="7" fillId="0" borderId="36" xfId="0" applyNumberFormat="1" applyFont="1" applyBorder="1" applyAlignment="1">
      <alignment vertical="center"/>
    </xf>
    <xf numFmtId="10" fontId="7" fillId="0" borderId="70" xfId="0" applyNumberFormat="1" applyFont="1" applyBorder="1" applyAlignment="1">
      <alignment vertical="center"/>
    </xf>
    <xf numFmtId="44" fontId="7" fillId="0" borderId="69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36" xfId="0" applyNumberFormat="1" applyFont="1" applyBorder="1" applyAlignment="1">
      <alignment vertical="center"/>
    </xf>
    <xf numFmtId="44" fontId="7" fillId="0" borderId="71" xfId="0" applyNumberFormat="1" applyFont="1" applyBorder="1" applyAlignment="1">
      <alignment vertical="center"/>
    </xf>
    <xf numFmtId="167" fontId="19" fillId="7" borderId="36" xfId="0" applyNumberFormat="1" applyFont="1" applyFill="1" applyBorder="1" applyAlignment="1">
      <alignment horizontal="right" vertical="center" wrapText="1" readingOrder="1"/>
    </xf>
    <xf numFmtId="10" fontId="19" fillId="7" borderId="36" xfId="0" applyNumberFormat="1" applyFont="1" applyFill="1" applyBorder="1" applyAlignment="1">
      <alignment horizontal="right" vertical="center" wrapText="1" readingOrder="1"/>
    </xf>
    <xf numFmtId="8" fontId="19" fillId="7" borderId="36" xfId="0" applyNumberFormat="1" applyFont="1" applyFill="1" applyBorder="1" applyAlignment="1">
      <alignment horizontal="right" vertical="center" wrapText="1" readingOrder="1"/>
    </xf>
    <xf numFmtId="0" fontId="14" fillId="0" borderId="72" xfId="0" applyFont="1" applyBorder="1" applyAlignment="1">
      <alignment vertical="center"/>
    </xf>
    <xf numFmtId="44" fontId="7" fillId="0" borderId="76" xfId="0" applyNumberFormat="1" applyFont="1" applyBorder="1" applyAlignment="1">
      <alignment vertical="center"/>
    </xf>
    <xf numFmtId="170" fontId="7" fillId="0" borderId="76" xfId="0" applyNumberFormat="1" applyFont="1" applyBorder="1" applyAlignment="1">
      <alignment vertical="center"/>
    </xf>
    <xf numFmtId="44" fontId="22" fillId="2" borderId="73" xfId="1" applyFont="1" applyFill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44" fontId="12" fillId="0" borderId="69" xfId="1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43" fontId="12" fillId="0" borderId="36" xfId="0" applyNumberFormat="1" applyFont="1" applyBorder="1" applyAlignment="1">
      <alignment vertical="center"/>
    </xf>
    <xf numFmtId="8" fontId="7" fillId="0" borderId="36" xfId="0" applyNumberFormat="1" applyFont="1" applyBorder="1" applyAlignment="1">
      <alignment vertical="center"/>
    </xf>
    <xf numFmtId="44" fontId="12" fillId="0" borderId="71" xfId="1" applyFont="1" applyBorder="1" applyAlignment="1">
      <alignment vertical="center"/>
    </xf>
    <xf numFmtId="44" fontId="12" fillId="0" borderId="36" xfId="0" applyNumberFormat="1" applyFont="1" applyBorder="1" applyAlignment="1">
      <alignment vertical="center"/>
    </xf>
    <xf numFmtId="0" fontId="15" fillId="0" borderId="72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44" fontId="28" fillId="2" borderId="73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8" xfId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0" fillId="2" borderId="8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29" xfId="0" applyBorder="1"/>
    <xf numFmtId="0" fontId="0" fillId="0" borderId="22" xfId="0" applyBorder="1"/>
    <xf numFmtId="0" fontId="0" fillId="0" borderId="7" xfId="0" applyBorder="1"/>
    <xf numFmtId="0" fontId="2" fillId="0" borderId="80" xfId="0" applyFont="1" applyBorder="1"/>
    <xf numFmtId="0" fontId="2" fillId="0" borderId="81" xfId="0" applyFont="1" applyBorder="1"/>
    <xf numFmtId="44" fontId="0" fillId="0" borderId="0" xfId="1" applyFont="1" applyBorder="1"/>
    <xf numFmtId="11" fontId="0" fillId="0" borderId="0" xfId="0" applyNumberFormat="1" applyAlignment="1">
      <alignment horizontal="center"/>
    </xf>
    <xf numFmtId="0" fontId="13" fillId="0" borderId="66" xfId="0" applyFont="1" applyBorder="1" applyAlignment="1">
      <alignment horizontal="left" vertical="center" wrapText="1" readingOrder="1"/>
    </xf>
    <xf numFmtId="0" fontId="23" fillId="0" borderId="36" xfId="0" applyFont="1" applyBorder="1" applyAlignment="1">
      <alignment horizontal="left" vertical="center" wrapText="1" readingOrder="1"/>
    </xf>
    <xf numFmtId="43" fontId="23" fillId="0" borderId="71" xfId="3" applyFont="1" applyFill="1" applyBorder="1" applyAlignment="1">
      <alignment horizontal="left" vertical="center" wrapText="1" readingOrder="1"/>
    </xf>
    <xf numFmtId="0" fontId="13" fillId="0" borderId="72" xfId="0" applyFont="1" applyBorder="1" applyAlignment="1">
      <alignment horizontal="left" vertical="center" wrapText="1" readingOrder="1"/>
    </xf>
    <xf numFmtId="0" fontId="23" fillId="0" borderId="76" xfId="0" applyFont="1" applyBorder="1" applyAlignment="1">
      <alignment horizontal="left" vertical="center" wrapText="1" readingOrder="1"/>
    </xf>
    <xf numFmtId="0" fontId="23" fillId="0" borderId="82" xfId="0" applyFont="1" applyBorder="1" applyAlignment="1">
      <alignment horizontal="left" vertical="center" wrapText="1" readingOrder="1"/>
    </xf>
    <xf numFmtId="0" fontId="22" fillId="0" borderId="0" xfId="0" applyFont="1" applyAlignment="1">
      <alignment horizontal="left" vertical="center" wrapText="1" readingOrder="1"/>
    </xf>
    <xf numFmtId="0" fontId="23" fillId="0" borderId="68" xfId="0" applyFont="1" applyBorder="1" applyAlignment="1">
      <alignment horizontal="left" vertical="center" wrapText="1" readingOrder="1"/>
    </xf>
    <xf numFmtId="0" fontId="7" fillId="0" borderId="70" xfId="0" applyFont="1" applyBorder="1" applyAlignment="1">
      <alignment vertical="center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44" fontId="23" fillId="0" borderId="71" xfId="1" applyFont="1" applyBorder="1" applyAlignment="1">
      <alignment horizontal="left" vertical="center" wrapText="1" readingOrder="1"/>
    </xf>
    <xf numFmtId="0" fontId="23" fillId="0" borderId="65" xfId="0" applyFont="1" applyBorder="1" applyAlignment="1">
      <alignment horizontal="right" vertical="center" wrapText="1" readingOrder="1"/>
    </xf>
    <xf numFmtId="17" fontId="7" fillId="0" borderId="36" xfId="0" applyNumberFormat="1" applyFont="1" applyBorder="1" applyAlignment="1">
      <alignment vertical="center"/>
    </xf>
    <xf numFmtId="44" fontId="7" fillId="0" borderId="36" xfId="1" applyFont="1" applyBorder="1" applyAlignment="1">
      <alignment vertical="center"/>
    </xf>
    <xf numFmtId="44" fontId="23" fillId="0" borderId="71" xfId="1" applyFont="1" applyFill="1" applyBorder="1" applyAlignment="1">
      <alignment horizontal="left" vertical="center" wrapText="1" readingOrder="1"/>
    </xf>
    <xf numFmtId="44" fontId="23" fillId="2" borderId="83" xfId="1" applyFont="1" applyFill="1" applyBorder="1" applyAlignment="1">
      <alignment horizontal="left" vertical="center" wrapText="1" readingOrder="1"/>
    </xf>
    <xf numFmtId="44" fontId="7" fillId="0" borderId="71" xfId="1" applyFont="1" applyBorder="1" applyAlignment="1">
      <alignment vertical="center"/>
    </xf>
    <xf numFmtId="44" fontId="7" fillId="2" borderId="73" xfId="0" applyNumberFormat="1" applyFont="1" applyFill="1" applyBorder="1" applyAlignment="1">
      <alignment vertical="center"/>
    </xf>
    <xf numFmtId="16" fontId="7" fillId="0" borderId="36" xfId="0" quotePrefix="1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right" vertical="center" wrapText="1" readingOrder="1"/>
    </xf>
    <xf numFmtId="44" fontId="23" fillId="0" borderId="71" xfId="0" applyNumberFormat="1" applyFont="1" applyBorder="1" applyAlignment="1">
      <alignment horizontal="left" vertical="center" wrapText="1" readingOrder="1"/>
    </xf>
    <xf numFmtId="44" fontId="23" fillId="0" borderId="76" xfId="0" quotePrefix="1" applyNumberFormat="1" applyFont="1" applyBorder="1" applyAlignment="1">
      <alignment horizontal="left" vertical="center" wrapText="1" readingOrder="1"/>
    </xf>
    <xf numFmtId="44" fontId="14" fillId="2" borderId="71" xfId="0" applyNumberFormat="1" applyFont="1" applyFill="1" applyBorder="1" applyAlignment="1">
      <alignment vertical="center"/>
    </xf>
    <xf numFmtId="0" fontId="23" fillId="0" borderId="76" xfId="0" applyFont="1" applyBorder="1" applyAlignment="1">
      <alignment horizontal="right" vertical="center" wrapText="1" readingOrder="1"/>
    </xf>
    <xf numFmtId="0" fontId="3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171" fontId="3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left" vertical="center"/>
    </xf>
    <xf numFmtId="171" fontId="2" fillId="0" borderId="5" xfId="1" applyNumberFormat="1" applyFont="1" applyBorder="1" applyAlignment="1">
      <alignment vertical="center"/>
    </xf>
    <xf numFmtId="171" fontId="2" fillId="0" borderId="5" xfId="0" applyNumberFormat="1" applyFont="1" applyBorder="1" applyAlignment="1">
      <alignment vertical="center"/>
    </xf>
    <xf numFmtId="0" fontId="33" fillId="2" borderId="0" xfId="0" applyFont="1" applyFill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0" fillId="9" borderId="5" xfId="0" applyNumberFormat="1" applyFill="1" applyBorder="1" applyAlignment="1">
      <alignment vertical="center"/>
    </xf>
    <xf numFmtId="167" fontId="0" fillId="0" borderId="5" xfId="0" applyNumberFormat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167" fontId="0" fillId="9" borderId="5" xfId="0" applyNumberFormat="1" applyFill="1" applyBorder="1" applyAlignment="1">
      <alignment horizontal="center" vertical="center"/>
    </xf>
    <xf numFmtId="167" fontId="0" fillId="2" borderId="6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8" fontId="2" fillId="2" borderId="5" xfId="0" applyNumberFormat="1" applyFont="1" applyFill="1" applyBorder="1" applyAlignment="1">
      <alignment vertical="center"/>
    </xf>
    <xf numFmtId="43" fontId="0" fillId="9" borderId="5" xfId="3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171" fontId="0" fillId="0" borderId="5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2" fontId="0" fillId="0" borderId="6" xfId="0" applyNumberFormat="1" applyBorder="1" applyAlignment="1">
      <alignment vertical="center"/>
    </xf>
    <xf numFmtId="2" fontId="0" fillId="9" borderId="5" xfId="0" applyNumberFormat="1" applyFill="1" applyBorder="1" applyAlignment="1">
      <alignment horizontal="center" vertical="center"/>
    </xf>
    <xf numFmtId="16" fontId="2" fillId="0" borderId="0" xfId="0" quotePrefix="1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44" fontId="22" fillId="2" borderId="37" xfId="1" applyFont="1" applyFill="1" applyBorder="1" applyAlignment="1">
      <alignment horizontal="right" vertical="center" wrapText="1"/>
    </xf>
    <xf numFmtId="44" fontId="23" fillId="7" borderId="37" xfId="1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44" fontId="22" fillId="2" borderId="6" xfId="0" applyNumberFormat="1" applyFont="1" applyFill="1" applyBorder="1" applyAlignment="1">
      <alignment vertical="center"/>
    </xf>
    <xf numFmtId="17" fontId="2" fillId="0" borderId="0" xfId="0" applyNumberFormat="1" applyFont="1" applyAlignment="1">
      <alignment horizontal="left" vertical="center"/>
    </xf>
    <xf numFmtId="171" fontId="2" fillId="0" borderId="0" xfId="1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167" fontId="0" fillId="9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2" fontId="0" fillId="9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17" fontId="2" fillId="0" borderId="7" xfId="0" applyNumberFormat="1" applyFont="1" applyBorder="1" applyAlignment="1">
      <alignment horizontal="left" vertical="center"/>
    </xf>
    <xf numFmtId="167" fontId="0" fillId="9" borderId="8" xfId="0" applyNumberFormat="1" applyFill="1" applyBorder="1" applyAlignment="1">
      <alignment vertical="center"/>
    </xf>
    <xf numFmtId="171" fontId="2" fillId="0" borderId="8" xfId="0" applyNumberFormat="1" applyFont="1" applyBorder="1" applyAlignment="1">
      <alignment vertical="center"/>
    </xf>
    <xf numFmtId="171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7" fontId="0" fillId="0" borderId="8" xfId="0" applyNumberFormat="1" applyBorder="1" applyAlignment="1">
      <alignment vertical="center"/>
    </xf>
    <xf numFmtId="172" fontId="0" fillId="0" borderId="9" xfId="0" applyNumberFormat="1" applyBorder="1" applyAlignment="1">
      <alignment vertical="center"/>
    </xf>
    <xf numFmtId="171" fontId="2" fillId="0" borderId="6" xfId="0" applyNumberFormat="1" applyFont="1" applyBorder="1" applyAlignment="1">
      <alignment vertical="center"/>
    </xf>
    <xf numFmtId="171" fontId="32" fillId="0" borderId="5" xfId="0" applyNumberFormat="1" applyFont="1" applyBorder="1" applyAlignment="1">
      <alignment vertical="center"/>
    </xf>
    <xf numFmtId="7" fontId="13" fillId="7" borderId="36" xfId="1" applyNumberFormat="1" applyFont="1" applyFill="1" applyBorder="1" applyAlignment="1">
      <alignment horizontal="right" vertical="center" wrapText="1"/>
    </xf>
    <xf numFmtId="171" fontId="2" fillId="0" borderId="8" xfId="1" applyNumberFormat="1" applyFont="1" applyBorder="1" applyAlignment="1">
      <alignment vertical="center"/>
    </xf>
    <xf numFmtId="171" fontId="32" fillId="0" borderId="8" xfId="0" applyNumberFormat="1" applyFont="1" applyBorder="1" applyAlignment="1">
      <alignment vertical="center"/>
    </xf>
    <xf numFmtId="171" fontId="2" fillId="2" borderId="8" xfId="0" applyNumberFormat="1" applyFont="1" applyFill="1" applyBorder="1" applyAlignment="1">
      <alignment vertical="center"/>
    </xf>
    <xf numFmtId="0" fontId="0" fillId="0" borderId="1" xfId="0" applyBorder="1"/>
    <xf numFmtId="43" fontId="0" fillId="0" borderId="8" xfId="3" applyFont="1" applyBorder="1"/>
    <xf numFmtId="43" fontId="0" fillId="0" borderId="9" xfId="3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43" fontId="0" fillId="0" borderId="21" xfId="3" applyFont="1" applyBorder="1" applyAlignment="1">
      <alignment horizontal="center"/>
    </xf>
    <xf numFmtId="0" fontId="2" fillId="0" borderId="19" xfId="0" applyFont="1" applyBorder="1"/>
    <xf numFmtId="44" fontId="7" fillId="0" borderId="11" xfId="1" applyFont="1" applyBorder="1" applyAlignment="1">
      <alignment horizontal="right" vertical="center"/>
    </xf>
    <xf numFmtId="43" fontId="19" fillId="7" borderId="36" xfId="3" applyFont="1" applyFill="1" applyBorder="1" applyAlignment="1">
      <alignment horizontal="right" vertical="center" wrapText="1" readingOrder="1"/>
    </xf>
    <xf numFmtId="44" fontId="7" fillId="0" borderId="5" xfId="0" applyNumberFormat="1" applyFont="1" applyBorder="1" applyAlignment="1">
      <alignment vertical="center"/>
    </xf>
    <xf numFmtId="43" fontId="7" fillId="0" borderId="11" xfId="3" applyFont="1" applyBorder="1" applyAlignment="1">
      <alignment vertical="center"/>
    </xf>
    <xf numFmtId="43" fontId="7" fillId="0" borderId="5" xfId="3" applyFont="1" applyBorder="1" applyAlignment="1">
      <alignment vertical="center"/>
    </xf>
    <xf numFmtId="43" fontId="13" fillId="7" borderId="52" xfId="3" applyFont="1" applyFill="1" applyBorder="1" applyAlignment="1">
      <alignment horizontal="center" vertical="center" wrapText="1"/>
    </xf>
    <xf numFmtId="17" fontId="7" fillId="0" borderId="4" xfId="0" quotePrefix="1" applyNumberFormat="1" applyFont="1" applyBorder="1" applyAlignment="1">
      <alignment vertical="center"/>
    </xf>
    <xf numFmtId="44" fontId="7" fillId="0" borderId="9" xfId="1" applyFont="1" applyBorder="1" applyAlignment="1">
      <alignment vertical="center"/>
    </xf>
    <xf numFmtId="44" fontId="7" fillId="0" borderId="0" xfId="1" applyFont="1" applyAlignment="1">
      <alignment vertical="center"/>
    </xf>
    <xf numFmtId="0" fontId="7" fillId="0" borderId="4" xfId="0" quotePrefix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4" fontId="0" fillId="9" borderId="5" xfId="1" applyFont="1" applyFill="1" applyBorder="1" applyAlignment="1">
      <alignment vertical="center"/>
    </xf>
    <xf numFmtId="173" fontId="12" fillId="0" borderId="6" xfId="3" applyNumberFormat="1" applyFont="1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9" fontId="18" fillId="7" borderId="50" xfId="0" applyNumberFormat="1" applyFont="1" applyFill="1" applyBorder="1" applyAlignment="1">
      <alignment horizontal="center" vertical="center" wrapText="1" readingOrder="1"/>
    </xf>
    <xf numFmtId="171" fontId="2" fillId="0" borderId="5" xfId="0" applyNumberFormat="1" applyFont="1" applyBorder="1" applyAlignment="1">
      <alignment horizontal="left" vertical="center" indent="1"/>
    </xf>
    <xf numFmtId="171" fontId="2" fillId="0" borderId="6" xfId="0" applyNumberFormat="1" applyFont="1" applyBorder="1" applyAlignment="1">
      <alignment horizontal="left" vertical="center" indent="1"/>
    </xf>
    <xf numFmtId="171" fontId="32" fillId="0" borderId="5" xfId="0" applyNumberFormat="1" applyFont="1" applyBorder="1" applyAlignment="1">
      <alignment horizontal="left" vertical="center" indent="1"/>
    </xf>
    <xf numFmtId="171" fontId="2" fillId="0" borderId="8" xfId="0" applyNumberFormat="1" applyFont="1" applyBorder="1" applyAlignment="1">
      <alignment horizontal="left" vertical="center" indent="1"/>
    </xf>
    <xf numFmtId="171" fontId="32" fillId="0" borderId="8" xfId="0" applyNumberFormat="1" applyFont="1" applyBorder="1" applyAlignment="1">
      <alignment horizontal="left" vertical="center" indent="1"/>
    </xf>
    <xf numFmtId="171" fontId="2" fillId="2" borderId="8" xfId="0" applyNumberFormat="1" applyFont="1" applyFill="1" applyBorder="1" applyAlignment="1">
      <alignment horizontal="left" vertical="center" indent="1"/>
    </xf>
    <xf numFmtId="171" fontId="2" fillId="2" borderId="9" xfId="0" applyNumberFormat="1" applyFont="1" applyFill="1" applyBorder="1" applyAlignment="1">
      <alignment horizontal="left" vertical="center" indent="1"/>
    </xf>
    <xf numFmtId="171" fontId="2" fillId="0" borderId="5" xfId="0" applyNumberFormat="1" applyFont="1" applyBorder="1" applyAlignment="1">
      <alignment horizontal="left" vertical="center"/>
    </xf>
    <xf numFmtId="169" fontId="7" fillId="0" borderId="0" xfId="2" applyNumberFormat="1" applyFont="1" applyAlignment="1">
      <alignment vertical="center"/>
    </xf>
    <xf numFmtId="0" fontId="0" fillId="0" borderId="9" xfId="0" applyBorder="1"/>
    <xf numFmtId="0" fontId="14" fillId="0" borderId="58" xfId="0" applyFont="1" applyBorder="1" applyAlignment="1">
      <alignment vertical="center"/>
    </xf>
    <xf numFmtId="44" fontId="18" fillId="0" borderId="36" xfId="1" applyFont="1" applyFill="1" applyBorder="1" applyAlignment="1">
      <alignment horizontal="center" vertical="center" wrapText="1" readingOrder="1"/>
    </xf>
    <xf numFmtId="0" fontId="18" fillId="0" borderId="36" xfId="0" applyFont="1" applyBorder="1" applyAlignment="1">
      <alignment horizontal="center" vertical="center" readingOrder="1"/>
    </xf>
    <xf numFmtId="44" fontId="18" fillId="0" borderId="37" xfId="1" applyFont="1" applyFill="1" applyBorder="1" applyAlignment="1">
      <alignment horizontal="center" vertical="center" wrapText="1" readingOrder="1"/>
    </xf>
    <xf numFmtId="0" fontId="19" fillId="0" borderId="66" xfId="0" applyFont="1" applyBorder="1" applyAlignment="1">
      <alignment horizontal="left" vertical="center" wrapText="1" readingOrder="1"/>
    </xf>
    <xf numFmtId="0" fontId="19" fillId="0" borderId="36" xfId="0" applyFont="1" applyBorder="1" applyAlignment="1">
      <alignment horizontal="center" vertical="center" wrapText="1" readingOrder="1"/>
    </xf>
    <xf numFmtId="0" fontId="18" fillId="0" borderId="36" xfId="0" applyFont="1" applyBorder="1" applyAlignment="1">
      <alignment horizontal="center" vertical="center" wrapText="1" readingOrder="1"/>
    </xf>
    <xf numFmtId="44" fontId="18" fillId="0" borderId="36" xfId="0" applyNumberFormat="1" applyFont="1" applyBorder="1" applyAlignment="1">
      <alignment horizontal="center" vertical="center" wrapText="1" readingOrder="1"/>
    </xf>
    <xf numFmtId="0" fontId="18" fillId="0" borderId="50" xfId="0" applyFont="1" applyBorder="1" applyAlignment="1">
      <alignment horizontal="center" vertical="center" wrapText="1" readingOrder="1"/>
    </xf>
    <xf numFmtId="44" fontId="13" fillId="0" borderId="37" xfId="0" applyNumberFormat="1" applyFont="1" applyBorder="1" applyAlignment="1">
      <alignment horizontal="center" vertical="center" wrapText="1"/>
    </xf>
    <xf numFmtId="44" fontId="19" fillId="0" borderId="36" xfId="0" applyNumberFormat="1" applyFont="1" applyBorder="1" applyAlignment="1">
      <alignment horizontal="center" vertical="center" wrapText="1" readingOrder="1"/>
    </xf>
    <xf numFmtId="10" fontId="18" fillId="0" borderId="36" xfId="0" applyNumberFormat="1" applyFont="1" applyBorder="1" applyAlignment="1">
      <alignment horizontal="center" vertical="center" wrapText="1" readingOrder="1"/>
    </xf>
    <xf numFmtId="0" fontId="18" fillId="0" borderId="37" xfId="0" applyFont="1" applyBorder="1" applyAlignment="1">
      <alignment horizontal="center" vertical="center" wrapText="1" readingOrder="1"/>
    </xf>
    <xf numFmtId="0" fontId="22" fillId="0" borderId="66" xfId="0" applyFont="1" applyBorder="1" applyAlignment="1">
      <alignment horizontal="left" vertical="center" wrapText="1" readingOrder="1"/>
    </xf>
    <xf numFmtId="0" fontId="14" fillId="0" borderId="36" xfId="0" applyFont="1" applyBorder="1" applyAlignment="1">
      <alignment horizontal="center" vertical="center" wrapText="1" readingOrder="1"/>
    </xf>
    <xf numFmtId="0" fontId="34" fillId="0" borderId="72" xfId="4" applyFont="1" applyBorder="1" applyAlignment="1">
      <alignment horizontal="center" vertical="center"/>
    </xf>
    <xf numFmtId="0" fontId="24" fillId="0" borderId="82" xfId="4" applyFont="1" applyBorder="1" applyAlignment="1">
      <alignment horizontal="center" vertical="center"/>
    </xf>
    <xf numFmtId="44" fontId="23" fillId="7" borderId="8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4" fillId="0" borderId="72" xfId="4" applyFont="1" applyBorder="1" applyAlignment="1">
      <alignment horizontal="left" vertical="center"/>
    </xf>
    <xf numFmtId="44" fontId="2" fillId="0" borderId="5" xfId="1" applyFont="1" applyBorder="1" applyAlignment="1">
      <alignment vertical="center"/>
    </xf>
    <xf numFmtId="44" fontId="2" fillId="0" borderId="5" xfId="1" applyFont="1" applyBorder="1" applyAlignment="1">
      <alignment horizontal="left" vertical="center"/>
    </xf>
    <xf numFmtId="44" fontId="2" fillId="0" borderId="5" xfId="1" applyFont="1" applyBorder="1" applyAlignment="1">
      <alignment horizontal="left" vertical="center" indent="1"/>
    </xf>
    <xf numFmtId="44" fontId="2" fillId="0" borderId="8" xfId="1" applyFont="1" applyBorder="1" applyAlignment="1">
      <alignment horizontal="left" vertical="center" indent="1"/>
    </xf>
    <xf numFmtId="44" fontId="0" fillId="9" borderId="5" xfId="0" applyNumberFormat="1" applyFill="1" applyBorder="1" applyAlignment="1">
      <alignment horizontal="center" vertical="center"/>
    </xf>
    <xf numFmtId="0" fontId="0" fillId="0" borderId="8" xfId="0" applyBorder="1"/>
    <xf numFmtId="44" fontId="0" fillId="0" borderId="1" xfId="1" applyFont="1" applyBorder="1"/>
    <xf numFmtId="44" fontId="2" fillId="0" borderId="2" xfId="1" applyFont="1" applyBorder="1" applyAlignment="1">
      <alignment horizontal="centerContinuous"/>
    </xf>
    <xf numFmtId="44" fontId="0" fillId="0" borderId="4" xfId="1" applyFont="1" applyBorder="1"/>
    <xf numFmtId="44" fontId="2" fillId="0" borderId="5" xfId="1" applyFont="1" applyBorder="1" applyAlignment="1">
      <alignment horizontal="center"/>
    </xf>
    <xf numFmtId="44" fontId="0" fillId="0" borderId="5" xfId="1" applyFont="1" applyBorder="1"/>
    <xf numFmtId="44" fontId="0" fillId="0" borderId="6" xfId="1" applyFont="1" applyBorder="1"/>
    <xf numFmtId="44" fontId="2" fillId="0" borderId="4" xfId="1" applyFont="1" applyBorder="1"/>
    <xf numFmtId="44" fontId="2" fillId="0" borderId="7" xfId="1" applyFont="1" applyBorder="1"/>
    <xf numFmtId="172" fontId="0" fillId="2" borderId="6" xfId="0" applyNumberFormat="1" applyFill="1" applyBorder="1" applyAlignment="1">
      <alignment vertical="center"/>
    </xf>
    <xf numFmtId="172" fontId="0" fillId="2" borderId="9" xfId="0" applyNumberFormat="1" applyFill="1" applyBorder="1" applyAlignment="1">
      <alignment vertical="center"/>
    </xf>
    <xf numFmtId="44" fontId="2" fillId="0" borderId="5" xfId="0" applyNumberFormat="1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44" fontId="32" fillId="0" borderId="5" xfId="0" applyNumberFormat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8" xfId="0" applyNumberFormat="1" applyFont="1" applyBorder="1" applyAlignment="1">
      <alignment vertical="center"/>
    </xf>
    <xf numFmtId="44" fontId="32" fillId="0" borderId="8" xfId="0" applyNumberFormat="1" applyFont="1" applyBorder="1" applyAlignment="1">
      <alignment vertical="center"/>
    </xf>
    <xf numFmtId="44" fontId="2" fillId="2" borderId="8" xfId="0" applyNumberFormat="1" applyFont="1" applyFill="1" applyBorder="1" applyAlignment="1">
      <alignment vertical="center"/>
    </xf>
    <xf numFmtId="43" fontId="23" fillId="0" borderId="71" xfId="3" applyFont="1" applyBorder="1" applyAlignment="1">
      <alignment horizontal="left" vertical="center" wrapText="1" readingOrder="1"/>
    </xf>
    <xf numFmtId="44" fontId="23" fillId="0" borderId="73" xfId="1" applyFont="1" applyFill="1" applyBorder="1" applyAlignment="1">
      <alignment horizontal="left" vertical="center" wrapText="1" readingOrder="1"/>
    </xf>
    <xf numFmtId="44" fontId="12" fillId="0" borderId="10" xfId="0" applyNumberFormat="1" applyFont="1" applyBorder="1" applyAlignment="1">
      <alignment vertical="center"/>
    </xf>
    <xf numFmtId="43" fontId="13" fillId="7" borderId="33" xfId="3" applyFont="1" applyFill="1" applyBorder="1" applyAlignment="1">
      <alignment horizontal="right" vertical="center" wrapText="1"/>
    </xf>
    <xf numFmtId="44" fontId="7" fillId="0" borderId="3" xfId="0" applyNumberFormat="1" applyFont="1" applyBorder="1" applyAlignment="1">
      <alignment vertical="center"/>
    </xf>
    <xf numFmtId="9" fontId="0" fillId="0" borderId="5" xfId="1" applyNumberFormat="1" applyFont="1" applyBorder="1"/>
    <xf numFmtId="10" fontId="12" fillId="0" borderId="0" xfId="0" applyNumberFormat="1" applyFont="1" applyAlignment="1">
      <alignment vertical="center"/>
    </xf>
    <xf numFmtId="10" fontId="22" fillId="2" borderId="36" xfId="0" applyNumberFormat="1" applyFont="1" applyFill="1" applyBorder="1" applyAlignment="1">
      <alignment horizontal="center" vertical="center" wrapText="1" readingOrder="1"/>
    </xf>
    <xf numFmtId="10" fontId="22" fillId="2" borderId="6" xfId="2" applyNumberFormat="1" applyFont="1" applyFill="1" applyBorder="1" applyAlignment="1">
      <alignment vertical="center"/>
    </xf>
    <xf numFmtId="43" fontId="0" fillId="0" borderId="5" xfId="3" applyFont="1" applyBorder="1"/>
    <xf numFmtId="44" fontId="2" fillId="0" borderId="0" xfId="1" applyFont="1" applyAlignment="1">
      <alignment vertical="center"/>
    </xf>
    <xf numFmtId="167" fontId="6" fillId="9" borderId="5" xfId="0" applyNumberFormat="1" applyFont="1" applyFill="1" applyBorder="1" applyAlignment="1">
      <alignment vertical="center"/>
    </xf>
    <xf numFmtId="167" fontId="6" fillId="0" borderId="5" xfId="0" applyNumberFormat="1" applyFont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7" fontId="6" fillId="9" borderId="5" xfId="0" applyNumberFormat="1" applyFont="1" applyFill="1" applyBorder="1" applyAlignment="1">
      <alignment horizontal="center" vertical="center"/>
    </xf>
    <xf numFmtId="167" fontId="6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1" fillId="5" borderId="20" xfId="4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2" borderId="68" xfId="0" applyFont="1" applyFill="1" applyBorder="1" applyAlignment="1">
      <alignment horizontal="left" vertical="center" wrapText="1" readingOrder="1"/>
    </xf>
    <xf numFmtId="0" fontId="22" fillId="2" borderId="70" xfId="0" applyFont="1" applyFill="1" applyBorder="1" applyAlignment="1">
      <alignment horizontal="left" vertical="center" wrapText="1" readingOrder="1"/>
    </xf>
    <xf numFmtId="0" fontId="22" fillId="2" borderId="69" xfId="0" applyFont="1" applyFill="1" applyBorder="1" applyAlignment="1">
      <alignment horizontal="left" vertical="center" wrapText="1" readingOrder="1"/>
    </xf>
    <xf numFmtId="0" fontId="25" fillId="2" borderId="67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26" fillId="7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2" fillId="2" borderId="77" xfId="0" applyFont="1" applyFill="1" applyBorder="1" applyAlignment="1">
      <alignment horizontal="left" vertical="center" wrapText="1" readingOrder="1"/>
    </xf>
    <xf numFmtId="0" fontId="22" fillId="2" borderId="78" xfId="0" applyFont="1" applyFill="1" applyBorder="1" applyAlignment="1">
      <alignment horizontal="left" vertical="center" wrapText="1" readingOrder="1"/>
    </xf>
    <xf numFmtId="0" fontId="22" fillId="2" borderId="79" xfId="0" applyFont="1" applyFill="1" applyBorder="1" applyAlignment="1">
      <alignment horizontal="left" vertical="center" wrapText="1" readingOrder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3" fillId="0" borderId="76" xfId="0" applyFont="1" applyBorder="1" applyAlignment="1">
      <alignment horizontal="left" vertical="center" wrapText="1" readingOrder="1"/>
    </xf>
    <xf numFmtId="0" fontId="0" fillId="0" borderId="76" xfId="0" applyBorder="1" applyAlignment="1">
      <alignment vertical="center" wrapText="1" readingOrder="1"/>
    </xf>
    <xf numFmtId="0" fontId="0" fillId="0" borderId="73" xfId="0" applyBorder="1" applyAlignment="1">
      <alignment vertical="center" wrapText="1" readingOrder="1"/>
    </xf>
    <xf numFmtId="0" fontId="14" fillId="0" borderId="1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5" xfId="0" applyFont="1" applyBorder="1" applyAlignment="1">
      <alignment vertical="center"/>
    </xf>
    <xf numFmtId="44" fontId="14" fillId="2" borderId="86" xfId="0" applyNumberFormat="1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4" fontId="14" fillId="0" borderId="9" xfId="0" applyNumberFormat="1" applyFont="1" applyBorder="1" applyAlignment="1">
      <alignment vertical="center"/>
    </xf>
  </cellXfs>
  <cellStyles count="5">
    <cellStyle name="Milliers" xfId="3" builtinId="3"/>
    <cellStyle name="Monétaire" xfId="1" builtinId="4"/>
    <cellStyle name="Normal" xfId="0" builtinId="0"/>
    <cellStyle name="Normal_Fiche de paie TEPA plus 20 salariés" xfId="4" xr:uid="{0E76391E-D5DF-4C29-9E01-5E54F37F57E1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16</xdr:row>
      <xdr:rowOff>0</xdr:rowOff>
    </xdr:from>
    <xdr:to>
      <xdr:col>16</xdr:col>
      <xdr:colOff>371475</xdr:colOff>
      <xdr:row>21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A5A228B-8770-4A3D-85F4-42CA8437A2B0}"/>
            </a:ext>
          </a:extLst>
        </xdr:cNvPr>
        <xdr:cNvSpPr txBox="1"/>
      </xdr:nvSpPr>
      <xdr:spPr>
        <a:xfrm>
          <a:off x="11010900" y="3524250"/>
          <a:ext cx="37909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  <a:p>
          <a:r>
            <a:rPr lang="fr-FR" sz="1400" b="1">
              <a:solidFill>
                <a:srgbClr val="FF0000"/>
              </a:solidFill>
            </a:rPr>
            <a:t>Prendre le SMIC  au 31 décembre de l'année suivante soit 1 747,20 pour un temps plein</a:t>
          </a:r>
        </a:p>
        <a:p>
          <a:endParaRPr lang="fr-FR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371475</xdr:colOff>
      <xdr:row>26</xdr:row>
      <xdr:rowOff>190500</xdr:rowOff>
    </xdr:from>
    <xdr:to>
      <xdr:col>16</xdr:col>
      <xdr:colOff>342900</xdr:colOff>
      <xdr:row>30</xdr:row>
      <xdr:rowOff>171450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1C45FF7-E1E5-4FE6-896A-7852B89C42A8}"/>
            </a:ext>
          </a:extLst>
        </xdr:cNvPr>
        <xdr:cNvSpPr txBox="1"/>
      </xdr:nvSpPr>
      <xdr:spPr>
        <a:xfrm>
          <a:off x="10982325" y="6105525"/>
          <a:ext cx="3790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  <a:p>
          <a:endParaRPr lang="fr-FR" sz="14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Prendre le SMIC  au 31 décembre de l'année suivante soit 1 747,20 pour un temps plein</a:t>
          </a:r>
          <a:endParaRPr lang="fr-FR" sz="1400" b="0">
            <a:solidFill>
              <a:srgbClr val="FF0000"/>
            </a:solidFill>
            <a:effectLst/>
          </a:endParaRPr>
        </a:p>
        <a:p>
          <a:endParaRPr lang="fr-FR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B3BD739-6D17-40E0-BE38-EAF62E4538CE}"/>
            </a:ext>
          </a:extLst>
        </xdr:cNvPr>
        <xdr:cNvSpPr txBox="1"/>
      </xdr:nvSpPr>
      <xdr:spPr>
        <a:xfrm>
          <a:off x="9505950" y="8334375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4567F91-4461-485B-9924-76D5C7318771}"/>
            </a:ext>
          </a:extLst>
        </xdr:cNvPr>
        <xdr:cNvSpPr txBox="1"/>
      </xdr:nvSpPr>
      <xdr:spPr>
        <a:xfrm>
          <a:off x="11010900" y="914400"/>
          <a:ext cx="37909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93D3A23-28CD-4F7B-9A91-9F59C43E46C1}"/>
            </a:ext>
          </a:extLst>
        </xdr:cNvPr>
        <xdr:cNvSpPr txBox="1"/>
      </xdr:nvSpPr>
      <xdr:spPr>
        <a:xfrm>
          <a:off x="12296775" y="3324225"/>
          <a:ext cx="37909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39C365F-7390-4CC8-ACC2-F3CEDCC1F6E1}"/>
            </a:ext>
          </a:extLst>
        </xdr:cNvPr>
        <xdr:cNvSpPr txBox="1"/>
      </xdr:nvSpPr>
      <xdr:spPr>
        <a:xfrm>
          <a:off x="9505950" y="50482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638DBE1-4DA4-499C-B898-5252A4440291}"/>
            </a:ext>
          </a:extLst>
        </xdr:cNvPr>
        <xdr:cNvSpPr txBox="1"/>
      </xdr:nvSpPr>
      <xdr:spPr>
        <a:xfrm>
          <a:off x="11010900" y="876300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9</xdr:col>
      <xdr:colOff>647700</xdr:colOff>
      <xdr:row>14</xdr:row>
      <xdr:rowOff>0</xdr:rowOff>
    </xdr:from>
    <xdr:to>
      <xdr:col>14</xdr:col>
      <xdr:colOff>428625</xdr:colOff>
      <xdr:row>14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42A13BE-F6D6-4B71-B676-E7500D4E2A99}"/>
            </a:ext>
          </a:extLst>
        </xdr:cNvPr>
        <xdr:cNvSpPr txBox="1"/>
      </xdr:nvSpPr>
      <xdr:spPr>
        <a:xfrm>
          <a:off x="9505950" y="834390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09B3F66-3A2F-4399-93BC-DCA2AAE823A3}"/>
            </a:ext>
          </a:extLst>
        </xdr:cNvPr>
        <xdr:cNvSpPr txBox="1"/>
      </xdr:nvSpPr>
      <xdr:spPr>
        <a:xfrm>
          <a:off x="11010900" y="914400"/>
          <a:ext cx="37909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7A9395F-0990-4657-ABF1-FB7110710838}"/>
            </a:ext>
          </a:extLst>
        </xdr:cNvPr>
        <xdr:cNvSpPr txBox="1"/>
      </xdr:nvSpPr>
      <xdr:spPr>
        <a:xfrm>
          <a:off x="12296775" y="3324225"/>
          <a:ext cx="37909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631C1B1-E798-4A56-AC4A-B1B3FCE6A6ED}"/>
            </a:ext>
          </a:extLst>
        </xdr:cNvPr>
        <xdr:cNvSpPr txBox="1"/>
      </xdr:nvSpPr>
      <xdr:spPr>
        <a:xfrm>
          <a:off x="9505950" y="50482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11</xdr:col>
      <xdr:colOff>400050</xdr:colOff>
      <xdr:row>16</xdr:row>
      <xdr:rowOff>0</xdr:rowOff>
    </xdr:from>
    <xdr:to>
      <xdr:col>16</xdr:col>
      <xdr:colOff>371475</xdr:colOff>
      <xdr:row>17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2119D73-0D54-4D9B-B2A7-ACD694E7874D}"/>
            </a:ext>
          </a:extLst>
        </xdr:cNvPr>
        <xdr:cNvSpPr txBox="1"/>
      </xdr:nvSpPr>
      <xdr:spPr>
        <a:xfrm>
          <a:off x="11010900" y="3524250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27</xdr:row>
      <xdr:rowOff>0</xdr:rowOff>
    </xdr:from>
    <xdr:to>
      <xdr:col>18</xdr:col>
      <xdr:colOff>133350</xdr:colOff>
      <xdr:row>28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B6A1042-8789-41F2-8707-9C4E1035D3C1}"/>
            </a:ext>
          </a:extLst>
        </xdr:cNvPr>
        <xdr:cNvSpPr txBox="1"/>
      </xdr:nvSpPr>
      <xdr:spPr>
        <a:xfrm>
          <a:off x="12296775" y="6115050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681B6AAA-409C-4710-A432-36D28EFF7F12}"/>
            </a:ext>
          </a:extLst>
        </xdr:cNvPr>
        <xdr:cNvSpPr txBox="1"/>
      </xdr:nvSpPr>
      <xdr:spPr>
        <a:xfrm>
          <a:off x="9505950" y="834390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CAB8-4256-432A-8A69-BE7291489947}">
  <dimension ref="A1:D11"/>
  <sheetViews>
    <sheetView tabSelected="1" workbookViewId="0">
      <selection activeCell="J17" sqref="J17"/>
    </sheetView>
  </sheetViews>
  <sheetFormatPr baseColWidth="10" defaultRowHeight="15" x14ac:dyDescent="0.25"/>
  <cols>
    <col min="1" max="1" width="27.85546875" bestFit="1" customWidth="1"/>
    <col min="2" max="2" width="19.28515625" bestFit="1" customWidth="1"/>
    <col min="3" max="3" width="12.5703125" bestFit="1" customWidth="1"/>
    <col min="4" max="4" width="19.7109375" bestFit="1" customWidth="1"/>
    <col min="6" max="6" width="14.140625" bestFit="1" customWidth="1"/>
    <col min="7" max="7" width="14.7109375" bestFit="1" customWidth="1"/>
  </cols>
  <sheetData>
    <row r="1" spans="1:4" s="8" customFormat="1" ht="20.25" customHeight="1" x14ac:dyDescent="0.25">
      <c r="A1" s="411"/>
      <c r="B1" s="412" t="s">
        <v>274</v>
      </c>
      <c r="C1" s="412"/>
    </row>
    <row r="2" spans="1:4" s="8" customFormat="1" ht="20.25" customHeight="1" x14ac:dyDescent="0.25">
      <c r="A2" s="413"/>
      <c r="B2" s="414" t="s">
        <v>272</v>
      </c>
      <c r="C2" s="414" t="s">
        <v>273</v>
      </c>
    </row>
    <row r="3" spans="1:4" s="8" customFormat="1" ht="20.25" customHeight="1" x14ac:dyDescent="0.25">
      <c r="A3" s="417" t="s">
        <v>283</v>
      </c>
      <c r="B3" s="433">
        <v>0.01</v>
      </c>
      <c r="C3" s="433">
        <v>0.01</v>
      </c>
    </row>
    <row r="5" spans="1:4" ht="15.75" thickBot="1" x14ac:dyDescent="0.3"/>
    <row r="6" spans="1:4" x14ac:dyDescent="0.25">
      <c r="A6" s="351"/>
      <c r="B6" s="6" t="s">
        <v>275</v>
      </c>
      <c r="C6" s="6" t="s">
        <v>276</v>
      </c>
      <c r="D6" s="354" t="s">
        <v>134</v>
      </c>
    </row>
    <row r="7" spans="1:4" x14ac:dyDescent="0.25">
      <c r="A7" s="417" t="s">
        <v>267</v>
      </c>
      <c r="B7" s="247"/>
      <c r="C7" s="247"/>
      <c r="D7" s="7"/>
    </row>
    <row r="8" spans="1:4" x14ac:dyDescent="0.25">
      <c r="A8" s="417" t="s">
        <v>268</v>
      </c>
      <c r="B8" s="437">
        <v>20</v>
      </c>
      <c r="C8" s="415">
        <f>7*0.4</f>
        <v>2.8000000000000003</v>
      </c>
      <c r="D8" s="416">
        <f>C8*B8</f>
        <v>56.000000000000007</v>
      </c>
    </row>
    <row r="9" spans="1:4" x14ac:dyDescent="0.25">
      <c r="A9" s="417" t="s">
        <v>269</v>
      </c>
      <c r="B9" s="437">
        <v>18</v>
      </c>
      <c r="C9" s="415">
        <f>7*0.4</f>
        <v>2.8000000000000003</v>
      </c>
      <c r="D9" s="416">
        <f>C9*B9</f>
        <v>50.400000000000006</v>
      </c>
    </row>
    <row r="10" spans="1:4" x14ac:dyDescent="0.25">
      <c r="A10" s="417" t="s">
        <v>270</v>
      </c>
      <c r="B10" s="247"/>
      <c r="C10" s="247"/>
      <c r="D10" s="7"/>
    </row>
    <row r="11" spans="1:4" ht="15.75" thickBot="1" x14ac:dyDescent="0.3">
      <c r="A11" s="418" t="s">
        <v>271</v>
      </c>
      <c r="B11" s="410"/>
      <c r="C11" s="410"/>
      <c r="D11" s="3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9584-CC7C-41CA-B200-E7D20656A43A}">
  <dimension ref="A2:K54"/>
  <sheetViews>
    <sheetView topLeftCell="A23" workbookViewId="0">
      <selection activeCell="B33" sqref="B33:K33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2" spans="1:10" ht="23.25" x14ac:dyDescent="0.25">
      <c r="A2" s="285" t="s">
        <v>183</v>
      </c>
      <c r="B2" s="286"/>
      <c r="C2" s="286"/>
      <c r="D2" s="286"/>
      <c r="E2" s="286"/>
      <c r="F2" s="286"/>
      <c r="G2" s="286"/>
      <c r="H2" s="286"/>
    </row>
    <row r="4" spans="1:10" ht="18.75" x14ac:dyDescent="0.25">
      <c r="A4" s="287" t="s">
        <v>184</v>
      </c>
      <c r="D4" s="288">
        <v>3864</v>
      </c>
      <c r="F4" s="304" t="s">
        <v>216</v>
      </c>
      <c r="H4" s="317" t="s">
        <v>217</v>
      </c>
      <c r="I4" s="304">
        <v>21</v>
      </c>
    </row>
    <row r="5" spans="1:10" ht="15.75" thickBot="1" x14ac:dyDescent="0.3"/>
    <row r="6" spans="1:10" ht="30" x14ac:dyDescent="0.25">
      <c r="A6" s="289" t="s">
        <v>159</v>
      </c>
      <c r="B6" s="233" t="s">
        <v>136</v>
      </c>
      <c r="C6" s="233" t="s">
        <v>185</v>
      </c>
      <c r="D6" s="233" t="s">
        <v>186</v>
      </c>
      <c r="E6" s="235" t="s">
        <v>187</v>
      </c>
      <c r="F6" s="235" t="s">
        <v>188</v>
      </c>
      <c r="G6" s="235" t="s">
        <v>189</v>
      </c>
      <c r="H6" s="236" t="s">
        <v>190</v>
      </c>
    </row>
    <row r="7" spans="1:10" x14ac:dyDescent="0.25">
      <c r="A7" s="290" t="s">
        <v>191</v>
      </c>
      <c r="B7" s="291">
        <v>6000</v>
      </c>
      <c r="C7" s="292">
        <f>B7</f>
        <v>6000</v>
      </c>
      <c r="D7" s="292">
        <f>$D$4</f>
        <v>3864</v>
      </c>
      <c r="E7" s="292">
        <f>D7</f>
        <v>3864</v>
      </c>
      <c r="F7" s="292">
        <f>MIN(C7,E7)</f>
        <v>3864</v>
      </c>
      <c r="G7" s="292">
        <f>F7</f>
        <v>3864</v>
      </c>
      <c r="H7" s="345">
        <f t="shared" ref="H7" si="0">B7-G7</f>
        <v>2136</v>
      </c>
    </row>
    <row r="8" spans="1:10" x14ac:dyDescent="0.25">
      <c r="A8" s="290" t="s">
        <v>192</v>
      </c>
      <c r="B8" s="291">
        <v>6000</v>
      </c>
      <c r="C8" s="292">
        <f>C7+B8</f>
        <v>12000</v>
      </c>
      <c r="D8" s="292">
        <f>$D$4</f>
        <v>3864</v>
      </c>
      <c r="E8" s="292">
        <f>E7+D8</f>
        <v>7728</v>
      </c>
      <c r="F8" s="346">
        <f t="shared" ref="F8:F11" si="1">MIN(C8,E8)</f>
        <v>7728</v>
      </c>
      <c r="G8" s="292">
        <f>F8-F7</f>
        <v>3864</v>
      </c>
      <c r="H8" s="345">
        <f>B8-G8</f>
        <v>2136</v>
      </c>
    </row>
    <row r="9" spans="1:10" x14ac:dyDescent="0.25">
      <c r="A9" s="290" t="s">
        <v>193</v>
      </c>
      <c r="B9" s="291">
        <v>6000</v>
      </c>
      <c r="C9" s="292">
        <f t="shared" ref="C9:C11" si="2">C8+B9</f>
        <v>18000</v>
      </c>
      <c r="D9" s="292">
        <f t="shared" ref="D9:D11" si="3">$D$4</f>
        <v>3864</v>
      </c>
      <c r="E9" s="292">
        <f t="shared" ref="E9:E11" si="4">E8+D9</f>
        <v>11592</v>
      </c>
      <c r="F9" s="346">
        <f t="shared" si="1"/>
        <v>11592</v>
      </c>
      <c r="G9" s="292">
        <f t="shared" ref="G9:G11" si="5">F9-F8</f>
        <v>3864</v>
      </c>
      <c r="H9" s="345">
        <f t="shared" ref="H9:H11" si="6">B9-G9</f>
        <v>2136</v>
      </c>
    </row>
    <row r="10" spans="1:10" x14ac:dyDescent="0.25">
      <c r="A10" s="290" t="s">
        <v>194</v>
      </c>
      <c r="B10" s="291">
        <v>6000</v>
      </c>
      <c r="C10" s="292">
        <f t="shared" si="2"/>
        <v>24000</v>
      </c>
      <c r="D10" s="292">
        <f t="shared" si="3"/>
        <v>3864</v>
      </c>
      <c r="E10" s="292">
        <f t="shared" si="4"/>
        <v>15456</v>
      </c>
      <c r="F10" s="346">
        <f t="shared" si="1"/>
        <v>15456</v>
      </c>
      <c r="G10" s="292">
        <f t="shared" si="5"/>
        <v>3864</v>
      </c>
      <c r="H10" s="345">
        <f t="shared" si="6"/>
        <v>2136</v>
      </c>
    </row>
    <row r="11" spans="1:10" ht="15.75" thickBot="1" x14ac:dyDescent="0.3">
      <c r="A11" s="338" t="s">
        <v>195</v>
      </c>
      <c r="B11" s="348">
        <v>12000</v>
      </c>
      <c r="C11" s="340">
        <f t="shared" si="2"/>
        <v>36000</v>
      </c>
      <c r="D11" s="292">
        <f t="shared" si="3"/>
        <v>3864</v>
      </c>
      <c r="E11" s="340">
        <f t="shared" si="4"/>
        <v>19320</v>
      </c>
      <c r="F11" s="349">
        <f t="shared" si="1"/>
        <v>19320</v>
      </c>
      <c r="G11" s="350">
        <f t="shared" si="5"/>
        <v>3864</v>
      </c>
      <c r="H11" s="350">
        <f t="shared" si="6"/>
        <v>8136</v>
      </c>
    </row>
    <row r="12" spans="1:10" x14ac:dyDescent="0.25">
      <c r="A12" s="329"/>
      <c r="B12" s="330"/>
      <c r="C12" s="331"/>
      <c r="D12" s="331"/>
    </row>
    <row r="14" spans="1:10" ht="23.25" x14ac:dyDescent="0.25">
      <c r="A14" s="293" t="s">
        <v>196</v>
      </c>
      <c r="B14" s="286"/>
      <c r="C14" s="286"/>
      <c r="D14" s="286"/>
      <c r="E14" s="286"/>
      <c r="F14" s="286"/>
      <c r="G14" s="286"/>
      <c r="H14" s="286"/>
      <c r="I14" s="304" t="s">
        <v>266</v>
      </c>
      <c r="J14" s="438">
        <f>11.52*151.6667</f>
        <v>1747.2003839999998</v>
      </c>
    </row>
    <row r="16" spans="1:10" ht="15.75" thickBot="1" x14ac:dyDescent="0.3"/>
    <row r="17" spans="1:11" ht="45" x14ac:dyDescent="0.25">
      <c r="A17" s="294"/>
      <c r="B17" s="295" t="s">
        <v>136</v>
      </c>
      <c r="C17" s="295" t="s">
        <v>185</v>
      </c>
      <c r="D17" s="296" t="s">
        <v>197</v>
      </c>
      <c r="E17" s="296" t="s">
        <v>162</v>
      </c>
      <c r="F17" s="296" t="s">
        <v>198</v>
      </c>
      <c r="G17" s="296" t="s">
        <v>199</v>
      </c>
      <c r="H17" s="235" t="s">
        <v>200</v>
      </c>
      <c r="I17" s="296" t="s">
        <v>201</v>
      </c>
      <c r="J17" s="297" t="s">
        <v>202</v>
      </c>
      <c r="K17" s="298" t="s">
        <v>203</v>
      </c>
    </row>
    <row r="18" spans="1:11" x14ac:dyDescent="0.25">
      <c r="A18" s="290" t="s">
        <v>191</v>
      </c>
      <c r="B18" s="299">
        <f>+B7</f>
        <v>6000</v>
      </c>
      <c r="C18" s="299">
        <f>B18</f>
        <v>6000</v>
      </c>
      <c r="D18" s="300">
        <f>+B18</f>
        <v>6000</v>
      </c>
      <c r="E18" s="409">
        <v>1747.2</v>
      </c>
      <c r="F18" s="299">
        <f>2.5*E18</f>
        <v>4368</v>
      </c>
      <c r="G18" s="299">
        <f>F18</f>
        <v>4368</v>
      </c>
      <c r="H18" s="36" t="str">
        <f t="shared" ref="H18" si="7">IF(C18&gt;G18,"OUI","")</f>
        <v>OUI</v>
      </c>
      <c r="I18" s="302">
        <f>IF(H18="OUI",C18,0)</f>
        <v>6000</v>
      </c>
      <c r="J18" s="300">
        <f>I18</f>
        <v>6000</v>
      </c>
      <c r="K18" s="303">
        <f>(D18*7%)+(J18*6%)</f>
        <v>780</v>
      </c>
    </row>
    <row r="19" spans="1:11" x14ac:dyDescent="0.25">
      <c r="A19" s="290" t="s">
        <v>192</v>
      </c>
      <c r="B19" s="299">
        <f t="shared" ref="B19:B22" si="8">+B8</f>
        <v>6000</v>
      </c>
      <c r="C19" s="299">
        <f>C18+B19</f>
        <v>12000</v>
      </c>
      <c r="D19" s="300">
        <f t="shared" ref="D19:D22" si="9">+B19</f>
        <v>6000</v>
      </c>
      <c r="E19" s="409">
        <v>1747.2</v>
      </c>
      <c r="F19" s="299">
        <f t="shared" ref="F19:F22" si="10">2.5*E19</f>
        <v>4368</v>
      </c>
      <c r="G19" s="299">
        <f t="shared" ref="G19:G22" si="11">G18+F19</f>
        <v>8736</v>
      </c>
      <c r="H19" s="36" t="str">
        <f>IF(C19&gt;G19,"OUI","")</f>
        <v>OUI</v>
      </c>
      <c r="I19" s="302">
        <f>IF(H19="OUI",C19,0)</f>
        <v>12000</v>
      </c>
      <c r="J19" s="300">
        <f>I19-I18</f>
        <v>6000</v>
      </c>
      <c r="K19" s="303">
        <f t="shared" ref="K19:K22" si="12">(D19*7%)+(J19*6%)</f>
        <v>780</v>
      </c>
    </row>
    <row r="20" spans="1:11" x14ac:dyDescent="0.25">
      <c r="A20" s="290" t="s">
        <v>193</v>
      </c>
      <c r="B20" s="299">
        <f t="shared" si="8"/>
        <v>6000</v>
      </c>
      <c r="C20" s="299">
        <f t="shared" ref="C20:C22" si="13">C19+B20</f>
        <v>18000</v>
      </c>
      <c r="D20" s="300">
        <f t="shared" si="9"/>
        <v>6000</v>
      </c>
      <c r="E20" s="409">
        <v>1747.2</v>
      </c>
      <c r="F20" s="299">
        <f t="shared" si="10"/>
        <v>4368</v>
      </c>
      <c r="G20" s="299">
        <f t="shared" si="11"/>
        <v>13104</v>
      </c>
      <c r="H20" s="36" t="str">
        <f t="shared" ref="H20:H22" si="14">IF(C20&gt;G20,"OUI","")</f>
        <v>OUI</v>
      </c>
      <c r="I20" s="302">
        <f t="shared" ref="I20:I22" si="15">IF(H20="OUI",C20,0)</f>
        <v>18000</v>
      </c>
      <c r="J20" s="300">
        <f t="shared" ref="J20:J22" si="16">I20-I19</f>
        <v>6000</v>
      </c>
      <c r="K20" s="303">
        <f t="shared" si="12"/>
        <v>780</v>
      </c>
    </row>
    <row r="21" spans="1:11" x14ac:dyDescent="0.25">
      <c r="A21" s="290" t="s">
        <v>194</v>
      </c>
      <c r="B21" s="299">
        <f t="shared" si="8"/>
        <v>6000</v>
      </c>
      <c r="C21" s="299">
        <f t="shared" si="13"/>
        <v>24000</v>
      </c>
      <c r="D21" s="300">
        <f t="shared" si="9"/>
        <v>6000</v>
      </c>
      <c r="E21" s="409">
        <v>1747.2</v>
      </c>
      <c r="F21" s="299">
        <f t="shared" si="10"/>
        <v>4368</v>
      </c>
      <c r="G21" s="299">
        <f t="shared" si="11"/>
        <v>17472</v>
      </c>
      <c r="H21" s="36" t="str">
        <f t="shared" si="14"/>
        <v>OUI</v>
      </c>
      <c r="I21" s="302">
        <f t="shared" si="15"/>
        <v>24000</v>
      </c>
      <c r="J21" s="300">
        <f t="shared" si="16"/>
        <v>6000</v>
      </c>
      <c r="K21" s="303">
        <f t="shared" si="12"/>
        <v>780</v>
      </c>
    </row>
    <row r="22" spans="1:11" x14ac:dyDescent="0.25">
      <c r="A22" s="290" t="s">
        <v>195</v>
      </c>
      <c r="B22" s="299">
        <f t="shared" si="8"/>
        <v>12000</v>
      </c>
      <c r="C22" s="299">
        <f t="shared" si="13"/>
        <v>36000</v>
      </c>
      <c r="D22" s="300">
        <f t="shared" si="9"/>
        <v>12000</v>
      </c>
      <c r="E22" s="409">
        <v>1747.2</v>
      </c>
      <c r="F22" s="299">
        <f t="shared" si="10"/>
        <v>4368</v>
      </c>
      <c r="G22" s="299">
        <f t="shared" si="11"/>
        <v>21840</v>
      </c>
      <c r="H22" s="36" t="str">
        <f t="shared" si="14"/>
        <v>OUI</v>
      </c>
      <c r="I22" s="302">
        <f t="shared" si="15"/>
        <v>36000</v>
      </c>
      <c r="J22" s="300">
        <f t="shared" si="16"/>
        <v>12000</v>
      </c>
      <c r="K22" s="303">
        <f t="shared" si="12"/>
        <v>1560</v>
      </c>
    </row>
    <row r="23" spans="1:11" x14ac:dyDescent="0.25">
      <c r="A23" s="329"/>
      <c r="B23" s="332"/>
      <c r="C23" s="332"/>
      <c r="D23" s="333"/>
      <c r="E23" s="334"/>
      <c r="F23" s="332"/>
      <c r="G23" s="332"/>
      <c r="H23" s="335"/>
      <c r="I23" s="336"/>
      <c r="J23" s="333"/>
    </row>
    <row r="25" spans="1:11" ht="23.25" x14ac:dyDescent="0.25">
      <c r="A25" s="293" t="s">
        <v>204</v>
      </c>
      <c r="B25" s="286"/>
      <c r="C25" s="286"/>
      <c r="D25" s="286"/>
      <c r="E25" s="286"/>
      <c r="F25" s="286"/>
      <c r="G25" s="286"/>
      <c r="H25" s="286"/>
    </row>
    <row r="27" spans="1:11" ht="15.75" thickBot="1" x14ac:dyDescent="0.3"/>
    <row r="28" spans="1:11" s="304" customFormat="1" ht="45" x14ac:dyDescent="0.25">
      <c r="A28" s="294"/>
      <c r="B28" s="295" t="s">
        <v>136</v>
      </c>
      <c r="C28" s="295" t="s">
        <v>185</v>
      </c>
      <c r="D28" s="296" t="s">
        <v>205</v>
      </c>
      <c r="E28" s="296" t="s">
        <v>162</v>
      </c>
      <c r="F28" s="296" t="s">
        <v>206</v>
      </c>
      <c r="G28" s="296" t="s">
        <v>207</v>
      </c>
      <c r="H28" s="235" t="s">
        <v>208</v>
      </c>
      <c r="I28" s="296" t="s">
        <v>209</v>
      </c>
      <c r="J28" s="297" t="s">
        <v>210</v>
      </c>
      <c r="K28" s="298" t="s">
        <v>284</v>
      </c>
    </row>
    <row r="29" spans="1:11" ht="21.75" customHeight="1" x14ac:dyDescent="0.25">
      <c r="A29" s="290" t="s">
        <v>191</v>
      </c>
      <c r="B29" s="299">
        <f>+B18</f>
        <v>6000</v>
      </c>
      <c r="C29" s="299">
        <f>B29</f>
        <v>6000</v>
      </c>
      <c r="D29" s="300">
        <f>+B29</f>
        <v>6000</v>
      </c>
      <c r="E29" s="301">
        <f>+E18</f>
        <v>1747.2</v>
      </c>
      <c r="F29" s="299">
        <f>3.5*E29</f>
        <v>6115.2</v>
      </c>
      <c r="G29" s="299">
        <f>F29</f>
        <v>6115.2</v>
      </c>
      <c r="H29" s="36" t="str">
        <f>IF(C29&gt;G29,"OUI","")</f>
        <v/>
      </c>
      <c r="I29" s="302">
        <f>IF(H29="OUI",C29,0)</f>
        <v>0</v>
      </c>
      <c r="J29" s="300">
        <f>I29</f>
        <v>0</v>
      </c>
      <c r="K29" s="303">
        <f>(D29*3.45%)+(J29*1.8%)</f>
        <v>207.00000000000003</v>
      </c>
    </row>
    <row r="30" spans="1:11" ht="21.75" customHeight="1" x14ac:dyDescent="0.25">
      <c r="A30" s="290" t="s">
        <v>192</v>
      </c>
      <c r="B30" s="299">
        <f t="shared" ref="B30:B33" si="17">+B19</f>
        <v>6000</v>
      </c>
      <c r="C30" s="299">
        <f>C29+B30</f>
        <v>12000</v>
      </c>
      <c r="D30" s="300">
        <f t="shared" ref="D30:D33" si="18">B30</f>
        <v>6000</v>
      </c>
      <c r="E30" s="301">
        <f t="shared" ref="E30:E33" si="19">+E19</f>
        <v>1747.2</v>
      </c>
      <c r="F30" s="299">
        <f t="shared" ref="F30:F33" si="20">3.5*E30</f>
        <v>6115.2</v>
      </c>
      <c r="G30" s="299">
        <f t="shared" ref="G30:G33" si="21">G29+F30</f>
        <v>12230.4</v>
      </c>
      <c r="H30" s="36" t="str">
        <f t="shared" ref="H30:H33" si="22">IF(C30&gt;G30,"OUI","")</f>
        <v/>
      </c>
      <c r="I30" s="302">
        <f>IF(H30="OUI",C30,0)</f>
        <v>0</v>
      </c>
      <c r="J30" s="300">
        <f>I30-I29</f>
        <v>0</v>
      </c>
      <c r="K30" s="303">
        <f t="shared" ref="K30:K33" si="23">(D30*3.45%)+(J30*1.8%)</f>
        <v>207.00000000000003</v>
      </c>
    </row>
    <row r="31" spans="1:11" ht="21.75" customHeight="1" x14ac:dyDescent="0.25">
      <c r="A31" s="290" t="s">
        <v>193</v>
      </c>
      <c r="B31" s="299">
        <f t="shared" si="17"/>
        <v>6000</v>
      </c>
      <c r="C31" s="299">
        <f t="shared" ref="C31:C33" si="24">C30+B31</f>
        <v>18000</v>
      </c>
      <c r="D31" s="300">
        <f t="shared" si="18"/>
        <v>6000</v>
      </c>
      <c r="E31" s="301">
        <f t="shared" si="19"/>
        <v>1747.2</v>
      </c>
      <c r="F31" s="299">
        <f t="shared" si="20"/>
        <v>6115.2</v>
      </c>
      <c r="G31" s="299">
        <f t="shared" si="21"/>
        <v>18345.599999999999</v>
      </c>
      <c r="H31" s="36" t="str">
        <f t="shared" si="22"/>
        <v/>
      </c>
      <c r="I31" s="302">
        <f t="shared" ref="I31:I33" si="25">IF(H31="OUI",C31,0)</f>
        <v>0</v>
      </c>
      <c r="J31" s="300">
        <f t="shared" ref="J31:J33" si="26">I31-I30</f>
        <v>0</v>
      </c>
      <c r="K31" s="303">
        <f t="shared" si="23"/>
        <v>207.00000000000003</v>
      </c>
    </row>
    <row r="32" spans="1:11" ht="21.75" customHeight="1" x14ac:dyDescent="0.25">
      <c r="A32" s="290" t="s">
        <v>194</v>
      </c>
      <c r="B32" s="299">
        <f t="shared" si="17"/>
        <v>6000</v>
      </c>
      <c r="C32" s="299">
        <f t="shared" si="24"/>
        <v>24000</v>
      </c>
      <c r="D32" s="300">
        <f t="shared" si="18"/>
        <v>6000</v>
      </c>
      <c r="E32" s="301">
        <f t="shared" si="19"/>
        <v>1747.2</v>
      </c>
      <c r="F32" s="299">
        <f t="shared" si="20"/>
        <v>6115.2</v>
      </c>
      <c r="G32" s="299">
        <f t="shared" si="21"/>
        <v>24460.799999999999</v>
      </c>
      <c r="H32" s="36" t="str">
        <f t="shared" si="22"/>
        <v/>
      </c>
      <c r="I32" s="302">
        <f t="shared" si="25"/>
        <v>0</v>
      </c>
      <c r="J32" s="300">
        <f t="shared" si="26"/>
        <v>0</v>
      </c>
      <c r="K32" s="303">
        <f t="shared" si="23"/>
        <v>207.00000000000003</v>
      </c>
    </row>
    <row r="33" spans="1:11" ht="21.75" customHeight="1" x14ac:dyDescent="0.25">
      <c r="A33" s="290" t="s">
        <v>195</v>
      </c>
      <c r="B33" s="439">
        <f t="shared" si="17"/>
        <v>12000</v>
      </c>
      <c r="C33" s="439">
        <f t="shared" si="24"/>
        <v>36000</v>
      </c>
      <c r="D33" s="440">
        <f t="shared" si="18"/>
        <v>12000</v>
      </c>
      <c r="E33" s="441">
        <f t="shared" si="19"/>
        <v>1747.2</v>
      </c>
      <c r="F33" s="439">
        <f t="shared" si="20"/>
        <v>6115.2</v>
      </c>
      <c r="G33" s="439">
        <f t="shared" si="21"/>
        <v>30576</v>
      </c>
      <c r="H33" s="442" t="str">
        <f t="shared" si="22"/>
        <v>OUI</v>
      </c>
      <c r="I33" s="443">
        <f t="shared" si="25"/>
        <v>36000</v>
      </c>
      <c r="J33" s="440">
        <f t="shared" si="26"/>
        <v>36000</v>
      </c>
      <c r="K33" s="444">
        <f t="shared" si="23"/>
        <v>1062.0000000000002</v>
      </c>
    </row>
    <row r="34" spans="1:11" ht="21.75" customHeight="1" x14ac:dyDescent="0.25">
      <c r="A34" s="329"/>
      <c r="B34" s="332"/>
      <c r="C34" s="332"/>
      <c r="D34" s="333"/>
      <c r="E34" s="337"/>
      <c r="F34" s="332"/>
      <c r="G34" s="332"/>
      <c r="H34" s="335"/>
      <c r="I34" s="336"/>
    </row>
    <row r="35" spans="1:11" ht="21.75" hidden="1" thickBot="1" x14ac:dyDescent="0.3">
      <c r="A35" s="445" t="s">
        <v>211</v>
      </c>
      <c r="B35" s="446"/>
      <c r="C35" s="446"/>
      <c r="D35" s="446"/>
      <c r="E35" s="446"/>
      <c r="F35" s="446"/>
      <c r="G35" s="446"/>
      <c r="H35" s="446"/>
      <c r="I35" s="305"/>
    </row>
    <row r="36" spans="1:11" ht="21" hidden="1" customHeight="1" thickBot="1" x14ac:dyDescent="0.3">
      <c r="A36" s="230" t="s">
        <v>158</v>
      </c>
      <c r="B36" s="306">
        <v>0.31950000000000001</v>
      </c>
    </row>
    <row r="37" spans="1:11" ht="15.75" hidden="1" thickBot="1" x14ac:dyDescent="0.3"/>
    <row r="38" spans="1:11" ht="30" hidden="1" x14ac:dyDescent="0.25">
      <c r="A38" s="3" t="s">
        <v>159</v>
      </c>
      <c r="B38" s="233" t="s">
        <v>160</v>
      </c>
      <c r="C38" s="233" t="s">
        <v>161</v>
      </c>
      <c r="D38" s="296" t="s">
        <v>162</v>
      </c>
      <c r="E38" s="235" t="s">
        <v>163</v>
      </c>
      <c r="F38" s="235" t="s">
        <v>164</v>
      </c>
      <c r="G38" s="235" t="s">
        <v>165</v>
      </c>
      <c r="H38" s="235" t="s">
        <v>166</v>
      </c>
      <c r="I38" s="1" t="s">
        <v>212</v>
      </c>
    </row>
    <row r="39" spans="1:11" ht="21" hidden="1" customHeight="1" x14ac:dyDescent="0.25">
      <c r="A39" s="290" t="s">
        <v>191</v>
      </c>
      <c r="B39" s="307">
        <v>1700</v>
      </c>
      <c r="C39" s="308">
        <f>B39</f>
        <v>1700</v>
      </c>
      <c r="D39" s="301">
        <v>1603.12</v>
      </c>
      <c r="E39" s="307">
        <f>+D39</f>
        <v>1603.12</v>
      </c>
      <c r="F39" s="309">
        <f>ROUND(($B$36/0.6)*((1.6*E39/C39)-1),4)</f>
        <v>0.27089999999999997</v>
      </c>
      <c r="G39" s="308">
        <f>IF(F39&gt;0,F39*C39,0)</f>
        <v>460.53</v>
      </c>
      <c r="H39" s="310">
        <f>G39</f>
        <v>460.53</v>
      </c>
      <c r="I39" s="5" t="str">
        <f>IF(F39&gt;$B$36,"ERREUR","")</f>
        <v/>
      </c>
    </row>
    <row r="40" spans="1:11" ht="21" hidden="1" customHeight="1" x14ac:dyDescent="0.25">
      <c r="A40" s="290" t="s">
        <v>192</v>
      </c>
      <c r="B40" s="307">
        <v>3000</v>
      </c>
      <c r="C40" s="308">
        <f>C39+B40</f>
        <v>4700</v>
      </c>
      <c r="D40" s="311">
        <f>156.67*10.57</f>
        <v>1656.0019</v>
      </c>
      <c r="E40" s="307">
        <f>D40+E39</f>
        <v>3259.1219000000001</v>
      </c>
      <c r="F40" s="309">
        <f>ROUND(($B$36/0.6)*((1.6*E40/C40)-1),4)</f>
        <v>5.8299999999999998E-2</v>
      </c>
      <c r="G40" s="308">
        <f t="shared" ref="G40:G43" si="27">IF(F40&gt;0,F40*C40,0)</f>
        <v>274.01</v>
      </c>
      <c r="H40" s="310">
        <f>G40-G39</f>
        <v>-186.51999999999998</v>
      </c>
      <c r="I40" s="5" t="str">
        <f>IF(F40&gt;$B$36,"ERREUR","")</f>
        <v/>
      </c>
    </row>
    <row r="41" spans="1:11" ht="21" hidden="1" customHeight="1" x14ac:dyDescent="0.25">
      <c r="A41" s="290" t="s">
        <v>193</v>
      </c>
      <c r="B41" s="307"/>
      <c r="C41" s="308">
        <f t="shared" ref="C41:C43" si="28">C40+B41</f>
        <v>4700</v>
      </c>
      <c r="D41" s="301">
        <v>1603.12</v>
      </c>
      <c r="E41" s="307">
        <f t="shared" ref="E41:E43" si="29">D41+E40</f>
        <v>4862.2419</v>
      </c>
      <c r="F41" s="309">
        <f>ROUND(($B$36/0.6)*((1.6*E41/C41)-1),4)</f>
        <v>0.34889999999999999</v>
      </c>
      <c r="G41" s="312">
        <f t="shared" si="27"/>
        <v>1639.83</v>
      </c>
      <c r="H41" s="310">
        <f t="shared" ref="H41:H43" si="30">G41-G40</f>
        <v>1365.82</v>
      </c>
      <c r="I41" s="5" t="str">
        <f>IF(F41&gt;$B$36,"ERREUR","")</f>
        <v>ERREUR</v>
      </c>
    </row>
    <row r="42" spans="1:11" ht="21" hidden="1" customHeight="1" x14ac:dyDescent="0.25">
      <c r="A42" s="290" t="s">
        <v>194</v>
      </c>
      <c r="B42" s="307"/>
      <c r="C42" s="308">
        <f t="shared" si="28"/>
        <v>4700</v>
      </c>
      <c r="D42" s="301">
        <v>1603.12</v>
      </c>
      <c r="E42" s="307">
        <f t="shared" si="29"/>
        <v>6465.3618999999999</v>
      </c>
      <c r="F42" s="309">
        <f>ROUND(($B$36/0.6)*((1.6*E42/C42)-1),4)</f>
        <v>0.63949999999999996</v>
      </c>
      <c r="G42" s="308">
        <f t="shared" si="27"/>
        <v>3005.6499999999996</v>
      </c>
      <c r="H42" s="310">
        <f t="shared" si="30"/>
        <v>1365.8199999999997</v>
      </c>
      <c r="I42" s="5" t="str">
        <f>IF(F42&gt;$B$36,"ERREUR","")</f>
        <v>ERREUR</v>
      </c>
    </row>
    <row r="43" spans="1:11" ht="21" hidden="1" customHeight="1" x14ac:dyDescent="0.25">
      <c r="A43" s="290" t="s">
        <v>195</v>
      </c>
      <c r="B43" s="307"/>
      <c r="C43" s="308">
        <f t="shared" si="28"/>
        <v>4700</v>
      </c>
      <c r="D43" s="301">
        <v>1603.12</v>
      </c>
      <c r="E43" s="307">
        <f t="shared" si="29"/>
        <v>8068.4818999999998</v>
      </c>
      <c r="F43" s="309">
        <f>ROUND(($B$36/0.6)*((1.6*E43/C43)-1),4)</f>
        <v>0.93010000000000004</v>
      </c>
      <c r="G43" s="308">
        <f t="shared" si="27"/>
        <v>4371.47</v>
      </c>
      <c r="H43" s="310">
        <f t="shared" si="30"/>
        <v>1365.8200000000006</v>
      </c>
      <c r="I43" s="5" t="str">
        <f>IF(F43&gt;$B$36,"ERREUR","")</f>
        <v>ERREUR</v>
      </c>
    </row>
    <row r="45" spans="1:11" ht="23.25" x14ac:dyDescent="0.25">
      <c r="A45" s="285" t="s">
        <v>213</v>
      </c>
      <c r="B45" s="286"/>
      <c r="C45" s="286"/>
      <c r="D45" s="286"/>
      <c r="E45" s="286"/>
      <c r="F45" s="286"/>
    </row>
    <row r="47" spans="1:11" ht="18.75" x14ac:dyDescent="0.25">
      <c r="A47" s="287" t="s">
        <v>184</v>
      </c>
      <c r="D47" s="288">
        <v>3864</v>
      </c>
    </row>
    <row r="48" spans="1:11" ht="15.75" thickBot="1" x14ac:dyDescent="0.3"/>
    <row r="49" spans="1:8" ht="30" x14ac:dyDescent="0.25">
      <c r="A49" s="289" t="s">
        <v>159</v>
      </c>
      <c r="B49" s="233" t="s">
        <v>136</v>
      </c>
      <c r="C49" s="233" t="s">
        <v>185</v>
      </c>
      <c r="D49" s="233" t="s">
        <v>186</v>
      </c>
      <c r="E49" s="235" t="s">
        <v>187</v>
      </c>
      <c r="F49" s="233" t="s">
        <v>214</v>
      </c>
      <c r="G49" s="235" t="s">
        <v>215</v>
      </c>
      <c r="H49" s="236" t="s">
        <v>231</v>
      </c>
    </row>
    <row r="50" spans="1:8" ht="26.25" customHeight="1" x14ac:dyDescent="0.25">
      <c r="A50" s="290" t="s">
        <v>191</v>
      </c>
      <c r="B50" s="299">
        <f>+B29</f>
        <v>6000</v>
      </c>
      <c r="C50" s="299">
        <f>B50</f>
        <v>6000</v>
      </c>
      <c r="D50" s="292">
        <f>$D$47</f>
        <v>3864</v>
      </c>
      <c r="E50" s="313">
        <f>D50</f>
        <v>3864</v>
      </c>
      <c r="F50" s="314" t="str">
        <f>IF(E50&gt;C50,"","OUI")</f>
        <v>OUI</v>
      </c>
      <c r="G50" s="300">
        <f t="shared" ref="G50:G51" si="31">IF(C50&gt;E50,C50,0)</f>
        <v>6000</v>
      </c>
      <c r="H50" s="419">
        <f>G50</f>
        <v>6000</v>
      </c>
    </row>
    <row r="51" spans="1:8" ht="26.25" customHeight="1" x14ac:dyDescent="0.25">
      <c r="A51" s="290" t="s">
        <v>192</v>
      </c>
      <c r="B51" s="299">
        <f t="shared" ref="B51:B54" si="32">+B30</f>
        <v>6000</v>
      </c>
      <c r="C51" s="299">
        <f>C50+B51</f>
        <v>12000</v>
      </c>
      <c r="D51" s="292">
        <f>$D$47</f>
        <v>3864</v>
      </c>
      <c r="E51" s="313">
        <f>E50+D51</f>
        <v>7728</v>
      </c>
      <c r="F51" s="314" t="str">
        <f t="shared" ref="F51" si="33">IF(E51&gt;C51,"","OUI")</f>
        <v>OUI</v>
      </c>
      <c r="G51" s="300">
        <f t="shared" si="31"/>
        <v>12000</v>
      </c>
      <c r="H51" s="419">
        <f>G51-G50</f>
        <v>6000</v>
      </c>
    </row>
    <row r="52" spans="1:8" ht="26.25" customHeight="1" x14ac:dyDescent="0.25">
      <c r="A52" s="290" t="s">
        <v>193</v>
      </c>
      <c r="B52" s="299">
        <f t="shared" si="32"/>
        <v>6000</v>
      </c>
      <c r="C52" s="299">
        <f t="shared" ref="C52:C54" si="34">C51+B52</f>
        <v>18000</v>
      </c>
      <c r="D52" s="292">
        <f t="shared" ref="D52:D54" si="35">$D$47</f>
        <v>3864</v>
      </c>
      <c r="E52" s="313">
        <f t="shared" ref="E52:E54" si="36">E51+D52</f>
        <v>11592</v>
      </c>
      <c r="F52" s="314" t="str">
        <f t="shared" ref="F52:F54" si="37">IF(E52&gt;C52,"","OUI")</f>
        <v>OUI</v>
      </c>
      <c r="G52" s="300">
        <f t="shared" ref="G52:G54" si="38">IF(C52&gt;E52,C52,0)</f>
        <v>18000</v>
      </c>
      <c r="H52" s="419">
        <f t="shared" ref="H52:H54" si="39">G52-G51</f>
        <v>6000</v>
      </c>
    </row>
    <row r="53" spans="1:8" ht="26.25" customHeight="1" x14ac:dyDescent="0.25">
      <c r="A53" s="290" t="s">
        <v>194</v>
      </c>
      <c r="B53" s="299">
        <f t="shared" si="32"/>
        <v>6000</v>
      </c>
      <c r="C53" s="299">
        <f t="shared" si="34"/>
        <v>24000</v>
      </c>
      <c r="D53" s="292">
        <f t="shared" si="35"/>
        <v>3864</v>
      </c>
      <c r="E53" s="313">
        <f t="shared" si="36"/>
        <v>15456</v>
      </c>
      <c r="F53" s="314" t="str">
        <f t="shared" si="37"/>
        <v>OUI</v>
      </c>
      <c r="G53" s="300">
        <f t="shared" si="38"/>
        <v>24000</v>
      </c>
      <c r="H53" s="419">
        <f t="shared" si="39"/>
        <v>6000</v>
      </c>
    </row>
    <row r="54" spans="1:8" ht="26.25" customHeight="1" thickBot="1" x14ac:dyDescent="0.3">
      <c r="A54" s="338" t="s">
        <v>195</v>
      </c>
      <c r="B54" s="339">
        <f t="shared" si="32"/>
        <v>12000</v>
      </c>
      <c r="C54" s="339">
        <f t="shared" si="34"/>
        <v>36000</v>
      </c>
      <c r="D54" s="292">
        <f t="shared" si="35"/>
        <v>3864</v>
      </c>
      <c r="E54" s="341">
        <f t="shared" si="36"/>
        <v>19320</v>
      </c>
      <c r="F54" s="342" t="str">
        <f t="shared" si="37"/>
        <v>OUI</v>
      </c>
      <c r="G54" s="343">
        <f t="shared" si="38"/>
        <v>36000</v>
      </c>
      <c r="H54" s="420">
        <f t="shared" si="39"/>
        <v>12000</v>
      </c>
    </row>
  </sheetData>
  <mergeCells count="1">
    <mergeCell ref="A35:H3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4F67-966E-4136-8D07-96AEB33EBC37}">
  <dimension ref="B1:P164"/>
  <sheetViews>
    <sheetView topLeftCell="A57" zoomScaleNormal="100" workbookViewId="0">
      <selection activeCell="G75" sqref="G75"/>
    </sheetView>
  </sheetViews>
  <sheetFormatPr baseColWidth="10" defaultRowHeight="15" x14ac:dyDescent="0.25"/>
  <cols>
    <col min="1" max="1" width="11.42578125" style="11"/>
    <col min="2" max="2" width="63.5703125" style="1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2.42578125" style="11" bestFit="1" customWidth="1"/>
    <col min="11" max="11" width="12" style="11" bestFit="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6000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/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11.27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36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63</v>
      </c>
      <c r="J12" s="25"/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66</v>
      </c>
      <c r="J13" s="25"/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68</v>
      </c>
      <c r="J14" s="25"/>
    </row>
    <row r="15" spans="2:11" x14ac:dyDescent="0.25">
      <c r="B15" s="23"/>
      <c r="C15" s="21"/>
      <c r="D15" s="22"/>
      <c r="E15" s="23"/>
      <c r="F15" s="24"/>
      <c r="G15" s="25"/>
      <c r="I15" s="23" t="s">
        <v>69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8" t="s">
        <v>70</v>
      </c>
      <c r="J16" s="25" t="s">
        <v>229</v>
      </c>
    </row>
    <row r="17" spans="2:16" ht="15.75" thickBot="1" x14ac:dyDescent="0.3">
      <c r="B17" s="45" t="s">
        <v>71</v>
      </c>
      <c r="C17" s="447"/>
      <c r="D17" s="448"/>
      <c r="E17" s="46" t="s">
        <v>72</v>
      </c>
      <c r="F17" s="447"/>
      <c r="G17" s="449"/>
      <c r="I17" s="28" t="s">
        <v>73</v>
      </c>
      <c r="J17" s="47">
        <f>'REGUL DUMONT'!G11</f>
        <v>3864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75</v>
      </c>
      <c r="J18" s="51">
        <f>'REGUL DUMONT'!H11</f>
        <v>8136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3" t="s">
        <v>79</v>
      </c>
      <c r="J19" s="25">
        <v>0.31909999999999999</v>
      </c>
    </row>
    <row r="20" spans="2:16" s="56" customFormat="1" x14ac:dyDescent="0.25">
      <c r="B20" s="19" t="s">
        <v>11</v>
      </c>
      <c r="C20" s="57"/>
      <c r="D20" s="58"/>
      <c r="E20" s="26">
        <f>J3</f>
        <v>6000</v>
      </c>
      <c r="F20" s="59"/>
      <c r="G20" s="60"/>
      <c r="H20" s="11"/>
      <c r="I20" s="61" t="s">
        <v>80</v>
      </c>
      <c r="J20" s="62">
        <v>0.125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/>
      <c r="C21" s="64"/>
      <c r="D21" s="65"/>
      <c r="E21" s="66"/>
      <c r="F21" s="67"/>
      <c r="G21" s="68"/>
      <c r="I21" s="23" t="s">
        <v>1</v>
      </c>
      <c r="J21" s="72">
        <v>70</v>
      </c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>
        <f>+J11</f>
        <v>0</v>
      </c>
      <c r="D22" s="69">
        <f>E20/J5</f>
        <v>40.816326530612244</v>
      </c>
      <c r="E22" s="66">
        <f>-D22*C22</f>
        <v>0</v>
      </c>
      <c r="F22" s="67"/>
      <c r="G22" s="68"/>
      <c r="I22" s="23" t="s">
        <v>2</v>
      </c>
      <c r="J22" s="72">
        <v>80</v>
      </c>
      <c r="K22" s="11"/>
      <c r="L22" s="11"/>
      <c r="M22" s="11"/>
      <c r="N22" s="11"/>
      <c r="O22" s="11"/>
      <c r="P22" s="11"/>
    </row>
    <row r="23" spans="2:16" s="56" customFormat="1" x14ac:dyDescent="0.25">
      <c r="B23" s="63"/>
      <c r="C23" s="64"/>
      <c r="D23" s="65"/>
      <c r="E23" s="66"/>
      <c r="F23" s="67"/>
      <c r="G23" s="68"/>
      <c r="I23" s="23" t="s">
        <v>84</v>
      </c>
      <c r="J23" s="70"/>
      <c r="K23" s="11"/>
      <c r="L23" s="11"/>
      <c r="M23" s="11"/>
      <c r="N23" s="11"/>
      <c r="O23" s="11"/>
      <c r="P23" s="11"/>
    </row>
    <row r="24" spans="2:16" ht="15.75" thickBot="1" x14ac:dyDescent="0.3">
      <c r="B24" s="23" t="s">
        <v>63</v>
      </c>
      <c r="C24" s="24">
        <f>J12</f>
        <v>0</v>
      </c>
      <c r="D24" s="71">
        <f>IF($J$4&gt;=151.67,$J$3/151.67*1.25,0)</f>
        <v>49.449462649172553</v>
      </c>
      <c r="E24" s="72">
        <f>D24*C24</f>
        <v>0</v>
      </c>
      <c r="F24" s="73"/>
      <c r="G24" s="74"/>
      <c r="I24" s="40" t="s">
        <v>85</v>
      </c>
      <c r="J24" s="75">
        <v>1.4999999999999999E-2</v>
      </c>
    </row>
    <row r="25" spans="2:16" ht="15.75" x14ac:dyDescent="0.25">
      <c r="B25" s="23" t="s">
        <v>66</v>
      </c>
      <c r="C25" s="24">
        <f>J13</f>
        <v>0</v>
      </c>
      <c r="D25" s="71">
        <f>IF($J$4&gt;=151.67,$J$3/151.67*1.5,0)</f>
        <v>59.339355179007057</v>
      </c>
      <c r="E25" s="72">
        <f>D25*C25</f>
        <v>0</v>
      </c>
      <c r="F25" s="73"/>
      <c r="G25" s="76"/>
      <c r="I25" s="4" t="s">
        <v>86</v>
      </c>
      <c r="J25" s="77">
        <v>7.0000000000000007E-2</v>
      </c>
      <c r="K25" s="78"/>
    </row>
    <row r="26" spans="2:16" ht="15.75" thickBot="1" x14ac:dyDescent="0.3">
      <c r="B26" s="23" t="s">
        <v>68</v>
      </c>
      <c r="C26" s="24">
        <f>J14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79" t="s">
        <v>230</v>
      </c>
      <c r="J26" s="80">
        <v>4000</v>
      </c>
    </row>
    <row r="27" spans="2:16" x14ac:dyDescent="0.25">
      <c r="B27" s="23" t="s">
        <v>69</v>
      </c>
      <c r="C27" s="24">
        <f>J15</f>
        <v>0</v>
      </c>
      <c r="D27" s="24">
        <f>IF($J$4&lt;151.67,$E$20/151.67*1.1,0)</f>
        <v>0</v>
      </c>
      <c r="E27" s="72">
        <f t="shared" si="0"/>
        <v>0</v>
      </c>
      <c r="F27" s="73"/>
      <c r="G27" s="76"/>
    </row>
    <row r="28" spans="2:16" x14ac:dyDescent="0.25">
      <c r="B28" s="23"/>
      <c r="C28" s="24"/>
      <c r="D28" s="24"/>
      <c r="E28" s="72"/>
      <c r="F28" s="73"/>
      <c r="G28" s="76"/>
    </row>
    <row r="29" spans="2:16" ht="27" x14ac:dyDescent="0.25">
      <c r="B29" s="23" t="s">
        <v>88</v>
      </c>
      <c r="C29" s="81"/>
      <c r="D29" s="24"/>
      <c r="E29" s="72"/>
      <c r="F29" s="82"/>
      <c r="G29" s="83"/>
      <c r="I29" s="84"/>
    </row>
    <row r="30" spans="2:16" x14ac:dyDescent="0.25">
      <c r="B30" s="23" t="s">
        <v>89</v>
      </c>
      <c r="C30" s="81"/>
      <c r="D30" s="24"/>
      <c r="E30" s="72"/>
      <c r="F30" s="82"/>
      <c r="G30" s="83"/>
    </row>
    <row r="31" spans="2:16" x14ac:dyDescent="0.25">
      <c r="B31" s="23"/>
      <c r="C31" s="85"/>
      <c r="D31" s="86"/>
      <c r="E31" s="87"/>
      <c r="F31" s="88"/>
      <c r="G31" s="89"/>
    </row>
    <row r="32" spans="2:16" ht="15.75" thickBot="1" x14ac:dyDescent="0.3">
      <c r="B32" s="90" t="s">
        <v>90</v>
      </c>
      <c r="C32" s="91"/>
      <c r="D32" s="92"/>
      <c r="E32" s="93">
        <f>-E145</f>
        <v>0</v>
      </c>
      <c r="F32" s="94"/>
      <c r="G32" s="95"/>
    </row>
    <row r="33" spans="2:7" x14ac:dyDescent="0.25">
      <c r="B33" s="96" t="s">
        <v>91</v>
      </c>
      <c r="C33" s="97"/>
      <c r="D33" s="98"/>
      <c r="E33" s="99">
        <f>-E164</f>
        <v>0</v>
      </c>
      <c r="F33" s="100"/>
      <c r="G33" s="101"/>
    </row>
    <row r="34" spans="2:7" x14ac:dyDescent="0.25">
      <c r="B34" s="90" t="s">
        <v>28</v>
      </c>
      <c r="C34" s="97"/>
      <c r="D34" s="98"/>
      <c r="E34" s="99">
        <f>E162</f>
        <v>0</v>
      </c>
      <c r="F34" s="100"/>
      <c r="G34" s="101"/>
    </row>
    <row r="35" spans="2:7" x14ac:dyDescent="0.25">
      <c r="B35" s="96"/>
      <c r="C35" s="97"/>
      <c r="D35" s="98"/>
      <c r="E35" s="99">
        <v>6000</v>
      </c>
      <c r="F35" s="100"/>
      <c r="G35" s="101"/>
    </row>
    <row r="36" spans="2:7" ht="15.75" thickBot="1" x14ac:dyDescent="0.3">
      <c r="B36" s="102" t="s">
        <v>92</v>
      </c>
      <c r="C36" s="97"/>
      <c r="D36" s="98">
        <f>J25</f>
        <v>7.0000000000000007E-2</v>
      </c>
      <c r="E36" s="103">
        <f>C36*D36</f>
        <v>0</v>
      </c>
      <c r="F36" s="100"/>
      <c r="G36" s="101"/>
    </row>
    <row r="37" spans="2:7" ht="16.5" thickTop="1" thickBot="1" x14ac:dyDescent="0.3">
      <c r="B37" s="104" t="s">
        <v>93</v>
      </c>
      <c r="C37" s="105"/>
      <c r="D37" s="106"/>
      <c r="E37" s="107">
        <f>SUM(E20:E36)</f>
        <v>12000</v>
      </c>
      <c r="F37" s="100"/>
      <c r="G37" s="101"/>
    </row>
    <row r="38" spans="2:7" ht="15.75" thickBot="1" x14ac:dyDescent="0.3">
      <c r="B38" s="108"/>
      <c r="C38" s="109"/>
      <c r="D38" s="110"/>
      <c r="E38" s="110"/>
      <c r="F38" s="111"/>
      <c r="G38" s="112"/>
    </row>
    <row r="39" spans="2:7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</row>
    <row r="40" spans="2:7" x14ac:dyDescent="0.25">
      <c r="B40" s="116" t="s">
        <v>99</v>
      </c>
      <c r="C40" s="117"/>
      <c r="D40" s="118"/>
      <c r="E40" s="118"/>
      <c r="F40" s="119"/>
      <c r="G40" s="120"/>
    </row>
    <row r="41" spans="2:7" x14ac:dyDescent="0.25">
      <c r="B41" s="121" t="s">
        <v>100</v>
      </c>
      <c r="C41" s="97">
        <f>E37</f>
        <v>12000</v>
      </c>
      <c r="D41" s="122"/>
      <c r="E41" s="123"/>
      <c r="F41" s="124">
        <v>7.0000000000000007E-2</v>
      </c>
      <c r="G41" s="125">
        <f>F41*C41</f>
        <v>840.00000000000011</v>
      </c>
    </row>
    <row r="42" spans="2:7" x14ac:dyDescent="0.25">
      <c r="B42" s="121" t="s">
        <v>286</v>
      </c>
      <c r="C42" s="97">
        <f>'REGUL DUMONT'!J22</f>
        <v>12000</v>
      </c>
      <c r="D42" s="122"/>
      <c r="E42" s="123"/>
      <c r="F42" s="434">
        <v>0.06</v>
      </c>
      <c r="G42" s="125">
        <f>F42*C42</f>
        <v>720</v>
      </c>
    </row>
    <row r="43" spans="2:7" x14ac:dyDescent="0.25">
      <c r="B43" s="121" t="s">
        <v>101</v>
      </c>
      <c r="C43" s="97">
        <f>$J$17</f>
        <v>3864</v>
      </c>
      <c r="D43" s="126"/>
      <c r="E43" s="127"/>
      <c r="F43" s="128">
        <f>J24</f>
        <v>1.4999999999999999E-2</v>
      </c>
      <c r="G43" s="125">
        <f>F43*C43</f>
        <v>57.96</v>
      </c>
    </row>
    <row r="44" spans="2:7" x14ac:dyDescent="0.25">
      <c r="B44" s="121" t="s">
        <v>102</v>
      </c>
      <c r="C44" s="97">
        <f>$J$18</f>
        <v>8136</v>
      </c>
      <c r="D44" s="126"/>
      <c r="E44" s="127"/>
      <c r="F44" s="128"/>
      <c r="G44" s="125">
        <f>F44*C44</f>
        <v>0</v>
      </c>
    </row>
    <row r="45" spans="2:7" x14ac:dyDescent="0.25">
      <c r="B45" s="121" t="s">
        <v>103</v>
      </c>
      <c r="C45" s="97">
        <v>3864</v>
      </c>
      <c r="D45" s="126">
        <v>0.01</v>
      </c>
      <c r="E45" s="127">
        <f>+D45*C45</f>
        <v>38.64</v>
      </c>
      <c r="F45" s="128">
        <v>0.01</v>
      </c>
      <c r="G45" s="125">
        <f>+F45*C45</f>
        <v>38.64</v>
      </c>
    </row>
    <row r="46" spans="2:7" x14ac:dyDescent="0.25">
      <c r="B46" s="129" t="s">
        <v>104</v>
      </c>
      <c r="C46" s="97">
        <f>J17+J18</f>
        <v>12000</v>
      </c>
      <c r="E46" s="97"/>
      <c r="F46" s="130">
        <f>J7</f>
        <v>3.5999999999999997E-2</v>
      </c>
      <c r="G46" s="125">
        <f>F46*C46</f>
        <v>431.99999999999994</v>
      </c>
    </row>
    <row r="47" spans="2:7" x14ac:dyDescent="0.25">
      <c r="B47" s="116" t="s">
        <v>105</v>
      </c>
      <c r="C47" s="117"/>
      <c r="D47" s="118"/>
      <c r="E47" s="118"/>
      <c r="F47" s="119"/>
      <c r="G47" s="120"/>
    </row>
    <row r="48" spans="2:7" x14ac:dyDescent="0.25">
      <c r="B48" s="121" t="s">
        <v>106</v>
      </c>
      <c r="C48" s="97">
        <f>$J$17</f>
        <v>3864</v>
      </c>
      <c r="D48" s="126">
        <v>6.9000000000000006E-2</v>
      </c>
      <c r="E48" s="127">
        <f>D48*C48</f>
        <v>266.61600000000004</v>
      </c>
      <c r="F48" s="128">
        <v>8.5500000000000007E-2</v>
      </c>
      <c r="G48" s="125">
        <f>F48*C48</f>
        <v>330.37200000000001</v>
      </c>
    </row>
    <row r="49" spans="2:7" x14ac:dyDescent="0.25">
      <c r="B49" s="121" t="s">
        <v>107</v>
      </c>
      <c r="C49" s="97">
        <f>$E$37</f>
        <v>12000</v>
      </c>
      <c r="D49" s="126">
        <v>4.0000000000000001E-3</v>
      </c>
      <c r="E49" s="127">
        <f t="shared" ref="E49:E52" si="1">D49*C49</f>
        <v>48</v>
      </c>
      <c r="F49" s="128">
        <v>2.0199999999999999E-2</v>
      </c>
      <c r="G49" s="125">
        <f t="shared" ref="G49:G52" si="2">F49*C49</f>
        <v>242.39999999999998</v>
      </c>
    </row>
    <row r="50" spans="2:7" x14ac:dyDescent="0.25">
      <c r="B50" s="121" t="s">
        <v>108</v>
      </c>
      <c r="C50" s="97">
        <f>$J$17</f>
        <v>3864</v>
      </c>
      <c r="D50" s="126">
        <v>4.0099999999999997E-2</v>
      </c>
      <c r="E50" s="127">
        <f t="shared" si="1"/>
        <v>154.94639999999998</v>
      </c>
      <c r="F50" s="128">
        <v>6.0100000000000001E-2</v>
      </c>
      <c r="G50" s="125">
        <f t="shared" si="2"/>
        <v>232.22640000000001</v>
      </c>
    </row>
    <row r="51" spans="2:7" x14ac:dyDescent="0.25">
      <c r="B51" s="121" t="s">
        <v>109</v>
      </c>
      <c r="C51" s="97">
        <f>+J18</f>
        <v>8136</v>
      </c>
      <c r="D51" s="126">
        <v>9.7199999999999995E-2</v>
      </c>
      <c r="E51" s="127">
        <f t="shared" si="1"/>
        <v>790.81919999999991</v>
      </c>
      <c r="F51" s="128">
        <v>0.1457</v>
      </c>
      <c r="G51" s="125">
        <f t="shared" si="2"/>
        <v>1185.4151999999999</v>
      </c>
    </row>
    <row r="52" spans="2:7" x14ac:dyDescent="0.25">
      <c r="B52" s="121" t="s">
        <v>110</v>
      </c>
      <c r="C52" s="97">
        <f>'REGUL DUMONT'!H54</f>
        <v>12000</v>
      </c>
      <c r="D52" s="126">
        <v>1.4E-3</v>
      </c>
      <c r="E52" s="127">
        <f t="shared" si="1"/>
        <v>16.8</v>
      </c>
      <c r="F52" s="128">
        <v>2.0999999999999999E-3</v>
      </c>
      <c r="G52" s="125">
        <f t="shared" si="2"/>
        <v>25.2</v>
      </c>
    </row>
    <row r="53" spans="2:7" x14ac:dyDescent="0.25">
      <c r="B53" s="121" t="s">
        <v>111</v>
      </c>
      <c r="C53" s="97"/>
      <c r="D53" s="126"/>
      <c r="E53" s="127"/>
      <c r="F53" s="128"/>
      <c r="G53" s="125"/>
    </row>
    <row r="54" spans="2:7" x14ac:dyDescent="0.25">
      <c r="B54" s="116" t="s">
        <v>112</v>
      </c>
      <c r="C54" s="97">
        <f>E37</f>
        <v>12000</v>
      </c>
      <c r="D54" s="131"/>
      <c r="E54" s="97"/>
      <c r="F54" s="128">
        <v>3.4500000000000003E-2</v>
      </c>
      <c r="G54" s="132">
        <f>F54*C54</f>
        <v>414.00000000000006</v>
      </c>
    </row>
    <row r="55" spans="2:7" x14ac:dyDescent="0.25">
      <c r="B55" s="116" t="s">
        <v>285</v>
      </c>
      <c r="C55" s="97">
        <f>'REGUL DUMONT'!J33</f>
        <v>36000</v>
      </c>
      <c r="D55" s="131"/>
      <c r="E55" s="97"/>
      <c r="F55" s="128">
        <v>1.7999999999999999E-2</v>
      </c>
      <c r="G55" s="132">
        <f>F55*C55</f>
        <v>648</v>
      </c>
    </row>
    <row r="56" spans="2:7" x14ac:dyDescent="0.25">
      <c r="B56" s="116" t="s">
        <v>113</v>
      </c>
      <c r="C56" s="97"/>
      <c r="D56" s="131"/>
      <c r="E56" s="97"/>
      <c r="F56" s="133"/>
      <c r="G56" s="125"/>
    </row>
    <row r="57" spans="2:7" x14ac:dyDescent="0.25">
      <c r="B57" s="121" t="s">
        <v>114</v>
      </c>
      <c r="C57" s="97">
        <f>+E37</f>
        <v>12000</v>
      </c>
      <c r="D57" s="131"/>
      <c r="E57" s="97"/>
      <c r="F57" s="134"/>
      <c r="G57" s="125">
        <f t="shared" ref="G57" si="3">F57*C57</f>
        <v>0</v>
      </c>
    </row>
    <row r="58" spans="2:7" x14ac:dyDescent="0.25">
      <c r="B58" s="121" t="s">
        <v>115</v>
      </c>
      <c r="C58" s="97">
        <f>+E37</f>
        <v>12000</v>
      </c>
      <c r="D58" s="135">
        <v>2.4000000000000001E-4</v>
      </c>
      <c r="E58" s="136">
        <f>D58*C58</f>
        <v>2.88</v>
      </c>
      <c r="F58" s="133">
        <v>3.6000000000000002E-4</v>
      </c>
      <c r="G58" s="137">
        <f>C58*F58</f>
        <v>4.32</v>
      </c>
    </row>
    <row r="59" spans="2:7" x14ac:dyDescent="0.25">
      <c r="B59" s="116" t="s">
        <v>116</v>
      </c>
      <c r="C59" s="97"/>
      <c r="D59" s="131"/>
      <c r="E59" s="97"/>
      <c r="F59" s="133"/>
      <c r="G59" s="125">
        <f>E103</f>
        <v>187.464</v>
      </c>
    </row>
    <row r="60" spans="2:7" x14ac:dyDescent="0.25">
      <c r="B60" s="129"/>
      <c r="C60" s="97"/>
      <c r="D60" s="97"/>
      <c r="E60" s="97"/>
      <c r="F60" s="97"/>
      <c r="G60" s="138"/>
    </row>
    <row r="61" spans="2:7" ht="25.5" x14ac:dyDescent="0.25">
      <c r="B61" s="139" t="s">
        <v>117</v>
      </c>
      <c r="C61" s="97"/>
      <c r="D61" s="97"/>
      <c r="E61" s="97"/>
      <c r="F61" s="97"/>
      <c r="G61" s="138"/>
    </row>
    <row r="62" spans="2:7" x14ac:dyDescent="0.25">
      <c r="B62" s="129"/>
      <c r="C62" s="97"/>
      <c r="D62" s="135"/>
      <c r="E62" s="97"/>
      <c r="F62" s="140"/>
      <c r="G62" s="125"/>
    </row>
    <row r="63" spans="2:7" x14ac:dyDescent="0.25">
      <c r="B63" s="129" t="s">
        <v>118</v>
      </c>
      <c r="C63" s="97">
        <f>(E37-E24-E25-E26-E27)*0.9825+G43+G44+G45</f>
        <v>11886.599999999999</v>
      </c>
      <c r="D63" s="126">
        <v>6.8000000000000005E-2</v>
      </c>
      <c r="E63" s="127">
        <f>D63*C63</f>
        <v>808.28879999999992</v>
      </c>
      <c r="F63" s="128"/>
      <c r="G63" s="125"/>
    </row>
    <row r="64" spans="2:7" x14ac:dyDescent="0.25">
      <c r="B64" s="129" t="s">
        <v>119</v>
      </c>
      <c r="C64" s="97">
        <f>C63</f>
        <v>11886.599999999999</v>
      </c>
      <c r="D64" s="126">
        <v>2.9000000000000001E-2</v>
      </c>
      <c r="E64" s="127">
        <f>D64*C64</f>
        <v>344.71139999999997</v>
      </c>
      <c r="F64" s="128"/>
      <c r="G64" s="125"/>
    </row>
    <row r="65" spans="2:7" ht="25.5" x14ac:dyDescent="0.25">
      <c r="B65" s="141" t="s">
        <v>120</v>
      </c>
      <c r="C65" s="97">
        <f>(E24+E25+E26+E27)*0.9825</f>
        <v>0</v>
      </c>
      <c r="D65" s="126">
        <v>9.7000000000000003E-2</v>
      </c>
      <c r="E65" s="127">
        <f>D65*C65</f>
        <v>0</v>
      </c>
      <c r="F65" s="128"/>
      <c r="G65" s="125"/>
    </row>
    <row r="66" spans="2:7" ht="15.75" thickBot="1" x14ac:dyDescent="0.3">
      <c r="B66" s="383" t="s">
        <v>257</v>
      </c>
      <c r="C66" s="126"/>
      <c r="D66" s="126"/>
      <c r="E66" s="127"/>
      <c r="F66" s="128"/>
      <c r="G66" s="138">
        <f>-I124</f>
        <v>0</v>
      </c>
    </row>
    <row r="67" spans="2:7" ht="15.75" thickBot="1" x14ac:dyDescent="0.3">
      <c r="B67" s="149" t="s">
        <v>124</v>
      </c>
      <c r="C67" s="150"/>
      <c r="D67" s="151"/>
      <c r="E67" s="152">
        <f>SUM(E41:E66)</f>
        <v>2471.7018000000003</v>
      </c>
      <c r="F67" s="153"/>
      <c r="G67" s="154">
        <f>SUM(G41:G66)</f>
        <v>5357.9975999999997</v>
      </c>
    </row>
    <row r="68" spans="2:7" x14ac:dyDescent="0.25">
      <c r="B68" s="155"/>
      <c r="C68" s="156"/>
      <c r="D68" s="157"/>
      <c r="E68" s="158"/>
      <c r="F68" s="159"/>
      <c r="G68" s="160"/>
    </row>
    <row r="69" spans="2:7" x14ac:dyDescent="0.25">
      <c r="B69" s="121" t="s">
        <v>125</v>
      </c>
      <c r="C69" s="127"/>
      <c r="D69" s="161"/>
      <c r="E69" s="162"/>
      <c r="F69" s="163"/>
      <c r="G69" s="164"/>
    </row>
    <row r="70" spans="2:7" x14ac:dyDescent="0.25">
      <c r="B70" s="121" t="s">
        <v>126</v>
      </c>
      <c r="C70" s="127"/>
      <c r="D70" s="161"/>
      <c r="E70" s="162"/>
      <c r="F70" s="163"/>
      <c r="G70" s="164"/>
    </row>
    <row r="71" spans="2:7" x14ac:dyDescent="0.25">
      <c r="B71" s="121" t="s">
        <v>127</v>
      </c>
      <c r="C71" s="127"/>
      <c r="D71" s="161"/>
      <c r="E71" s="127"/>
      <c r="F71" s="163"/>
      <c r="G71" s="164"/>
    </row>
    <row r="72" spans="2:7" ht="15.75" customHeight="1" x14ac:dyDescent="0.25">
      <c r="B72" s="165" t="s">
        <v>128</v>
      </c>
      <c r="C72" s="127"/>
      <c r="D72" s="161"/>
      <c r="E72" s="166"/>
      <c r="F72" s="163"/>
      <c r="G72" s="164"/>
    </row>
    <row r="73" spans="2:7" x14ac:dyDescent="0.25">
      <c r="B73" s="167" t="s">
        <v>129</v>
      </c>
      <c r="D73" s="168"/>
      <c r="E73" s="169"/>
      <c r="F73" s="170"/>
      <c r="G73" s="164"/>
    </row>
    <row r="74" spans="2:7" x14ac:dyDescent="0.25">
      <c r="B74" s="171"/>
      <c r="C74" s="127"/>
      <c r="D74" s="161"/>
      <c r="E74" s="172"/>
      <c r="F74" s="163"/>
      <c r="G74" s="164"/>
    </row>
    <row r="75" spans="2:7" ht="15.75" thickBot="1" x14ac:dyDescent="0.3">
      <c r="B75" s="143" t="s">
        <v>288</v>
      </c>
      <c r="C75" s="146"/>
      <c r="D75" s="173"/>
      <c r="E75" s="174"/>
      <c r="F75" s="175"/>
      <c r="G75" s="148">
        <f>+E37-E67</f>
        <v>9528.2981999999993</v>
      </c>
    </row>
    <row r="76" spans="2:7" ht="27.75" customHeight="1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9528.2981999999993</v>
      </c>
    </row>
    <row r="77" spans="2:7" ht="28.5" x14ac:dyDescent="0.25">
      <c r="B77" s="178" t="s">
        <v>131</v>
      </c>
      <c r="C77" s="179"/>
      <c r="D77" s="180"/>
      <c r="E77" s="181"/>
      <c r="F77" s="182"/>
      <c r="G77" s="183"/>
    </row>
    <row r="78" spans="2:7" x14ac:dyDescent="0.25">
      <c r="B78" s="384" t="s">
        <v>132</v>
      </c>
      <c r="C78" s="384" t="s">
        <v>133</v>
      </c>
      <c r="D78" s="384" t="s">
        <v>96</v>
      </c>
      <c r="E78" s="385" t="s">
        <v>134</v>
      </c>
      <c r="F78" s="385"/>
      <c r="G78" s="386" t="s">
        <v>258</v>
      </c>
    </row>
    <row r="79" spans="2:7" x14ac:dyDescent="0.25">
      <c r="B79" s="387" t="s">
        <v>259</v>
      </c>
      <c r="C79" s="388"/>
      <c r="D79" s="394"/>
      <c r="E79" s="390">
        <f>E37+G45+E64-E67</f>
        <v>9911.6495999999988</v>
      </c>
      <c r="F79" s="391"/>
      <c r="G79" s="392"/>
    </row>
    <row r="80" spans="2:7" x14ac:dyDescent="0.25">
      <c r="B80" s="387" t="s">
        <v>260</v>
      </c>
      <c r="C80" s="393">
        <f>E79</f>
        <v>9911.6495999999988</v>
      </c>
      <c r="D80" s="394">
        <v>0.125</v>
      </c>
      <c r="E80" s="390">
        <f>D80*C80</f>
        <v>1238.9561999999999</v>
      </c>
      <c r="F80" s="391"/>
      <c r="G80" s="392"/>
    </row>
    <row r="81" spans="2:7" x14ac:dyDescent="0.25">
      <c r="B81" s="387" t="s">
        <v>261</v>
      </c>
      <c r="C81" s="388"/>
      <c r="D81" s="390"/>
      <c r="E81" s="389"/>
      <c r="F81" s="391"/>
      <c r="G81" s="392"/>
    </row>
    <row r="82" spans="2:7" x14ac:dyDescent="0.25">
      <c r="B82" s="387"/>
      <c r="C82" s="388"/>
      <c r="D82" s="389"/>
      <c r="E82" s="389"/>
      <c r="F82" s="391"/>
      <c r="G82" s="395"/>
    </row>
    <row r="83" spans="2:7" x14ac:dyDescent="0.25">
      <c r="B83" s="396" t="s">
        <v>262</v>
      </c>
      <c r="C83" s="389"/>
      <c r="D83" s="389"/>
      <c r="E83" s="390">
        <f>G76-E80</f>
        <v>8289.3419999999987</v>
      </c>
      <c r="F83" s="391"/>
      <c r="G83" s="392"/>
    </row>
    <row r="84" spans="2:7" x14ac:dyDescent="0.25">
      <c r="B84" s="387" t="s">
        <v>263</v>
      </c>
      <c r="C84" s="389"/>
      <c r="D84" s="389"/>
      <c r="E84" s="389"/>
      <c r="F84" s="391"/>
      <c r="G84" s="392"/>
    </row>
    <row r="85" spans="2:7" x14ac:dyDescent="0.25">
      <c r="B85" s="387" t="s">
        <v>264</v>
      </c>
      <c r="C85" s="397"/>
      <c r="D85" s="389"/>
      <c r="E85" s="390">
        <f>E37+G67</f>
        <v>17357.997599999999</v>
      </c>
      <c r="F85" s="391"/>
      <c r="G85" s="392"/>
    </row>
    <row r="86" spans="2:7" ht="15.75" thickBot="1" x14ac:dyDescent="0.3">
      <c r="B86" s="398" t="s">
        <v>138</v>
      </c>
      <c r="C86" s="187"/>
      <c r="D86" s="187"/>
      <c r="E86" s="187"/>
      <c r="F86" s="399"/>
      <c r="G86" s="400"/>
    </row>
    <row r="87" spans="2:7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2:7" s="189" customFormat="1" ht="15.75" thickBot="1" x14ac:dyDescent="0.3">
      <c r="B90" s="453" t="s">
        <v>116</v>
      </c>
      <c r="C90" s="454"/>
      <c r="D90" s="11"/>
      <c r="E90" s="11"/>
    </row>
    <row r="91" spans="2:7" s="189" customFormat="1" x14ac:dyDescent="0.25">
      <c r="B91" s="190"/>
      <c r="C91" s="191"/>
      <c r="D91" s="455">
        <f>+E37</f>
        <v>12000</v>
      </c>
      <c r="E91" s="192"/>
    </row>
    <row r="92" spans="2:7" s="189" customFormat="1" x14ac:dyDescent="0.25">
      <c r="B92" s="193" t="s">
        <v>139</v>
      </c>
      <c r="C92" s="194">
        <f>IF(J6&gt;=11,J8,0)</f>
        <v>0</v>
      </c>
      <c r="D92" s="456"/>
      <c r="E92" s="195">
        <f>C92*$D$91</f>
        <v>0</v>
      </c>
    </row>
    <row r="93" spans="2:7" s="189" customFormat="1" x14ac:dyDescent="0.25">
      <c r="B93" s="193" t="s">
        <v>140</v>
      </c>
      <c r="C93" s="194">
        <f>IF(J6&lt;50,0%,0.5%)</f>
        <v>0</v>
      </c>
      <c r="D93" s="456"/>
      <c r="E93" s="195">
        <f t="shared" ref="E93:E98" si="4">C93*$D$91</f>
        <v>0</v>
      </c>
    </row>
    <row r="94" spans="2:7" s="189" customFormat="1" x14ac:dyDescent="0.25">
      <c r="B94" s="193" t="s">
        <v>141</v>
      </c>
      <c r="C94" s="194"/>
      <c r="D94" s="456"/>
      <c r="E94" s="195">
        <f t="shared" si="4"/>
        <v>0</v>
      </c>
    </row>
    <row r="95" spans="2:7" s="189" customFormat="1" x14ac:dyDescent="0.25">
      <c r="B95" s="193" t="s">
        <v>142</v>
      </c>
      <c r="C95" s="194">
        <v>3.0000000000000001E-3</v>
      </c>
      <c r="D95" s="456"/>
      <c r="E95" s="195">
        <f t="shared" si="4"/>
        <v>36</v>
      </c>
    </row>
    <row r="96" spans="2:7" s="189" customFormat="1" x14ac:dyDescent="0.25">
      <c r="B96" s="193" t="s">
        <v>143</v>
      </c>
      <c r="C96" s="194">
        <v>6.7999999999999996E-3</v>
      </c>
      <c r="D96" s="456"/>
      <c r="E96" s="195">
        <f t="shared" si="4"/>
        <v>81.599999999999994</v>
      </c>
    </row>
    <row r="97" spans="2:5" s="189" customFormat="1" x14ac:dyDescent="0.25">
      <c r="B97" s="193" t="s">
        <v>144</v>
      </c>
      <c r="C97" s="194">
        <f>IF(J6&lt;11,0.55%,1%)</f>
        <v>5.5000000000000005E-3</v>
      </c>
      <c r="D97" s="456"/>
      <c r="E97" s="195">
        <f t="shared" si="4"/>
        <v>66</v>
      </c>
    </row>
    <row r="98" spans="2:5" s="189" customFormat="1" x14ac:dyDescent="0.25">
      <c r="B98" s="193"/>
      <c r="C98" s="194">
        <f>IF(J6&lt;=50,0,0.45%)</f>
        <v>0</v>
      </c>
      <c r="D98" s="456"/>
      <c r="E98" s="195">
        <f t="shared" si="4"/>
        <v>0</v>
      </c>
    </row>
    <row r="99" spans="2:5" s="189" customFormat="1" x14ac:dyDescent="0.25">
      <c r="B99" s="23"/>
      <c r="C99" s="24"/>
      <c r="D99" s="24"/>
      <c r="E99" s="25"/>
    </row>
    <row r="100" spans="2:5" s="189" customFormat="1" x14ac:dyDescent="0.25">
      <c r="B100" s="23" t="s">
        <v>145</v>
      </c>
      <c r="C100" s="196">
        <f>IF(J6&gt;=11,+G43+G44+G45,0)</f>
        <v>0</v>
      </c>
      <c r="D100" s="197">
        <v>0.08</v>
      </c>
      <c r="E100" s="198">
        <f>D100*C100</f>
        <v>0</v>
      </c>
    </row>
    <row r="101" spans="2:5" s="189" customFormat="1" ht="15.75" thickBot="1" x14ac:dyDescent="0.3">
      <c r="B101" s="40" t="s">
        <v>146</v>
      </c>
      <c r="C101" s="199">
        <f>IF(J6&lt;50,J17,0)</f>
        <v>3864</v>
      </c>
      <c r="D101" s="200">
        <v>1E-3</v>
      </c>
      <c r="E101" s="201">
        <f>D101*C101</f>
        <v>3.8639999999999999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ht="15.75" thickBot="1" x14ac:dyDescent="0.3">
      <c r="B103" s="202" t="s">
        <v>147</v>
      </c>
      <c r="C103" s="203"/>
      <c r="D103" s="203"/>
      <c r="E103" s="204">
        <f>SUM(E92:E101)</f>
        <v>187.464</v>
      </c>
    </row>
    <row r="104" spans="2:5" s="189" customFormat="1" ht="15.75" thickBot="1" x14ac:dyDescent="0.3">
      <c r="B104" s="11"/>
      <c r="C104" s="11"/>
      <c r="D104" s="11"/>
      <c r="E104" s="11"/>
    </row>
    <row r="105" spans="2:5" s="189" customFormat="1" thickBot="1" x14ac:dyDescent="0.3">
      <c r="B105" s="457" t="s">
        <v>148</v>
      </c>
      <c r="C105" s="458"/>
      <c r="D105" s="458"/>
      <c r="E105" s="459"/>
    </row>
    <row r="106" spans="2:5" s="189" customFormat="1" x14ac:dyDescent="0.25">
      <c r="B106" s="205" t="s">
        <v>149</v>
      </c>
      <c r="C106" s="206"/>
      <c r="D106" s="207">
        <v>2.4E-2</v>
      </c>
      <c r="E106" s="208">
        <f>D106*C106</f>
        <v>0</v>
      </c>
    </row>
    <row r="107" spans="2:5" s="189" customFormat="1" x14ac:dyDescent="0.25">
      <c r="B107" s="209" t="s">
        <v>17</v>
      </c>
      <c r="C107" s="206">
        <f>C106</f>
        <v>0</v>
      </c>
      <c r="D107" s="210">
        <v>7.4999999999999997E-3</v>
      </c>
      <c r="E107" s="211">
        <f t="shared" ref="E107:E108" si="5">D107*C107</f>
        <v>0</v>
      </c>
    </row>
    <row r="108" spans="2:5" s="189" customFormat="1" x14ac:dyDescent="0.25">
      <c r="B108" s="209" t="s">
        <v>150</v>
      </c>
      <c r="C108" s="206">
        <f>C63+C65</f>
        <v>11886.599999999999</v>
      </c>
      <c r="D108" s="210">
        <v>-1.7000000000000001E-2</v>
      </c>
      <c r="E108" s="211">
        <f t="shared" si="5"/>
        <v>-202.07219999999998</v>
      </c>
    </row>
    <row r="109" spans="2:5" s="189" customFormat="1" x14ac:dyDescent="0.25">
      <c r="B109" s="184"/>
      <c r="C109" s="212"/>
      <c r="D109" s="213"/>
      <c r="E109" s="214"/>
    </row>
    <row r="110" spans="2:5" s="189" customFormat="1" ht="15.75" thickBot="1" x14ac:dyDescent="0.3">
      <c r="B110" s="215" t="s">
        <v>151</v>
      </c>
      <c r="C110" s="216"/>
      <c r="D110" s="217"/>
      <c r="E110" s="218">
        <v>0</v>
      </c>
    </row>
    <row r="111" spans="2:5" s="189" customFormat="1" ht="12.75" x14ac:dyDescent="0.25"/>
    <row r="112" spans="2:5" s="189" customFormat="1" ht="13.5" thickBot="1" x14ac:dyDescent="0.3"/>
    <row r="113" spans="2:9" s="189" customFormat="1" thickBot="1" x14ac:dyDescent="0.3">
      <c r="B113" s="457" t="s">
        <v>152</v>
      </c>
      <c r="C113" s="458"/>
      <c r="D113" s="458"/>
      <c r="E113" s="459"/>
    </row>
    <row r="114" spans="2:9" s="189" customFormat="1" ht="15.75" customHeight="1" x14ac:dyDescent="0.25">
      <c r="B114" s="219" t="s">
        <v>153</v>
      </c>
      <c r="C114" s="220"/>
      <c r="D114" s="220"/>
      <c r="E114" s="221">
        <f>I124</f>
        <v>0</v>
      </c>
    </row>
    <row r="115" spans="2:9" s="189" customFormat="1" ht="15.75" customHeight="1" x14ac:dyDescent="0.25">
      <c r="B115" s="222" t="s">
        <v>154</v>
      </c>
      <c r="C115" s="223"/>
      <c r="D115" s="224">
        <v>1.5</v>
      </c>
      <c r="E115" s="225">
        <f>D115*C115</f>
        <v>0</v>
      </c>
    </row>
    <row r="116" spans="2:9" s="189" customFormat="1" ht="15.75" customHeight="1" x14ac:dyDescent="0.25">
      <c r="B116" s="222" t="s">
        <v>155</v>
      </c>
      <c r="C116" s="226">
        <v>0</v>
      </c>
      <c r="D116" s="210">
        <v>1.7999999999999999E-2</v>
      </c>
      <c r="E116" s="225">
        <f>D116*C116</f>
        <v>0</v>
      </c>
    </row>
    <row r="117" spans="2:9" s="189" customFormat="1" ht="15.75" customHeight="1" x14ac:dyDescent="0.25">
      <c r="B117" s="222" t="s">
        <v>156</v>
      </c>
      <c r="C117" s="226">
        <v>0</v>
      </c>
      <c r="D117" s="210">
        <v>0.06</v>
      </c>
      <c r="E117" s="225">
        <f>D117*C117</f>
        <v>0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0</v>
      </c>
    </row>
    <row r="121" spans="2:9" ht="15.75" hidden="1" thickBot="1" x14ac:dyDescent="0.3">
      <c r="B121" s="230" t="s">
        <v>158</v>
      </c>
      <c r="C121" s="231">
        <f>J19</f>
        <v>0.31909999999999999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0" t="s">
        <v>168</v>
      </c>
      <c r="C127" s="461"/>
      <c r="D127" s="461"/>
      <c r="E127" s="461"/>
    </row>
    <row r="128" spans="2:9" hidden="1" x14ac:dyDescent="0.25"/>
    <row r="129" spans="2:6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6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6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6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6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6" ht="15.75" hidden="1" thickBot="1" x14ac:dyDescent="0.3">
      <c r="B134" s="250" t="s">
        <v>178</v>
      </c>
      <c r="C134" s="2"/>
      <c r="D134" s="462" t="s">
        <v>179</v>
      </c>
      <c r="E134" s="462"/>
      <c r="F134" s="463"/>
    </row>
    <row r="135" spans="2:6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6" hidden="1" x14ac:dyDescent="0.25"/>
    <row r="137" spans="2:6" ht="18.75" customHeight="1" x14ac:dyDescent="0.25">
      <c r="B137" s="9"/>
      <c r="C137" s="254"/>
      <c r="D137" s="255"/>
      <c r="E137" s="9"/>
      <c r="F137" s="9"/>
    </row>
    <row r="138" spans="2:6" ht="18.75" x14ac:dyDescent="0.25">
      <c r="B138" s="460" t="s">
        <v>9</v>
      </c>
      <c r="C138" s="461"/>
      <c r="D138" s="461"/>
      <c r="E138" s="461"/>
    </row>
    <row r="139" spans="2:6" ht="15.75" thickBot="1" x14ac:dyDescent="0.3"/>
    <row r="140" spans="2:6" x14ac:dyDescent="0.25">
      <c r="B140" s="450" t="s">
        <v>10</v>
      </c>
      <c r="C140" s="451"/>
      <c r="D140" s="451"/>
      <c r="E140" s="452"/>
    </row>
    <row r="141" spans="2:6" x14ac:dyDescent="0.25">
      <c r="B141" s="256" t="s">
        <v>11</v>
      </c>
      <c r="C141" s="257"/>
      <c r="D141" s="257"/>
      <c r="E141" s="271"/>
    </row>
    <row r="142" spans="2:6" x14ac:dyDescent="0.25">
      <c r="B142" s="256" t="s">
        <v>12</v>
      </c>
      <c r="C142" s="257"/>
      <c r="D142" s="257"/>
      <c r="E142" s="258">
        <v>28</v>
      </c>
    </row>
    <row r="143" spans="2:6" x14ac:dyDescent="0.25">
      <c r="B143" s="256" t="s">
        <v>13</v>
      </c>
      <c r="C143" s="257"/>
      <c r="D143" s="257"/>
      <c r="E143" s="275">
        <f>+E141/E142</f>
        <v>0</v>
      </c>
    </row>
    <row r="144" spans="2:6" ht="15.75" thickBot="1" x14ac:dyDescent="0.3">
      <c r="B144" s="256" t="s">
        <v>14</v>
      </c>
      <c r="C144" s="257"/>
      <c r="D144" s="257"/>
      <c r="E144" s="272"/>
    </row>
    <row r="145" spans="2:5" ht="16.5" thickTop="1" thickBot="1" x14ac:dyDescent="0.3">
      <c r="B145" s="259" t="s">
        <v>15</v>
      </c>
      <c r="C145" s="260"/>
      <c r="D145" s="261"/>
      <c r="E145" s="276">
        <f>E143*E144</f>
        <v>0</v>
      </c>
    </row>
    <row r="146" spans="2:5" ht="15.75" thickBot="1" x14ac:dyDescent="0.3">
      <c r="B146" s="262"/>
      <c r="C146" s="262"/>
      <c r="D146" s="262"/>
      <c r="E146" s="262"/>
    </row>
    <row r="147" spans="2:5" ht="15.75" thickBot="1" x14ac:dyDescent="0.3">
      <c r="B147" s="457" t="s">
        <v>16</v>
      </c>
      <c r="C147" s="458"/>
      <c r="D147" s="458"/>
      <c r="E147" s="459"/>
    </row>
    <row r="148" spans="2:5" x14ac:dyDescent="0.25">
      <c r="B148" s="263" t="s">
        <v>17</v>
      </c>
      <c r="C148" s="264"/>
      <c r="D148" s="265" t="s">
        <v>18</v>
      </c>
      <c r="E148" s="266" t="s">
        <v>19</v>
      </c>
    </row>
    <row r="149" spans="2:5" x14ac:dyDescent="0.25">
      <c r="B149" s="209" t="s">
        <v>20</v>
      </c>
      <c r="C149" s="273"/>
      <c r="D149" s="274"/>
      <c r="E149" s="277"/>
    </row>
    <row r="150" spans="2:5" x14ac:dyDescent="0.25">
      <c r="B150" s="209" t="s">
        <v>21</v>
      </c>
      <c r="C150" s="273"/>
      <c r="D150" s="274"/>
      <c r="E150" s="277"/>
    </row>
    <row r="151" spans="2:5" x14ac:dyDescent="0.25">
      <c r="B151" s="209" t="s">
        <v>22</v>
      </c>
      <c r="C151" s="273"/>
      <c r="D151" s="274"/>
      <c r="E151" s="277"/>
    </row>
    <row r="152" spans="2:5" x14ac:dyDescent="0.25">
      <c r="B152" s="209" t="s">
        <v>23</v>
      </c>
      <c r="C152" s="267"/>
      <c r="D152" s="267"/>
      <c r="E152" s="211">
        <f>SUM(E149:E151)</f>
        <v>0</v>
      </c>
    </row>
    <row r="153" spans="2:5" x14ac:dyDescent="0.25">
      <c r="B153" s="209" t="s">
        <v>24</v>
      </c>
      <c r="C153" s="267"/>
      <c r="D153" s="267"/>
      <c r="E153" s="211">
        <f>E152/91.25*0.5</f>
        <v>0</v>
      </c>
    </row>
    <row r="154" spans="2:5" x14ac:dyDescent="0.25">
      <c r="B154" s="209" t="s">
        <v>181</v>
      </c>
      <c r="C154" s="267"/>
      <c r="D154" s="279"/>
      <c r="E154" s="268"/>
    </row>
    <row r="155" spans="2:5" x14ac:dyDescent="0.25">
      <c r="B155" s="209" t="s">
        <v>25</v>
      </c>
      <c r="C155" s="267"/>
      <c r="D155" s="267"/>
      <c r="E155" s="283">
        <f>E154*E153</f>
        <v>0</v>
      </c>
    </row>
    <row r="156" spans="2:5" x14ac:dyDescent="0.25">
      <c r="B156" s="209" t="s">
        <v>26</v>
      </c>
      <c r="C156" s="267"/>
      <c r="D156" s="267"/>
      <c r="E156" s="211">
        <f>E155*6.7%</f>
        <v>0</v>
      </c>
    </row>
    <row r="157" spans="2:5" ht="15.75" thickBot="1" x14ac:dyDescent="0.3">
      <c r="B157" s="269" t="s">
        <v>27</v>
      </c>
      <c r="C157" s="270"/>
      <c r="D157" s="270"/>
      <c r="E157" s="278">
        <f>E155-E156</f>
        <v>0</v>
      </c>
    </row>
    <row r="158" spans="2:5" ht="15.75" thickBot="1" x14ac:dyDescent="0.3"/>
    <row r="159" spans="2:5" x14ac:dyDescent="0.25">
      <c r="B159" s="450" t="s">
        <v>28</v>
      </c>
      <c r="C159" s="451"/>
      <c r="D159" s="451"/>
      <c r="E159" s="452"/>
    </row>
    <row r="160" spans="2:5" x14ac:dyDescent="0.25">
      <c r="B160" s="256" t="s">
        <v>29</v>
      </c>
      <c r="C160" s="257"/>
      <c r="D160" s="257"/>
      <c r="E160" s="280"/>
    </row>
    <row r="161" spans="2:5" ht="15.75" thickBot="1" x14ac:dyDescent="0.3">
      <c r="B161" s="256" t="s">
        <v>30</v>
      </c>
      <c r="C161" s="257"/>
      <c r="D161" s="257"/>
      <c r="E161" s="258">
        <f>E143*0.9</f>
        <v>0</v>
      </c>
    </row>
    <row r="162" spans="2:5" ht="16.5" thickTop="1" thickBot="1" x14ac:dyDescent="0.3">
      <c r="B162" s="256" t="s">
        <v>31</v>
      </c>
      <c r="C162" s="257"/>
      <c r="D162" s="257"/>
      <c r="E162" s="276">
        <f>E160*E161</f>
        <v>0</v>
      </c>
    </row>
    <row r="163" spans="2:5" ht="16.5" thickTop="1" thickBot="1" x14ac:dyDescent="0.3">
      <c r="B163" s="209" t="s">
        <v>32</v>
      </c>
      <c r="C163" s="257"/>
      <c r="D163" s="257"/>
      <c r="E163" s="281">
        <f>E153</f>
        <v>0</v>
      </c>
    </row>
    <row r="164" spans="2:5" ht="16.5" thickTop="1" thickBot="1" x14ac:dyDescent="0.3">
      <c r="B164" s="259" t="s">
        <v>33</v>
      </c>
      <c r="C164" s="284">
        <f>E160</f>
        <v>0</v>
      </c>
      <c r="D164" s="282">
        <f>E163</f>
        <v>0</v>
      </c>
      <c r="E164" s="276">
        <f>D164*C164</f>
        <v>0</v>
      </c>
    </row>
  </sheetData>
  <mergeCells count="12">
    <mergeCell ref="C17:D17"/>
    <mergeCell ref="F17:G1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2707-D8C1-4449-B93D-9A0E083B9264}">
  <dimension ref="A2:M42"/>
  <sheetViews>
    <sheetView workbookViewId="0">
      <selection activeCell="E10" sqref="E10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2" spans="1:13" ht="23.25" x14ac:dyDescent="0.25">
      <c r="A2" s="293" t="s">
        <v>196</v>
      </c>
      <c r="B2" s="286"/>
      <c r="C2" s="286"/>
      <c r="D2" s="286"/>
      <c r="E2" s="286"/>
      <c r="F2" s="286"/>
      <c r="G2" s="286"/>
      <c r="H2" s="286"/>
    </row>
    <row r="4" spans="1:13" ht="15.75" thickBot="1" x14ac:dyDescent="0.3"/>
    <row r="5" spans="1:13" ht="45" x14ac:dyDescent="0.25">
      <c r="A5" s="294"/>
      <c r="B5" s="295" t="s">
        <v>136</v>
      </c>
      <c r="C5" s="295" t="s">
        <v>185</v>
      </c>
      <c r="D5" s="296" t="s">
        <v>197</v>
      </c>
      <c r="E5" s="296" t="s">
        <v>162</v>
      </c>
      <c r="F5" s="296" t="s">
        <v>198</v>
      </c>
      <c r="G5" s="296" t="s">
        <v>199</v>
      </c>
      <c r="H5" s="235" t="s">
        <v>200</v>
      </c>
      <c r="I5" s="296" t="s">
        <v>201</v>
      </c>
      <c r="J5" s="297" t="s">
        <v>202</v>
      </c>
      <c r="K5" s="298" t="s">
        <v>203</v>
      </c>
    </row>
    <row r="6" spans="1:13" x14ac:dyDescent="0.25">
      <c r="A6" s="290" t="s">
        <v>191</v>
      </c>
      <c r="B6" s="299">
        <v>4063</v>
      </c>
      <c r="C6" s="299">
        <f>B6</f>
        <v>4063</v>
      </c>
      <c r="D6" s="300">
        <f>+B6</f>
        <v>4063</v>
      </c>
      <c r="E6" s="301">
        <v>1747.2</v>
      </c>
      <c r="F6" s="299">
        <f>2.5*E6</f>
        <v>4368</v>
      </c>
      <c r="G6" s="299">
        <f>F6</f>
        <v>4368</v>
      </c>
      <c r="H6" s="36" t="str">
        <f t="shared" ref="H6" si="0">IF(C6&gt;G6,"OUI","")</f>
        <v/>
      </c>
      <c r="I6" s="302">
        <f>IF(H6="OUI",C6,0)</f>
        <v>0</v>
      </c>
      <c r="J6" s="300">
        <f>I6</f>
        <v>0</v>
      </c>
      <c r="K6" s="303">
        <f>(D6*7%)+(J6*6%)</f>
        <v>284.41000000000003</v>
      </c>
    </row>
    <row r="7" spans="1:13" x14ac:dyDescent="0.25">
      <c r="A7" s="290" t="s">
        <v>192</v>
      </c>
      <c r="B7" s="299">
        <v>4063</v>
      </c>
      <c r="C7" s="299">
        <f>C6+B7</f>
        <v>8126</v>
      </c>
      <c r="D7" s="300">
        <f t="shared" ref="D7:D10" si="1">+B7</f>
        <v>4063</v>
      </c>
      <c r="E7" s="301">
        <f>E6</f>
        <v>1747.2</v>
      </c>
      <c r="F7" s="299">
        <f t="shared" ref="F7:F10" si="2">2.5*E7</f>
        <v>4368</v>
      </c>
      <c r="G7" s="299">
        <f t="shared" ref="G7:G10" si="3">G6+F7</f>
        <v>8736</v>
      </c>
      <c r="H7" s="36" t="str">
        <f>IF(C7&gt;G7,"OUI","")</f>
        <v/>
      </c>
      <c r="I7" s="302">
        <f>IF(H7="OUI",C7,0)</f>
        <v>0</v>
      </c>
      <c r="J7" s="300">
        <f>I7-I6</f>
        <v>0</v>
      </c>
      <c r="K7" s="303">
        <f t="shared" ref="K7:K10" si="4">(D7*7%)+(J7*6%)</f>
        <v>284.41000000000003</v>
      </c>
    </row>
    <row r="8" spans="1:13" x14ac:dyDescent="0.25">
      <c r="A8" s="290" t="s">
        <v>193</v>
      </c>
      <c r="B8" s="299">
        <v>4063</v>
      </c>
      <c r="C8" s="299">
        <f t="shared" ref="C8:C10" si="5">C7+B8</f>
        <v>12189</v>
      </c>
      <c r="D8" s="300">
        <f t="shared" si="1"/>
        <v>4063</v>
      </c>
      <c r="E8" s="301">
        <f t="shared" ref="E8:E9" si="6">E7</f>
        <v>1747.2</v>
      </c>
      <c r="F8" s="299">
        <f t="shared" si="2"/>
        <v>4368</v>
      </c>
      <c r="G8" s="299">
        <f t="shared" si="3"/>
        <v>13104</v>
      </c>
      <c r="H8" s="36" t="str">
        <f t="shared" ref="H8:H10" si="7">IF(C8&gt;G8,"OUI","")</f>
        <v/>
      </c>
      <c r="I8" s="302">
        <f t="shared" ref="I8:I10" si="8">IF(H8="OUI",C8,0)</f>
        <v>0</v>
      </c>
      <c r="J8" s="300">
        <f t="shared" ref="J8:J10" si="9">I8-I7</f>
        <v>0</v>
      </c>
      <c r="K8" s="303">
        <f t="shared" si="4"/>
        <v>284.41000000000003</v>
      </c>
    </row>
    <row r="9" spans="1:13" x14ac:dyDescent="0.25">
      <c r="A9" s="290" t="s">
        <v>194</v>
      </c>
      <c r="B9" s="299">
        <v>4063</v>
      </c>
      <c r="C9" s="299">
        <f t="shared" si="5"/>
        <v>16252</v>
      </c>
      <c r="D9" s="300">
        <f t="shared" si="1"/>
        <v>4063</v>
      </c>
      <c r="E9" s="301">
        <f t="shared" si="6"/>
        <v>1747.2</v>
      </c>
      <c r="F9" s="299">
        <f t="shared" si="2"/>
        <v>4368</v>
      </c>
      <c r="G9" s="299">
        <f t="shared" si="3"/>
        <v>17472</v>
      </c>
      <c r="H9" s="36" t="str">
        <f t="shared" si="7"/>
        <v/>
      </c>
      <c r="I9" s="302">
        <f t="shared" si="8"/>
        <v>0</v>
      </c>
      <c r="J9" s="300">
        <f t="shared" si="9"/>
        <v>0</v>
      </c>
      <c r="K9" s="303">
        <f t="shared" si="4"/>
        <v>284.41000000000003</v>
      </c>
    </row>
    <row r="10" spans="1:13" x14ac:dyDescent="0.25">
      <c r="A10" s="290" t="s">
        <v>195</v>
      </c>
      <c r="B10" s="299">
        <f>+'Bulletin LAMBERT'!E37</f>
        <v>4326.9374359370313</v>
      </c>
      <c r="C10" s="299">
        <f t="shared" si="5"/>
        <v>20578.93743593703</v>
      </c>
      <c r="D10" s="300">
        <f t="shared" si="1"/>
        <v>4326.9374359370313</v>
      </c>
      <c r="E10" s="316">
        <f>160.42*11.52</f>
        <v>1848.0383999999997</v>
      </c>
      <c r="F10" s="299">
        <f t="shared" si="2"/>
        <v>4620.0959999999995</v>
      </c>
      <c r="G10" s="299">
        <f t="shared" si="3"/>
        <v>22092.095999999998</v>
      </c>
      <c r="H10" s="36" t="str">
        <f t="shared" si="7"/>
        <v/>
      </c>
      <c r="I10" s="302">
        <f t="shared" si="8"/>
        <v>0</v>
      </c>
      <c r="J10" s="300">
        <f t="shared" si="9"/>
        <v>0</v>
      </c>
      <c r="K10" s="303">
        <f t="shared" si="4"/>
        <v>302.88562051559222</v>
      </c>
      <c r="M10" s="232">
        <v>151.66999999999999</v>
      </c>
    </row>
    <row r="11" spans="1:13" x14ac:dyDescent="0.25">
      <c r="A11" s="329"/>
      <c r="B11" s="332"/>
      <c r="C11" s="332"/>
      <c r="D11" s="333"/>
      <c r="E11" s="334" t="s">
        <v>287</v>
      </c>
      <c r="F11" s="332"/>
      <c r="G11" s="332"/>
      <c r="H11" s="335"/>
      <c r="I11" s="336"/>
      <c r="J11" s="333"/>
      <c r="M11" s="232">
        <v>8.75</v>
      </c>
    </row>
    <row r="12" spans="1:13" x14ac:dyDescent="0.25">
      <c r="M12" s="232">
        <f>M11+M10</f>
        <v>160.41999999999999</v>
      </c>
    </row>
    <row r="13" spans="1:13" ht="23.25" x14ac:dyDescent="0.25">
      <c r="A13" s="293" t="s">
        <v>204</v>
      </c>
      <c r="B13" s="286"/>
      <c r="C13" s="286"/>
      <c r="D13" s="286"/>
      <c r="E13" s="286"/>
      <c r="F13" s="286"/>
      <c r="G13" s="286"/>
      <c r="H13" s="286"/>
    </row>
    <row r="15" spans="1:13" ht="15.75" thickBot="1" x14ac:dyDescent="0.3"/>
    <row r="16" spans="1:13" s="304" customFormat="1" ht="45" x14ac:dyDescent="0.25">
      <c r="A16" s="294"/>
      <c r="B16" s="295" t="s">
        <v>136</v>
      </c>
      <c r="C16" s="295" t="s">
        <v>185</v>
      </c>
      <c r="D16" s="296" t="s">
        <v>205</v>
      </c>
      <c r="E16" s="296" t="s">
        <v>162</v>
      </c>
      <c r="F16" s="296" t="s">
        <v>206</v>
      </c>
      <c r="G16" s="296" t="s">
        <v>207</v>
      </c>
      <c r="H16" s="235" t="s">
        <v>208</v>
      </c>
      <c r="I16" s="296" t="s">
        <v>209</v>
      </c>
      <c r="J16" s="297" t="s">
        <v>210</v>
      </c>
      <c r="K16" s="298" t="s">
        <v>203</v>
      </c>
    </row>
    <row r="17" spans="1:11" ht="21.75" customHeight="1" x14ac:dyDescent="0.25">
      <c r="A17" s="290" t="s">
        <v>191</v>
      </c>
      <c r="B17" s="299">
        <f>+B6</f>
        <v>4063</v>
      </c>
      <c r="C17" s="299">
        <f>B17</f>
        <v>4063</v>
      </c>
      <c r="D17" s="300">
        <f>+B17</f>
        <v>4063</v>
      </c>
      <c r="E17" s="301">
        <v>1709.28</v>
      </c>
      <c r="F17" s="299">
        <f>3.5*E17</f>
        <v>5982.48</v>
      </c>
      <c r="G17" s="299">
        <f>F17</f>
        <v>5982.48</v>
      </c>
      <c r="H17" s="36" t="str">
        <f>IF(C17&gt;G17,"OUI","")</f>
        <v/>
      </c>
      <c r="I17" s="302">
        <f>IF(H17="OUI",C17,0)</f>
        <v>0</v>
      </c>
      <c r="J17" s="300">
        <f>I17</f>
        <v>0</v>
      </c>
      <c r="K17" s="303">
        <f>(D17*3.45%)+(J17*1.8%)</f>
        <v>140.17350000000002</v>
      </c>
    </row>
    <row r="18" spans="1:11" ht="21.75" customHeight="1" x14ac:dyDescent="0.25">
      <c r="A18" s="290" t="s">
        <v>192</v>
      </c>
      <c r="B18" s="299">
        <f t="shared" ref="B18:B21" si="10">+B7</f>
        <v>4063</v>
      </c>
      <c r="C18" s="299">
        <f>C17+B18</f>
        <v>8126</v>
      </c>
      <c r="D18" s="300">
        <f t="shared" ref="D18:D21" si="11">B18</f>
        <v>4063</v>
      </c>
      <c r="E18" s="301">
        <v>1709.28</v>
      </c>
      <c r="F18" s="299">
        <f t="shared" ref="F18:F21" si="12">3.5*E18</f>
        <v>5982.48</v>
      </c>
      <c r="G18" s="299">
        <f t="shared" ref="G18:G21" si="13">G17+F18</f>
        <v>11964.96</v>
      </c>
      <c r="H18" s="36" t="str">
        <f t="shared" ref="H18:H21" si="14">IF(C18&gt;G18,"OUI","")</f>
        <v/>
      </c>
      <c r="I18" s="302">
        <f>IF(H18="OUI",C18,0)</f>
        <v>0</v>
      </c>
      <c r="J18" s="300">
        <f>I18-I17</f>
        <v>0</v>
      </c>
      <c r="K18" s="303">
        <f t="shared" ref="K18:K21" si="15">(D18*3.45%)+(J18*1.8%)</f>
        <v>140.17350000000002</v>
      </c>
    </row>
    <row r="19" spans="1:11" ht="21.75" customHeight="1" x14ac:dyDescent="0.25">
      <c r="A19" s="290" t="s">
        <v>193</v>
      </c>
      <c r="B19" s="299">
        <f t="shared" si="10"/>
        <v>4063</v>
      </c>
      <c r="C19" s="299">
        <f t="shared" ref="C19:C21" si="16">C18+B19</f>
        <v>12189</v>
      </c>
      <c r="D19" s="300">
        <f t="shared" si="11"/>
        <v>4063</v>
      </c>
      <c r="E19" s="301">
        <v>1709.28</v>
      </c>
      <c r="F19" s="299">
        <f t="shared" si="12"/>
        <v>5982.48</v>
      </c>
      <c r="G19" s="299">
        <f t="shared" si="13"/>
        <v>17947.439999999999</v>
      </c>
      <c r="H19" s="36" t="str">
        <f t="shared" si="14"/>
        <v/>
      </c>
      <c r="I19" s="302">
        <f t="shared" ref="I19:I21" si="17">IF(H19="OUI",C19,0)</f>
        <v>0</v>
      </c>
      <c r="J19" s="300">
        <f t="shared" ref="J19:J21" si="18">I19-I18</f>
        <v>0</v>
      </c>
      <c r="K19" s="303">
        <f t="shared" si="15"/>
        <v>140.17350000000002</v>
      </c>
    </row>
    <row r="20" spans="1:11" ht="21.75" customHeight="1" x14ac:dyDescent="0.25">
      <c r="A20" s="290" t="s">
        <v>194</v>
      </c>
      <c r="B20" s="299">
        <f t="shared" si="10"/>
        <v>4063</v>
      </c>
      <c r="C20" s="299">
        <f t="shared" si="16"/>
        <v>16252</v>
      </c>
      <c r="D20" s="300">
        <f t="shared" si="11"/>
        <v>4063</v>
      </c>
      <c r="E20" s="301">
        <v>1709.28</v>
      </c>
      <c r="F20" s="299">
        <f t="shared" si="12"/>
        <v>5982.48</v>
      </c>
      <c r="G20" s="299">
        <f t="shared" si="13"/>
        <v>23929.919999999998</v>
      </c>
      <c r="H20" s="36" t="str">
        <f t="shared" si="14"/>
        <v/>
      </c>
      <c r="I20" s="302">
        <f t="shared" si="17"/>
        <v>0</v>
      </c>
      <c r="J20" s="300">
        <f t="shared" si="18"/>
        <v>0</v>
      </c>
      <c r="K20" s="303">
        <f t="shared" si="15"/>
        <v>140.17350000000002</v>
      </c>
    </row>
    <row r="21" spans="1:11" ht="21.75" customHeight="1" x14ac:dyDescent="0.25">
      <c r="A21" s="290" t="s">
        <v>195</v>
      </c>
      <c r="B21" s="299">
        <f t="shared" si="10"/>
        <v>4326.9374359370313</v>
      </c>
      <c r="C21" s="299">
        <f t="shared" si="16"/>
        <v>20578.93743593703</v>
      </c>
      <c r="D21" s="300">
        <f t="shared" si="11"/>
        <v>4326.9374359370313</v>
      </c>
      <c r="E21" s="316">
        <f>160.42*11.27</f>
        <v>1807.9333999999999</v>
      </c>
      <c r="F21" s="299">
        <f t="shared" si="12"/>
        <v>6327.7668999999996</v>
      </c>
      <c r="G21" s="299">
        <f t="shared" si="13"/>
        <v>30257.686899999997</v>
      </c>
      <c r="H21" s="36" t="str">
        <f t="shared" si="14"/>
        <v/>
      </c>
      <c r="I21" s="302">
        <f t="shared" si="17"/>
        <v>0</v>
      </c>
      <c r="J21" s="300">
        <f t="shared" si="18"/>
        <v>0</v>
      </c>
      <c r="K21" s="303">
        <f t="shared" si="15"/>
        <v>149.27934153982758</v>
      </c>
    </row>
    <row r="22" spans="1:11" ht="21.75" customHeight="1" x14ac:dyDescent="0.25">
      <c r="A22" s="329"/>
      <c r="B22" s="332"/>
      <c r="C22" s="332"/>
      <c r="D22" s="333"/>
      <c r="E22" s="337"/>
      <c r="F22" s="332"/>
      <c r="G22" s="332"/>
      <c r="H22" s="335"/>
      <c r="I22" s="336"/>
    </row>
    <row r="23" spans="1:11" ht="21" hidden="1" x14ac:dyDescent="0.25">
      <c r="A23" s="445" t="s">
        <v>211</v>
      </c>
      <c r="B23" s="446"/>
      <c r="C23" s="446"/>
      <c r="D23" s="446"/>
      <c r="E23" s="446"/>
      <c r="F23" s="446"/>
      <c r="G23" s="446"/>
      <c r="H23" s="446"/>
      <c r="I23" s="305"/>
    </row>
    <row r="24" spans="1:11" ht="21" hidden="1" customHeight="1" x14ac:dyDescent="0.25">
      <c r="A24" s="230" t="s">
        <v>158</v>
      </c>
      <c r="B24" s="306">
        <v>0.31950000000000001</v>
      </c>
    </row>
    <row r="25" spans="1:11" hidden="1" x14ac:dyDescent="0.25"/>
    <row r="26" spans="1:11" ht="30" hidden="1" x14ac:dyDescent="0.25">
      <c r="A26" s="3" t="s">
        <v>159</v>
      </c>
      <c r="B26" s="233" t="s">
        <v>160</v>
      </c>
      <c r="C26" s="233" t="s">
        <v>161</v>
      </c>
      <c r="D26" s="296" t="s">
        <v>162</v>
      </c>
      <c r="E26" s="235" t="s">
        <v>163</v>
      </c>
      <c r="F26" s="235" t="s">
        <v>164</v>
      </c>
      <c r="G26" s="235" t="s">
        <v>165</v>
      </c>
      <c r="H26" s="235" t="s">
        <v>166</v>
      </c>
      <c r="I26" s="1" t="s">
        <v>212</v>
      </c>
    </row>
    <row r="27" spans="1:11" ht="21" hidden="1" customHeight="1" x14ac:dyDescent="0.25">
      <c r="A27" s="290" t="s">
        <v>191</v>
      </c>
      <c r="B27" s="307">
        <v>1700</v>
      </c>
      <c r="C27" s="308">
        <f>B27</f>
        <v>1700</v>
      </c>
      <c r="D27" s="301">
        <v>1603.12</v>
      </c>
      <c r="E27" s="307">
        <f>+D27</f>
        <v>1603.12</v>
      </c>
      <c r="F27" s="309">
        <f>ROUND(($B$24/0.6)*((1.6*E27/C27)-1),4)</f>
        <v>0.27089999999999997</v>
      </c>
      <c r="G27" s="308">
        <f>IF(F27&gt;0,F27*C27,0)</f>
        <v>460.53</v>
      </c>
      <c r="H27" s="310">
        <f>G27</f>
        <v>460.53</v>
      </c>
      <c r="I27" s="5" t="str">
        <f>IF(F27&gt;$B$24,"ERREUR","")</f>
        <v/>
      </c>
    </row>
    <row r="28" spans="1:11" ht="21" hidden="1" customHeight="1" x14ac:dyDescent="0.25">
      <c r="A28" s="290" t="s">
        <v>192</v>
      </c>
      <c r="B28" s="307">
        <v>3000</v>
      </c>
      <c r="C28" s="308">
        <f>C27+B28</f>
        <v>4700</v>
      </c>
      <c r="D28" s="311">
        <f>156.67*10.57</f>
        <v>1656.0019</v>
      </c>
      <c r="E28" s="307">
        <f>D28+E27</f>
        <v>3259.1219000000001</v>
      </c>
      <c r="F28" s="309">
        <f>ROUND(($B$24/0.6)*((1.6*E28/C28)-1),4)</f>
        <v>5.8299999999999998E-2</v>
      </c>
      <c r="G28" s="308">
        <f t="shared" ref="G28:G31" si="19">IF(F28&gt;0,F28*C28,0)</f>
        <v>274.01</v>
      </c>
      <c r="H28" s="310">
        <f>G28-G27</f>
        <v>-186.51999999999998</v>
      </c>
      <c r="I28" s="5" t="str">
        <f>IF(F28&gt;$B$24,"ERREUR","")</f>
        <v/>
      </c>
    </row>
    <row r="29" spans="1:11" ht="21" hidden="1" customHeight="1" x14ac:dyDescent="0.25">
      <c r="A29" s="290" t="s">
        <v>193</v>
      </c>
      <c r="B29" s="307"/>
      <c r="C29" s="308">
        <f t="shared" ref="C29:C31" si="20">C28+B29</f>
        <v>4700</v>
      </c>
      <c r="D29" s="301">
        <v>1603.12</v>
      </c>
      <c r="E29" s="307">
        <f t="shared" ref="E29:E31" si="21">D29+E28</f>
        <v>4862.2419</v>
      </c>
      <c r="F29" s="309">
        <f>ROUND(($B$24/0.6)*((1.6*E29/C29)-1),4)</f>
        <v>0.34889999999999999</v>
      </c>
      <c r="G29" s="312">
        <f t="shared" si="19"/>
        <v>1639.83</v>
      </c>
      <c r="H29" s="310">
        <f t="shared" ref="H29:H31" si="22">G29-G28</f>
        <v>1365.82</v>
      </c>
      <c r="I29" s="5" t="str">
        <f>IF(F29&gt;$B$24,"ERREUR","")</f>
        <v>ERREUR</v>
      </c>
    </row>
    <row r="30" spans="1:11" ht="21" hidden="1" customHeight="1" x14ac:dyDescent="0.25">
      <c r="A30" s="290" t="s">
        <v>194</v>
      </c>
      <c r="B30" s="307"/>
      <c r="C30" s="308">
        <f t="shared" si="20"/>
        <v>4700</v>
      </c>
      <c r="D30" s="301">
        <v>1603.12</v>
      </c>
      <c r="E30" s="307">
        <f t="shared" si="21"/>
        <v>6465.3618999999999</v>
      </c>
      <c r="F30" s="309">
        <f>ROUND(($B$24/0.6)*((1.6*E30/C30)-1),4)</f>
        <v>0.63949999999999996</v>
      </c>
      <c r="G30" s="308">
        <f t="shared" si="19"/>
        <v>3005.6499999999996</v>
      </c>
      <c r="H30" s="310">
        <f t="shared" si="22"/>
        <v>1365.8199999999997</v>
      </c>
      <c r="I30" s="5" t="str">
        <f>IF(F30&gt;$B$24,"ERREUR","")</f>
        <v>ERREUR</v>
      </c>
    </row>
    <row r="31" spans="1:11" ht="21" hidden="1" customHeight="1" x14ac:dyDescent="0.25">
      <c r="A31" s="290" t="s">
        <v>195</v>
      </c>
      <c r="B31" s="307"/>
      <c r="C31" s="308">
        <f t="shared" si="20"/>
        <v>4700</v>
      </c>
      <c r="D31" s="301">
        <v>1603.12</v>
      </c>
      <c r="E31" s="307">
        <f t="shared" si="21"/>
        <v>8068.4818999999998</v>
      </c>
      <c r="F31" s="309">
        <f>ROUND(($B$24/0.6)*((1.6*E31/C31)-1),4)</f>
        <v>0.93010000000000004</v>
      </c>
      <c r="G31" s="308">
        <f t="shared" si="19"/>
        <v>4371.47</v>
      </c>
      <c r="H31" s="310">
        <f t="shared" si="22"/>
        <v>1365.8200000000006</v>
      </c>
      <c r="I31" s="5" t="str">
        <f>IF(F31&gt;$B$24,"ERREUR","")</f>
        <v>ERREUR</v>
      </c>
    </row>
    <row r="33" spans="1:8" ht="23.25" x14ac:dyDescent="0.25">
      <c r="A33" s="285" t="s">
        <v>213</v>
      </c>
      <c r="B33" s="286"/>
      <c r="C33" s="286"/>
      <c r="D33" s="286"/>
      <c r="E33" s="286"/>
      <c r="F33" s="286"/>
    </row>
    <row r="35" spans="1:8" ht="18.75" x14ac:dyDescent="0.25">
      <c r="A35" s="287" t="s">
        <v>184</v>
      </c>
      <c r="D35" s="288">
        <v>3864</v>
      </c>
    </row>
    <row r="36" spans="1:8" ht="15.75" thickBot="1" x14ac:dyDescent="0.3"/>
    <row r="37" spans="1:8" ht="30" x14ac:dyDescent="0.25">
      <c r="A37" s="289" t="s">
        <v>159</v>
      </c>
      <c r="B37" s="233" t="s">
        <v>136</v>
      </c>
      <c r="C37" s="233" t="s">
        <v>185</v>
      </c>
      <c r="D37" s="233" t="s">
        <v>186</v>
      </c>
      <c r="E37" s="235" t="s">
        <v>187</v>
      </c>
      <c r="F37" s="233" t="s">
        <v>214</v>
      </c>
      <c r="G37" s="235" t="s">
        <v>215</v>
      </c>
      <c r="H37" s="236" t="s">
        <v>231</v>
      </c>
    </row>
    <row r="38" spans="1:8" ht="26.25" customHeight="1" x14ac:dyDescent="0.25">
      <c r="A38" s="290" t="s">
        <v>191</v>
      </c>
      <c r="B38" s="299">
        <f>+B17</f>
        <v>4063</v>
      </c>
      <c r="C38" s="299">
        <f>B38</f>
        <v>4063</v>
      </c>
      <c r="D38" s="292">
        <v>3864</v>
      </c>
      <c r="E38" s="313">
        <f>D38</f>
        <v>3864</v>
      </c>
      <c r="F38" s="314" t="str">
        <f>IF(E38&gt;C38,"","OUI")</f>
        <v>OUI</v>
      </c>
      <c r="G38" s="300">
        <f t="shared" ref="G38:G42" si="23">IF(C38&gt;E38,C38,0)</f>
        <v>4063</v>
      </c>
      <c r="H38" s="315">
        <f>G38</f>
        <v>4063</v>
      </c>
    </row>
    <row r="39" spans="1:8" ht="26.25" customHeight="1" x14ac:dyDescent="0.25">
      <c r="A39" s="290" t="s">
        <v>192</v>
      </c>
      <c r="B39" s="299">
        <f t="shared" ref="B39:B42" si="24">+B18</f>
        <v>4063</v>
      </c>
      <c r="C39" s="299">
        <f>C38+B39</f>
        <v>8126</v>
      </c>
      <c r="D39" s="292">
        <v>3864</v>
      </c>
      <c r="E39" s="313">
        <f>E38+D39</f>
        <v>7728</v>
      </c>
      <c r="F39" s="314" t="str">
        <f t="shared" ref="F39:F42" si="25">IF(E39&gt;C39,"","OUI")</f>
        <v>OUI</v>
      </c>
      <c r="G39" s="300">
        <f t="shared" si="23"/>
        <v>8126</v>
      </c>
      <c r="H39" s="315">
        <f>G39-G38</f>
        <v>4063</v>
      </c>
    </row>
    <row r="40" spans="1:8" ht="26.25" customHeight="1" x14ac:dyDescent="0.25">
      <c r="A40" s="290" t="s">
        <v>193</v>
      </c>
      <c r="B40" s="299">
        <f t="shared" si="24"/>
        <v>4063</v>
      </c>
      <c r="C40" s="299">
        <f t="shared" ref="C40:C42" si="26">C39+B40</f>
        <v>12189</v>
      </c>
      <c r="D40" s="292">
        <v>3864</v>
      </c>
      <c r="E40" s="313">
        <f t="shared" ref="E40:E42" si="27">E39+D40</f>
        <v>11592</v>
      </c>
      <c r="F40" s="314" t="str">
        <f t="shared" si="25"/>
        <v>OUI</v>
      </c>
      <c r="G40" s="300">
        <f t="shared" si="23"/>
        <v>12189</v>
      </c>
      <c r="H40" s="315">
        <f t="shared" ref="H40:H42" si="28">G40-G39</f>
        <v>4063</v>
      </c>
    </row>
    <row r="41" spans="1:8" ht="26.25" customHeight="1" x14ac:dyDescent="0.25">
      <c r="A41" s="290" t="s">
        <v>194</v>
      </c>
      <c r="B41" s="299">
        <f t="shared" si="24"/>
        <v>4063</v>
      </c>
      <c r="C41" s="299">
        <f t="shared" si="26"/>
        <v>16252</v>
      </c>
      <c r="D41" s="292">
        <v>3864</v>
      </c>
      <c r="E41" s="313">
        <f t="shared" si="27"/>
        <v>15456</v>
      </c>
      <c r="F41" s="314" t="str">
        <f t="shared" si="25"/>
        <v>OUI</v>
      </c>
      <c r="G41" s="300">
        <f t="shared" si="23"/>
        <v>16252</v>
      </c>
      <c r="H41" s="315">
        <f t="shared" si="28"/>
        <v>4063</v>
      </c>
    </row>
    <row r="42" spans="1:8" ht="26.25" customHeight="1" thickBot="1" x14ac:dyDescent="0.3">
      <c r="A42" s="338" t="s">
        <v>195</v>
      </c>
      <c r="B42" s="339">
        <f t="shared" si="24"/>
        <v>4326.9374359370313</v>
      </c>
      <c r="C42" s="339">
        <f t="shared" si="26"/>
        <v>20578.93743593703</v>
      </c>
      <c r="D42" s="292">
        <v>3864</v>
      </c>
      <c r="E42" s="341">
        <f t="shared" si="27"/>
        <v>19320</v>
      </c>
      <c r="F42" s="342" t="str">
        <f t="shared" si="25"/>
        <v>OUI</v>
      </c>
      <c r="G42" s="343">
        <f t="shared" si="23"/>
        <v>20578.93743593703</v>
      </c>
      <c r="H42" s="344">
        <f t="shared" si="28"/>
        <v>4326.9374359370304</v>
      </c>
    </row>
  </sheetData>
  <mergeCells count="1">
    <mergeCell ref="A23:H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D669-9E9B-4D80-ACDE-83AF3BBC49F1}">
  <dimension ref="A1:P174"/>
  <sheetViews>
    <sheetView topLeftCell="A38" zoomScaleNormal="100" workbookViewId="0">
      <selection activeCell="C36" sqref="C36:D36"/>
    </sheetView>
  </sheetViews>
  <sheetFormatPr baseColWidth="10" defaultRowHeight="15" x14ac:dyDescent="0.25"/>
  <cols>
    <col min="1" max="1" width="11.42578125" style="11"/>
    <col min="2" max="2" width="80.85546875" style="11" bestFit="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2.42578125" style="11" bestFit="1" customWidth="1"/>
    <col min="11" max="11" width="23" style="1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4000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 t="s">
        <v>51</v>
      </c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11.27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401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241</v>
      </c>
      <c r="J12" s="402">
        <v>4</v>
      </c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63</v>
      </c>
      <c r="J13" s="25">
        <v>4</v>
      </c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66</v>
      </c>
      <c r="J14" s="25">
        <v>0.75</v>
      </c>
    </row>
    <row r="15" spans="2:11" x14ac:dyDescent="0.25">
      <c r="B15" s="23"/>
      <c r="C15" s="21"/>
      <c r="D15" s="22"/>
      <c r="E15" s="23"/>
      <c r="F15" s="24"/>
      <c r="G15" s="25"/>
      <c r="I15" s="23" t="s">
        <v>68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3" t="s">
        <v>69</v>
      </c>
      <c r="J16" s="25"/>
    </row>
    <row r="17" spans="2:16" ht="15.75" thickBot="1" x14ac:dyDescent="0.3">
      <c r="B17" s="45" t="s">
        <v>71</v>
      </c>
      <c r="C17" s="447"/>
      <c r="D17" s="448"/>
      <c r="E17" s="46" t="s">
        <v>72</v>
      </c>
      <c r="F17" s="447"/>
      <c r="G17" s="449"/>
      <c r="I17" s="28" t="s">
        <v>70</v>
      </c>
      <c r="J17" s="25" t="s">
        <v>229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73</v>
      </c>
      <c r="J18" s="47">
        <f>'REGUL DUMONT'!G11</f>
        <v>3864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8" t="s">
        <v>75</v>
      </c>
      <c r="J19" s="51">
        <f>E37-J18</f>
        <v>462.9374359370313</v>
      </c>
    </row>
    <row r="20" spans="2:16" s="56" customFormat="1" x14ac:dyDescent="0.25">
      <c r="B20" s="19" t="s">
        <v>11</v>
      </c>
      <c r="C20" s="57"/>
      <c r="D20" s="58"/>
      <c r="E20" s="26">
        <f>J3</f>
        <v>4000</v>
      </c>
      <c r="F20" s="59"/>
      <c r="G20" s="60"/>
      <c r="H20" s="11"/>
      <c r="I20" s="23" t="s">
        <v>79</v>
      </c>
      <c r="J20" s="25">
        <v>0.31909999999999999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/>
      <c r="C21" s="64"/>
      <c r="D21" s="65"/>
      <c r="E21" s="66"/>
      <c r="F21" s="67"/>
      <c r="G21" s="68"/>
      <c r="I21" s="61" t="s">
        <v>80</v>
      </c>
      <c r="J21" s="62">
        <v>8.5000000000000006E-2</v>
      </c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/>
      <c r="D22" s="358">
        <f>E20/J5</f>
        <v>27.210884353741495</v>
      </c>
      <c r="E22" s="66">
        <f>D22*C22</f>
        <v>0</v>
      </c>
      <c r="F22" s="67"/>
      <c r="G22" s="68"/>
      <c r="I22" s="23" t="s">
        <v>81</v>
      </c>
      <c r="J22" s="72">
        <v>40</v>
      </c>
      <c r="K22" s="11"/>
      <c r="L22" s="11"/>
      <c r="M22" s="11"/>
      <c r="N22" s="11"/>
      <c r="O22" s="11"/>
      <c r="P22" s="11"/>
    </row>
    <row r="23" spans="2:16" s="56" customFormat="1" x14ac:dyDescent="0.25">
      <c r="B23" s="23" t="s">
        <v>241</v>
      </c>
      <c r="C23" s="361">
        <f>J12</f>
        <v>4</v>
      </c>
      <c r="D23" s="358">
        <f>$J$34*110%</f>
        <v>29.345659339121127</v>
      </c>
      <c r="E23" s="66">
        <f>D23*C23</f>
        <v>117.38263735648451</v>
      </c>
      <c r="F23" s="67"/>
      <c r="G23" s="68"/>
      <c r="I23" s="23" t="s">
        <v>83</v>
      </c>
      <c r="J23" s="72">
        <v>44</v>
      </c>
      <c r="K23" s="11"/>
      <c r="L23" s="11"/>
      <c r="M23" s="11"/>
      <c r="N23" s="11"/>
      <c r="O23" s="11"/>
      <c r="P23" s="11"/>
    </row>
    <row r="24" spans="2:16" x14ac:dyDescent="0.25">
      <c r="B24" s="23" t="s">
        <v>63</v>
      </c>
      <c r="C24" s="361">
        <f>J13</f>
        <v>4</v>
      </c>
      <c r="D24" s="358">
        <f>$J$34*125%</f>
        <v>33.347340158092187</v>
      </c>
      <c r="E24" s="72">
        <f>D24*C24</f>
        <v>133.38936063236875</v>
      </c>
      <c r="F24" s="73"/>
      <c r="G24" s="74"/>
      <c r="H24" s="318"/>
      <c r="I24" s="23" t="s">
        <v>84</v>
      </c>
      <c r="J24" s="70"/>
    </row>
    <row r="25" spans="2:16" ht="16.5" thickBot="1" x14ac:dyDescent="0.3">
      <c r="B25" s="23" t="s">
        <v>66</v>
      </c>
      <c r="C25" s="362">
        <f>J14</f>
        <v>0.75</v>
      </c>
      <c r="D25" s="71">
        <f>J34*150%</f>
        <v>40.01680818971063</v>
      </c>
      <c r="E25" s="72">
        <f>D25*C25</f>
        <v>30.012606142282973</v>
      </c>
      <c r="F25" s="73"/>
      <c r="G25" s="76"/>
      <c r="I25" s="40" t="s">
        <v>85</v>
      </c>
      <c r="J25" s="75">
        <v>1.4999999999999999E-2</v>
      </c>
      <c r="K25" s="78"/>
    </row>
    <row r="26" spans="2:16" x14ac:dyDescent="0.25">
      <c r="B26" s="23" t="s">
        <v>68</v>
      </c>
      <c r="C26" s="362">
        <f>J15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4" t="s">
        <v>86</v>
      </c>
      <c r="J26" s="77">
        <v>0.03</v>
      </c>
    </row>
    <row r="27" spans="2:16" ht="15.75" thickBot="1" x14ac:dyDescent="0.3">
      <c r="B27" s="23" t="s">
        <v>69</v>
      </c>
      <c r="C27" s="362">
        <f>J16</f>
        <v>0</v>
      </c>
      <c r="D27" s="24">
        <f>IF($J$4&lt;151.67,$E$20/151.67*1.1,0)</f>
        <v>0</v>
      </c>
      <c r="E27" s="72">
        <f t="shared" si="0"/>
        <v>0</v>
      </c>
      <c r="F27" s="73"/>
      <c r="G27" s="76"/>
      <c r="I27" s="79" t="s">
        <v>230</v>
      </c>
      <c r="J27" s="80">
        <v>2100</v>
      </c>
    </row>
    <row r="28" spans="2:16" x14ac:dyDescent="0.25">
      <c r="B28" s="23" t="s">
        <v>242</v>
      </c>
      <c r="C28" s="362">
        <f>C143</f>
        <v>7</v>
      </c>
      <c r="D28" s="360">
        <f>E20/151.67*0.25</f>
        <v>6.5932616865563398</v>
      </c>
      <c r="E28" s="72">
        <f>D28*C28</f>
        <v>46.15283180589438</v>
      </c>
      <c r="F28" s="73"/>
      <c r="G28" s="76"/>
      <c r="I28" s="33"/>
    </row>
    <row r="29" spans="2:16" ht="17.25" customHeight="1" thickBot="1" x14ac:dyDescent="0.3">
      <c r="B29" s="23" t="s">
        <v>88</v>
      </c>
      <c r="C29" s="81"/>
      <c r="D29" s="24"/>
      <c r="E29" s="72"/>
      <c r="F29" s="82"/>
      <c r="G29" s="83"/>
      <c r="I29" s="84"/>
    </row>
    <row r="30" spans="2:16" x14ac:dyDescent="0.25">
      <c r="B30" s="23" t="s">
        <v>89</v>
      </c>
      <c r="C30" s="81"/>
      <c r="D30" s="24"/>
      <c r="E30" s="72"/>
      <c r="F30" s="82"/>
      <c r="G30" s="83"/>
      <c r="I30" s="467" t="s">
        <v>291</v>
      </c>
      <c r="J30" s="468"/>
    </row>
    <row r="31" spans="2:16" x14ac:dyDescent="0.25">
      <c r="B31" s="23"/>
      <c r="C31" s="85"/>
      <c r="D31" s="86"/>
      <c r="E31" s="87"/>
      <c r="F31" s="88"/>
      <c r="G31" s="89"/>
      <c r="I31" s="23" t="s">
        <v>11</v>
      </c>
      <c r="J31" s="320">
        <v>4000</v>
      </c>
    </row>
    <row r="32" spans="2:16" ht="15.75" thickBot="1" x14ac:dyDescent="0.3">
      <c r="B32" s="90" t="s">
        <v>90</v>
      </c>
      <c r="C32" s="91"/>
      <c r="D32" s="92"/>
      <c r="E32" s="93">
        <f>-E155</f>
        <v>0</v>
      </c>
      <c r="F32" s="94"/>
      <c r="G32" s="95"/>
      <c r="I32" s="23" t="s">
        <v>242</v>
      </c>
      <c r="J32" s="320">
        <f>E28</f>
        <v>46.15283180589438</v>
      </c>
    </row>
    <row r="33" spans="2:10" x14ac:dyDescent="0.25">
      <c r="B33" s="96" t="s">
        <v>91</v>
      </c>
      <c r="C33" s="97"/>
      <c r="D33" s="98"/>
      <c r="E33" s="99">
        <f>-E174</f>
        <v>0</v>
      </c>
      <c r="F33" s="100"/>
      <c r="G33" s="101"/>
      <c r="I33" s="23" t="s">
        <v>252</v>
      </c>
      <c r="J33" s="320">
        <f>SUM(J31:J32)</f>
        <v>4046.1528318058945</v>
      </c>
    </row>
    <row r="34" spans="2:10" ht="15.75" thickBot="1" x14ac:dyDescent="0.3">
      <c r="B34" s="90" t="s">
        <v>28</v>
      </c>
      <c r="C34" s="97"/>
      <c r="D34" s="98"/>
      <c r="E34" s="99">
        <f>E172</f>
        <v>0</v>
      </c>
      <c r="F34" s="100"/>
      <c r="G34" s="101"/>
      <c r="I34" s="40" t="s">
        <v>292</v>
      </c>
      <c r="J34" s="321">
        <f>J33/151.667</f>
        <v>26.677872126473751</v>
      </c>
    </row>
    <row r="35" spans="2:10" x14ac:dyDescent="0.25">
      <c r="B35" s="96"/>
      <c r="C35" s="97"/>
      <c r="D35" s="98"/>
      <c r="E35" s="99"/>
      <c r="F35" s="100"/>
      <c r="G35" s="101"/>
    </row>
    <row r="36" spans="2:10" ht="15.75" thickBot="1" x14ac:dyDescent="0.3">
      <c r="B36" s="102" t="s">
        <v>92</v>
      </c>
      <c r="C36" s="347"/>
      <c r="D36" s="98"/>
      <c r="E36" s="103">
        <f>C36*D36</f>
        <v>0</v>
      </c>
      <c r="F36" s="100"/>
      <c r="G36" s="101"/>
    </row>
    <row r="37" spans="2:10" ht="16.5" thickTop="1" thickBot="1" x14ac:dyDescent="0.3">
      <c r="B37" s="104" t="s">
        <v>93</v>
      </c>
      <c r="C37" s="105"/>
      <c r="D37" s="106"/>
      <c r="E37" s="107">
        <f>SUM(E20:E36)</f>
        <v>4326.9374359370313</v>
      </c>
      <c r="F37" s="100"/>
      <c r="G37" s="101"/>
    </row>
    <row r="38" spans="2:10" ht="15.75" thickBot="1" x14ac:dyDescent="0.3">
      <c r="B38" s="108"/>
      <c r="C38" s="109"/>
      <c r="D38" s="110"/>
      <c r="E38" s="110"/>
      <c r="F38" s="111"/>
      <c r="G38" s="112"/>
    </row>
    <row r="39" spans="2:10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</row>
    <row r="40" spans="2:10" x14ac:dyDescent="0.25">
      <c r="B40" s="116" t="s">
        <v>99</v>
      </c>
      <c r="C40" s="117"/>
      <c r="D40" s="118"/>
      <c r="E40" s="118"/>
      <c r="F40" s="119"/>
      <c r="G40" s="120"/>
    </row>
    <row r="41" spans="2:10" x14ac:dyDescent="0.25">
      <c r="B41" s="121" t="s">
        <v>100</v>
      </c>
      <c r="C41" s="97">
        <f>$E$37</f>
        <v>4326.9374359370313</v>
      </c>
      <c r="D41" s="122"/>
      <c r="E41" s="123"/>
      <c r="F41" s="124">
        <v>7.0000000000000007E-2</v>
      </c>
      <c r="G41" s="125">
        <f>F41*C41</f>
        <v>302.88562051559222</v>
      </c>
    </row>
    <row r="42" spans="2:10" x14ac:dyDescent="0.25">
      <c r="B42" s="121" t="s">
        <v>101</v>
      </c>
      <c r="C42" s="97">
        <f>$J$18</f>
        <v>3864</v>
      </c>
      <c r="D42" s="126"/>
      <c r="E42" s="127"/>
      <c r="F42" s="128">
        <f>J25</f>
        <v>1.4999999999999999E-2</v>
      </c>
      <c r="G42" s="125">
        <f>F42*C42</f>
        <v>57.96</v>
      </c>
    </row>
    <row r="43" spans="2:10" x14ac:dyDescent="0.25">
      <c r="B43" s="121" t="s">
        <v>102</v>
      </c>
      <c r="C43" s="97">
        <f>$J$19</f>
        <v>462.9374359370313</v>
      </c>
      <c r="D43" s="126"/>
      <c r="E43" s="127"/>
      <c r="F43" s="128"/>
      <c r="G43" s="125">
        <f>F43*C43</f>
        <v>0</v>
      </c>
    </row>
    <row r="44" spans="2:10" x14ac:dyDescent="0.25">
      <c r="B44" s="121" t="s">
        <v>103</v>
      </c>
      <c r="C44" s="97">
        <v>3864</v>
      </c>
      <c r="D44" s="126">
        <v>0.01</v>
      </c>
      <c r="E44" s="127">
        <f>+D44*C44</f>
        <v>38.64</v>
      </c>
      <c r="F44" s="128">
        <v>0.01</v>
      </c>
      <c r="G44" s="125">
        <f>+F44*C44</f>
        <v>38.64</v>
      </c>
    </row>
    <row r="45" spans="2:10" x14ac:dyDescent="0.25">
      <c r="B45" s="129" t="s">
        <v>104</v>
      </c>
      <c r="C45" s="97">
        <f>J18+J19</f>
        <v>4326.9374359370313</v>
      </c>
      <c r="E45" s="97"/>
      <c r="F45" s="130">
        <f>J7</f>
        <v>3.5999999999999997E-2</v>
      </c>
      <c r="G45" s="125">
        <f>F45*C45</f>
        <v>155.76974769373311</v>
      </c>
    </row>
    <row r="46" spans="2:10" x14ac:dyDescent="0.25">
      <c r="B46" s="116" t="s">
        <v>105</v>
      </c>
      <c r="C46" s="117"/>
      <c r="D46" s="118"/>
      <c r="E46" s="118"/>
      <c r="F46" s="119"/>
      <c r="G46" s="120"/>
    </row>
    <row r="47" spans="2:10" x14ac:dyDescent="0.25">
      <c r="B47" s="121" t="s">
        <v>106</v>
      </c>
      <c r="C47" s="97">
        <f>$J$18</f>
        <v>3864</v>
      </c>
      <c r="D47" s="126">
        <v>6.9000000000000006E-2</v>
      </c>
      <c r="E47" s="127">
        <f>D47*C47</f>
        <v>266.61600000000004</v>
      </c>
      <c r="F47" s="128">
        <v>8.5500000000000007E-2</v>
      </c>
      <c r="G47" s="125">
        <f>F47*C47</f>
        <v>330.37200000000001</v>
      </c>
    </row>
    <row r="48" spans="2:10" x14ac:dyDescent="0.25">
      <c r="B48" s="121" t="s">
        <v>107</v>
      </c>
      <c r="C48" s="97">
        <f>$E$37</f>
        <v>4326.9374359370313</v>
      </c>
      <c r="D48" s="126">
        <v>4.0000000000000001E-3</v>
      </c>
      <c r="E48" s="127">
        <f t="shared" ref="E48:E51" si="1">D48*C48</f>
        <v>17.307749743748126</v>
      </c>
      <c r="F48" s="128">
        <v>2.0199999999999999E-2</v>
      </c>
      <c r="G48" s="125">
        <f t="shared" ref="G48:G51" si="2">F48*C48</f>
        <v>87.404136205928026</v>
      </c>
    </row>
    <row r="49" spans="2:10" x14ac:dyDescent="0.25">
      <c r="B49" s="121" t="s">
        <v>108</v>
      </c>
      <c r="C49" s="97">
        <f>$J$18</f>
        <v>3864</v>
      </c>
      <c r="D49" s="126">
        <v>4.0099999999999997E-2</v>
      </c>
      <c r="E49" s="127">
        <f t="shared" si="1"/>
        <v>154.94639999999998</v>
      </c>
      <c r="F49" s="128">
        <v>6.0100000000000001E-2</v>
      </c>
      <c r="G49" s="125">
        <f t="shared" si="2"/>
        <v>232.22640000000001</v>
      </c>
    </row>
    <row r="50" spans="2:10" x14ac:dyDescent="0.25">
      <c r="B50" s="121" t="s">
        <v>109</v>
      </c>
      <c r="C50" s="97">
        <f>+J19</f>
        <v>462.9374359370313</v>
      </c>
      <c r="D50" s="126">
        <v>9.7199999999999995E-2</v>
      </c>
      <c r="E50" s="127">
        <f t="shared" si="1"/>
        <v>44.997518773079442</v>
      </c>
      <c r="F50" s="128">
        <v>0.1457</v>
      </c>
      <c r="G50" s="125">
        <f t="shared" si="2"/>
        <v>67.449984416025458</v>
      </c>
    </row>
    <row r="51" spans="2:10" x14ac:dyDescent="0.25">
      <c r="B51" s="121" t="s">
        <v>110</v>
      </c>
      <c r="C51" s="97">
        <f>+'REGUL LAMBERT'!H42</f>
        <v>4326.9374359370304</v>
      </c>
      <c r="D51" s="126">
        <v>1.4E-3</v>
      </c>
      <c r="E51" s="127">
        <f t="shared" si="1"/>
        <v>6.0577124103118427</v>
      </c>
      <c r="F51" s="128">
        <v>2.0999999999999999E-3</v>
      </c>
      <c r="G51" s="125">
        <f t="shared" si="2"/>
        <v>9.0865686154677636</v>
      </c>
      <c r="I51" s="318">
        <f>SUM(E47:E51)</f>
        <v>489.92538092713943</v>
      </c>
    </row>
    <row r="52" spans="2:10" x14ac:dyDescent="0.25">
      <c r="B52" s="121" t="s">
        <v>111</v>
      </c>
      <c r="C52" s="97"/>
      <c r="D52" s="126"/>
      <c r="E52" s="127"/>
      <c r="F52" s="128"/>
      <c r="G52" s="125"/>
      <c r="I52" s="381"/>
    </row>
    <row r="53" spans="2:10" x14ac:dyDescent="0.25">
      <c r="B53" s="116" t="s">
        <v>112</v>
      </c>
      <c r="C53" s="97">
        <f>$E$37</f>
        <v>4326.9374359370313</v>
      </c>
      <c r="D53" s="131"/>
      <c r="E53" s="97"/>
      <c r="F53" s="128"/>
      <c r="G53" s="132">
        <f>+'REGUL DUMONT'!K30</f>
        <v>207.00000000000003</v>
      </c>
    </row>
    <row r="54" spans="2:10" x14ac:dyDescent="0.25">
      <c r="B54" s="116" t="s">
        <v>113</v>
      </c>
      <c r="C54" s="97"/>
      <c r="D54" s="131"/>
      <c r="E54" s="97"/>
      <c r="F54" s="133"/>
      <c r="G54" s="125"/>
    </row>
    <row r="55" spans="2:10" x14ac:dyDescent="0.25">
      <c r="B55" s="121" t="s">
        <v>114</v>
      </c>
      <c r="C55" s="97">
        <f>+E37</f>
        <v>4326.9374359370313</v>
      </c>
      <c r="D55" s="131"/>
      <c r="E55" s="97"/>
      <c r="F55" s="134">
        <v>4.2500000000000003E-2</v>
      </c>
      <c r="G55" s="125">
        <f t="shared" ref="G55" si="3">F55*C55</f>
        <v>183.89484102732385</v>
      </c>
    </row>
    <row r="56" spans="2:10" x14ac:dyDescent="0.25">
      <c r="B56" s="121" t="s">
        <v>115</v>
      </c>
      <c r="C56" s="97">
        <f>+E37</f>
        <v>4326.9374359370313</v>
      </c>
      <c r="D56" s="135">
        <v>2.4000000000000001E-4</v>
      </c>
      <c r="E56" s="136">
        <f>D56*C56</f>
        <v>1.0384649846248875</v>
      </c>
      <c r="F56" s="133">
        <v>3.6000000000000002E-4</v>
      </c>
      <c r="G56" s="137">
        <f>C56*F56</f>
        <v>1.5576974769373313</v>
      </c>
    </row>
    <row r="57" spans="2:10" x14ac:dyDescent="0.25">
      <c r="B57" s="116" t="s">
        <v>116</v>
      </c>
      <c r="C57" s="97"/>
      <c r="D57" s="131"/>
      <c r="E57" s="97"/>
      <c r="F57" s="133"/>
      <c r="G57" s="125">
        <f>E103</f>
        <v>70.758452759586504</v>
      </c>
    </row>
    <row r="58" spans="2:10" x14ac:dyDescent="0.25">
      <c r="B58" s="129"/>
      <c r="C58" s="97"/>
      <c r="D58" s="97"/>
      <c r="E58" s="97"/>
      <c r="F58" s="97"/>
      <c r="G58" s="138"/>
    </row>
    <row r="59" spans="2:10" ht="24.75" customHeight="1" thickBot="1" x14ac:dyDescent="0.3">
      <c r="B59" s="139" t="s">
        <v>117</v>
      </c>
      <c r="C59" s="97"/>
      <c r="D59" s="97"/>
      <c r="E59" s="97"/>
      <c r="F59" s="97"/>
      <c r="G59" s="138"/>
    </row>
    <row r="60" spans="2:10" x14ac:dyDescent="0.25">
      <c r="B60" s="129"/>
      <c r="C60" s="97"/>
      <c r="D60" s="135"/>
      <c r="E60" s="97"/>
      <c r="F60" s="140"/>
      <c r="G60" s="125"/>
      <c r="I60" s="19" t="s">
        <v>293</v>
      </c>
      <c r="J60" s="432">
        <f>SUM(E47:E51)</f>
        <v>489.92538092713943</v>
      </c>
    </row>
    <row r="61" spans="2:10" x14ac:dyDescent="0.25">
      <c r="B61" s="129" t="s">
        <v>118</v>
      </c>
      <c r="C61" s="97">
        <f>(E37-E23-E24-E25-E26-E27)*0.9825+G42+G43+G44</f>
        <v>4071.9451572492922</v>
      </c>
      <c r="D61" s="126">
        <v>6.8000000000000005E-2</v>
      </c>
      <c r="E61" s="127">
        <f>D61*C61</f>
        <v>276.89227069295191</v>
      </c>
      <c r="F61" s="128"/>
      <c r="G61" s="125"/>
      <c r="I61" s="23" t="s">
        <v>243</v>
      </c>
      <c r="J61" s="436">
        <f>J60/E37</f>
        <v>0.11322682340125917</v>
      </c>
    </row>
    <row r="62" spans="2:10" ht="15.75" thickBot="1" x14ac:dyDescent="0.3">
      <c r="B62" s="129" t="s">
        <v>119</v>
      </c>
      <c r="C62" s="97">
        <f>C61</f>
        <v>4071.9451572492922</v>
      </c>
      <c r="D62" s="126">
        <v>2.9000000000000001E-2</v>
      </c>
      <c r="E62" s="127">
        <f>D62*C62</f>
        <v>118.08640956022948</v>
      </c>
      <c r="F62" s="128"/>
      <c r="G62" s="125"/>
      <c r="I62" s="470" t="s">
        <v>244</v>
      </c>
      <c r="J62" s="469"/>
    </row>
    <row r="63" spans="2:10" ht="35.25" customHeight="1" x14ac:dyDescent="0.25">
      <c r="B63" s="141" t="s">
        <v>120</v>
      </c>
      <c r="C63" s="97">
        <f>(E23+E24+E25)*0.9825</f>
        <v>275.87087355884137</v>
      </c>
      <c r="D63" s="126">
        <v>9.7000000000000003E-2</v>
      </c>
      <c r="E63" s="127">
        <f>D63*C63</f>
        <v>26.759474735207615</v>
      </c>
      <c r="F63" s="128"/>
      <c r="G63" s="125"/>
    </row>
    <row r="64" spans="2:10" ht="24.75" customHeight="1" x14ac:dyDescent="0.25">
      <c r="B64" s="383" t="s">
        <v>257</v>
      </c>
      <c r="C64" s="126"/>
      <c r="D64" s="126"/>
      <c r="E64" s="127"/>
      <c r="F64" s="128"/>
      <c r="G64" s="138">
        <f>-I124</f>
        <v>0</v>
      </c>
    </row>
    <row r="65" spans="2:9" ht="21" customHeight="1" x14ac:dyDescent="0.25">
      <c r="B65" s="383" t="s">
        <v>257</v>
      </c>
      <c r="C65" s="142">
        <f>E23+E24+E25</f>
        <v>280.78460413113623</v>
      </c>
      <c r="D65" s="435">
        <f>-J61</f>
        <v>-0.11322682340125917</v>
      </c>
      <c r="E65" s="127">
        <f>D65*C65</f>
        <v>-31.792348785748629</v>
      </c>
      <c r="F65" s="128"/>
      <c r="G65" s="125"/>
    </row>
    <row r="66" spans="2:9" ht="15.75" thickBot="1" x14ac:dyDescent="0.3">
      <c r="B66" s="143" t="s">
        <v>123</v>
      </c>
      <c r="C66" s="363">
        <f>IF(AND(J4=151.67,J6&lt;20),C24+C25,0)+C23</f>
        <v>8.75</v>
      </c>
      <c r="D66" s="145"/>
      <c r="E66" s="146"/>
      <c r="F66" s="147">
        <v>-1.5</v>
      </c>
      <c r="G66" s="148">
        <f>F66*C66</f>
        <v>-13.125</v>
      </c>
    </row>
    <row r="67" spans="2:9" ht="15.75" thickBot="1" x14ac:dyDescent="0.3">
      <c r="B67" s="149" t="s">
        <v>124</v>
      </c>
      <c r="C67" s="150"/>
      <c r="D67" s="151"/>
      <c r="E67" s="152">
        <f>SUM(E41:E66)</f>
        <v>919.54965211440481</v>
      </c>
      <c r="F67" s="153"/>
      <c r="G67" s="154">
        <f>SUM(G41:G66)</f>
        <v>1731.8804487105945</v>
      </c>
    </row>
    <row r="68" spans="2:9" x14ac:dyDescent="0.25">
      <c r="B68" s="155"/>
      <c r="C68" s="156"/>
      <c r="D68" s="157"/>
      <c r="E68" s="158"/>
      <c r="F68" s="159"/>
      <c r="G68" s="160"/>
    </row>
    <row r="69" spans="2:9" x14ac:dyDescent="0.25">
      <c r="B69" s="121" t="s">
        <v>125</v>
      </c>
      <c r="C69" s="127"/>
      <c r="D69" s="161"/>
      <c r="E69" s="162"/>
      <c r="F69" s="163"/>
      <c r="G69" s="164"/>
    </row>
    <row r="70" spans="2:9" x14ac:dyDescent="0.25">
      <c r="B70" s="121" t="s">
        <v>126</v>
      </c>
      <c r="C70" s="127"/>
      <c r="D70" s="161"/>
      <c r="E70" s="162"/>
      <c r="F70" s="163"/>
      <c r="G70" s="164"/>
    </row>
    <row r="71" spans="2:9" x14ac:dyDescent="0.25">
      <c r="B71" s="121" t="s">
        <v>127</v>
      </c>
      <c r="C71" s="127"/>
      <c r="D71" s="161"/>
      <c r="E71" s="127"/>
      <c r="F71" s="163"/>
      <c r="G71" s="164"/>
    </row>
    <row r="72" spans="2:9" ht="15.75" customHeight="1" x14ac:dyDescent="0.25">
      <c r="B72" s="165" t="s">
        <v>128</v>
      </c>
      <c r="C72" s="359">
        <v>20</v>
      </c>
      <c r="D72" s="161">
        <f>7*0.4</f>
        <v>2.8000000000000003</v>
      </c>
      <c r="E72" s="166">
        <f>-D72*C72</f>
        <v>-56.000000000000007</v>
      </c>
      <c r="F72" s="163"/>
      <c r="G72" s="164"/>
    </row>
    <row r="73" spans="2:9" x14ac:dyDescent="0.25">
      <c r="B73" s="167" t="s">
        <v>129</v>
      </c>
      <c r="D73" s="168"/>
      <c r="E73" s="169"/>
      <c r="F73" s="170"/>
      <c r="G73" s="164"/>
    </row>
    <row r="74" spans="2:9" x14ac:dyDescent="0.25">
      <c r="B74" s="171" t="s">
        <v>218</v>
      </c>
      <c r="C74" s="127"/>
      <c r="D74" s="161"/>
      <c r="E74" s="172"/>
      <c r="F74" s="163"/>
      <c r="G74" s="164"/>
    </row>
    <row r="75" spans="2:9" ht="15.75" thickBot="1" x14ac:dyDescent="0.3">
      <c r="B75" s="143" t="s">
        <v>288</v>
      </c>
      <c r="C75" s="146"/>
      <c r="D75" s="173"/>
      <c r="E75" s="174"/>
      <c r="F75" s="175"/>
      <c r="G75" s="148">
        <f>+E37-E67</f>
        <v>3407.3877838226263</v>
      </c>
      <c r="H75" s="318"/>
      <c r="I75" s="318"/>
    </row>
    <row r="76" spans="2:9" ht="15.75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3351.3877838226263</v>
      </c>
    </row>
    <row r="77" spans="2:9" ht="28.5" x14ac:dyDescent="0.25">
      <c r="B77" s="178" t="s">
        <v>131</v>
      </c>
      <c r="C77" s="179"/>
      <c r="D77" s="180"/>
      <c r="E77" s="181"/>
      <c r="F77" s="182"/>
      <c r="G77" s="183">
        <f>E110</f>
        <v>62.385656708278205</v>
      </c>
    </row>
    <row r="78" spans="2:9" x14ac:dyDescent="0.25">
      <c r="B78" s="384" t="s">
        <v>132</v>
      </c>
      <c r="C78" s="384" t="s">
        <v>133</v>
      </c>
      <c r="D78" s="384" t="s">
        <v>96</v>
      </c>
      <c r="E78" s="385" t="s">
        <v>134</v>
      </c>
      <c r="F78" s="385"/>
      <c r="G78" s="386" t="s">
        <v>258</v>
      </c>
    </row>
    <row r="79" spans="2:9" x14ac:dyDescent="0.25">
      <c r="B79" s="387" t="s">
        <v>259</v>
      </c>
      <c r="C79" s="388"/>
      <c r="D79" s="389"/>
      <c r="E79" s="390">
        <f>E20+E28+E36+G44+E62+E63-E67</f>
        <v>3310.0890639869267</v>
      </c>
      <c r="F79" s="391"/>
      <c r="G79" s="392"/>
      <c r="H79" s="318"/>
    </row>
    <row r="80" spans="2:9" x14ac:dyDescent="0.25">
      <c r="B80" s="387" t="s">
        <v>260</v>
      </c>
      <c r="C80" s="393">
        <f>E79</f>
        <v>3310.0890639869267</v>
      </c>
      <c r="D80" s="394">
        <v>8.5000000000000006E-2</v>
      </c>
      <c r="E80" s="390">
        <f>D80*C80</f>
        <v>281.35757043888879</v>
      </c>
      <c r="F80" s="391"/>
      <c r="G80" s="392"/>
    </row>
    <row r="81" spans="1:9" x14ac:dyDescent="0.25">
      <c r="B81" s="387" t="s">
        <v>261</v>
      </c>
      <c r="C81" s="388"/>
      <c r="D81" s="390"/>
      <c r="E81" s="389"/>
      <c r="F81" s="391"/>
      <c r="G81" s="392"/>
    </row>
    <row r="82" spans="1:9" x14ac:dyDescent="0.25">
      <c r="B82" s="387"/>
      <c r="C82" s="388"/>
      <c r="D82" s="389"/>
      <c r="E82" s="389"/>
      <c r="F82" s="391"/>
      <c r="G82" s="395"/>
    </row>
    <row r="83" spans="1:9" x14ac:dyDescent="0.25">
      <c r="B83" s="396" t="s">
        <v>262</v>
      </c>
      <c r="C83" s="389"/>
      <c r="D83" s="389"/>
      <c r="E83" s="390">
        <f>G76-E80</f>
        <v>3070.0302133837376</v>
      </c>
      <c r="F83" s="391"/>
      <c r="G83" s="392"/>
    </row>
    <row r="84" spans="1:9" x14ac:dyDescent="0.25">
      <c r="B84" s="387" t="s">
        <v>263</v>
      </c>
      <c r="C84" s="389"/>
      <c r="D84" s="389"/>
      <c r="E84" s="390">
        <f>E118</f>
        <v>350.62612000308843</v>
      </c>
      <c r="F84" s="391"/>
      <c r="G84" s="392"/>
    </row>
    <row r="85" spans="1:9" x14ac:dyDescent="0.25">
      <c r="B85" s="387" t="s">
        <v>264</v>
      </c>
      <c r="C85" s="397"/>
      <c r="D85" s="389"/>
      <c r="E85" s="390">
        <f>E37+G67</f>
        <v>6058.8178846476258</v>
      </c>
      <c r="F85" s="391"/>
      <c r="G85" s="392"/>
      <c r="I85" s="318">
        <f>C86-K39</f>
        <v>0</v>
      </c>
    </row>
    <row r="86" spans="1:9" ht="15.75" thickBot="1" x14ac:dyDescent="0.3">
      <c r="A86" s="403"/>
      <c r="B86" s="404" t="s">
        <v>138</v>
      </c>
      <c r="C86" s="187"/>
      <c r="D86" s="187"/>
      <c r="E86" s="187"/>
      <c r="F86" s="399"/>
      <c r="G86" s="400"/>
    </row>
    <row r="87" spans="1:9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1:9" s="189" customFormat="1" ht="15.75" thickBot="1" x14ac:dyDescent="0.3">
      <c r="B90" s="453" t="s">
        <v>116</v>
      </c>
      <c r="C90" s="454"/>
      <c r="D90" s="11"/>
      <c r="E90" s="11"/>
      <c r="G90" s="11"/>
    </row>
    <row r="91" spans="1:9" s="189" customFormat="1" x14ac:dyDescent="0.25">
      <c r="B91" s="190"/>
      <c r="C91" s="191"/>
      <c r="D91" s="455">
        <f>+E37</f>
        <v>4326.9374359370313</v>
      </c>
      <c r="E91" s="192"/>
      <c r="G91" s="11"/>
    </row>
    <row r="92" spans="1:9" s="189" customFormat="1" x14ac:dyDescent="0.25">
      <c r="B92" s="193" t="s">
        <v>139</v>
      </c>
      <c r="C92" s="194">
        <f>IF(J6&gt;=11,J8,0)</f>
        <v>0</v>
      </c>
      <c r="D92" s="456"/>
      <c r="E92" s="195">
        <f>C92*$D$91</f>
        <v>0</v>
      </c>
      <c r="G92" s="11"/>
    </row>
    <row r="93" spans="1:9" s="189" customFormat="1" x14ac:dyDescent="0.25">
      <c r="B93" s="193" t="s">
        <v>140</v>
      </c>
      <c r="C93" s="194">
        <f>IF(J6&lt;50,0%,0.5%)</f>
        <v>0</v>
      </c>
      <c r="D93" s="456"/>
      <c r="E93" s="195">
        <f t="shared" ref="E93:E98" si="4">C93*$D$91</f>
        <v>0</v>
      </c>
      <c r="G93" s="11"/>
    </row>
    <row r="94" spans="1:9" s="189" customFormat="1" x14ac:dyDescent="0.25">
      <c r="B94" s="193" t="s">
        <v>141</v>
      </c>
      <c r="C94" s="194">
        <v>1.6000000000000001E-4</v>
      </c>
      <c r="D94" s="456"/>
      <c r="E94" s="195">
        <f t="shared" si="4"/>
        <v>0.69230998974992508</v>
      </c>
      <c r="G94" s="11"/>
    </row>
    <row r="95" spans="1:9" s="189" customFormat="1" x14ac:dyDescent="0.25">
      <c r="B95" s="193" t="s">
        <v>142</v>
      </c>
      <c r="C95" s="194">
        <v>3.0000000000000001E-3</v>
      </c>
      <c r="D95" s="456"/>
      <c r="E95" s="195">
        <f t="shared" si="4"/>
        <v>12.980812307811094</v>
      </c>
      <c r="G95" s="11"/>
    </row>
    <row r="96" spans="1:9" s="189" customFormat="1" x14ac:dyDescent="0.25">
      <c r="B96" s="193" t="s">
        <v>143</v>
      </c>
      <c r="C96" s="194">
        <v>6.7999999999999996E-3</v>
      </c>
      <c r="D96" s="456"/>
      <c r="E96" s="195">
        <f t="shared" si="4"/>
        <v>29.423174564371813</v>
      </c>
      <c r="G96" s="11"/>
    </row>
    <row r="97" spans="2:7" s="189" customFormat="1" x14ac:dyDescent="0.25">
      <c r="B97" s="193" t="s">
        <v>144</v>
      </c>
      <c r="C97" s="194">
        <f>IF(J6&lt;11,0.55%,1%)</f>
        <v>5.5000000000000005E-3</v>
      </c>
      <c r="D97" s="456"/>
      <c r="E97" s="195">
        <f t="shared" si="4"/>
        <v>23.798155897653675</v>
      </c>
      <c r="G97" s="11"/>
    </row>
    <row r="98" spans="2:7" s="189" customFormat="1" x14ac:dyDescent="0.25">
      <c r="B98" s="193"/>
      <c r="C98" s="194">
        <f>IF(J6&lt;=50,0,0.45%)</f>
        <v>0</v>
      </c>
      <c r="D98" s="456"/>
      <c r="E98" s="195">
        <f t="shared" si="4"/>
        <v>0</v>
      </c>
      <c r="G98" s="11"/>
    </row>
    <row r="99" spans="2:7" s="189" customFormat="1" x14ac:dyDescent="0.25">
      <c r="B99" s="23"/>
      <c r="C99" s="24"/>
      <c r="D99" s="24"/>
      <c r="E99" s="25"/>
      <c r="G99" s="11"/>
    </row>
    <row r="100" spans="2:7" s="189" customFormat="1" x14ac:dyDescent="0.25">
      <c r="B100" s="23" t="s">
        <v>145</v>
      </c>
      <c r="C100" s="196">
        <f>IF(J6&gt;=11,+G42+G43+G44,0)</f>
        <v>0</v>
      </c>
      <c r="D100" s="197">
        <v>0.08</v>
      </c>
      <c r="E100" s="198">
        <f>D100*C100</f>
        <v>0</v>
      </c>
      <c r="G100" s="11"/>
    </row>
    <row r="101" spans="2:7" s="189" customFormat="1" ht="15.75" thickBot="1" x14ac:dyDescent="0.3">
      <c r="B101" s="40" t="s">
        <v>146</v>
      </c>
      <c r="C101" s="199">
        <f>IF(J6&lt;50,J18,0)</f>
        <v>3864</v>
      </c>
      <c r="D101" s="200">
        <v>1E-3</v>
      </c>
      <c r="E101" s="201">
        <f>D101*C101</f>
        <v>3.8639999999999999</v>
      </c>
      <c r="G101" s="11"/>
    </row>
    <row r="102" spans="2:7" s="189" customFormat="1" ht="15.75" thickBot="1" x14ac:dyDescent="0.3">
      <c r="B102" s="11"/>
      <c r="C102" s="11"/>
      <c r="D102" s="11"/>
      <c r="E102" s="11"/>
      <c r="G102" s="11"/>
    </row>
    <row r="103" spans="2:7" s="189" customFormat="1" ht="15.75" thickBot="1" x14ac:dyDescent="0.3">
      <c r="B103" s="202" t="s">
        <v>147</v>
      </c>
      <c r="C103" s="203"/>
      <c r="D103" s="203"/>
      <c r="E103" s="204">
        <f>SUM(E92:E101)</f>
        <v>70.758452759586504</v>
      </c>
    </row>
    <row r="104" spans="2:7" s="189" customFormat="1" ht="15.75" thickBot="1" x14ac:dyDescent="0.3">
      <c r="B104" s="11"/>
      <c r="C104" s="11"/>
      <c r="D104" s="11"/>
      <c r="E104" s="11"/>
    </row>
    <row r="105" spans="2:7" s="189" customFormat="1" thickBot="1" x14ac:dyDescent="0.3">
      <c r="B105" s="457" t="s">
        <v>148</v>
      </c>
      <c r="C105" s="458"/>
      <c r="D105" s="458"/>
      <c r="E105" s="459"/>
    </row>
    <row r="106" spans="2:7" s="189" customFormat="1" x14ac:dyDescent="0.25">
      <c r="B106" s="205" t="s">
        <v>149</v>
      </c>
      <c r="C106" s="206">
        <f>C107</f>
        <v>4326.9374359370313</v>
      </c>
      <c r="D106" s="207">
        <v>2.4E-2</v>
      </c>
      <c r="E106" s="208">
        <f>D106*C106</f>
        <v>103.84649846248875</v>
      </c>
    </row>
    <row r="107" spans="2:7" s="189" customFormat="1" x14ac:dyDescent="0.25">
      <c r="B107" s="209" t="s">
        <v>17</v>
      </c>
      <c r="C107" s="206">
        <f>E37</f>
        <v>4326.9374359370313</v>
      </c>
      <c r="D107" s="210">
        <v>7.4999999999999997E-3</v>
      </c>
      <c r="E107" s="211">
        <f t="shared" ref="E107:E108" si="5">D107*C107</f>
        <v>32.452030769527731</v>
      </c>
    </row>
    <row r="108" spans="2:7" s="189" customFormat="1" x14ac:dyDescent="0.25">
      <c r="B108" s="209" t="s">
        <v>150</v>
      </c>
      <c r="C108" s="206">
        <f>C61+C63</f>
        <v>4347.8160308081333</v>
      </c>
      <c r="D108" s="210">
        <v>-1.7000000000000001E-2</v>
      </c>
      <c r="E108" s="211">
        <f t="shared" si="5"/>
        <v>-73.912872523738272</v>
      </c>
    </row>
    <row r="109" spans="2:7" s="189" customFormat="1" x14ac:dyDescent="0.25">
      <c r="B109" s="184"/>
      <c r="C109" s="212"/>
      <c r="D109" s="213"/>
      <c r="E109" s="214"/>
    </row>
    <row r="110" spans="2:7" s="189" customFormat="1" ht="15.75" thickBot="1" x14ac:dyDescent="0.3">
      <c r="B110" s="215" t="s">
        <v>151</v>
      </c>
      <c r="C110" s="216"/>
      <c r="D110" s="217"/>
      <c r="E110" s="218">
        <f>SUM(E106:E109)</f>
        <v>62.385656708278205</v>
      </c>
    </row>
    <row r="111" spans="2:7" s="189" customFormat="1" ht="12.75" x14ac:dyDescent="0.25"/>
    <row r="112" spans="2:7" s="189" customFormat="1" ht="13.5" thickBot="1" x14ac:dyDescent="0.3"/>
    <row r="113" spans="2:9" s="189" customFormat="1" thickBot="1" x14ac:dyDescent="0.3">
      <c r="B113" s="457" t="s">
        <v>152</v>
      </c>
      <c r="C113" s="458"/>
      <c r="D113" s="458"/>
      <c r="E113" s="459"/>
    </row>
    <row r="114" spans="2:9" s="189" customFormat="1" ht="15.75" customHeight="1" x14ac:dyDescent="0.25">
      <c r="B114" s="219" t="s">
        <v>153</v>
      </c>
      <c r="C114" s="220"/>
      <c r="D114" s="220"/>
      <c r="E114" s="221">
        <f>I124</f>
        <v>0</v>
      </c>
    </row>
    <row r="115" spans="2:9" s="189" customFormat="1" ht="15.75" customHeight="1" x14ac:dyDescent="0.25">
      <c r="B115" s="222" t="s">
        <v>154</v>
      </c>
      <c r="C115" s="223">
        <f>C23+C24+C25</f>
        <v>8.75</v>
      </c>
      <c r="D115" s="224">
        <v>1.5</v>
      </c>
      <c r="E115" s="225">
        <f>D115*C115</f>
        <v>13.125</v>
      </c>
    </row>
    <row r="116" spans="2:9" s="189" customFormat="1" ht="15.75" customHeight="1" x14ac:dyDescent="0.25">
      <c r="B116" s="222" t="s">
        <v>155</v>
      </c>
      <c r="C116" s="226">
        <f>E37</f>
        <v>4326.9374359370313</v>
      </c>
      <c r="D116" s="210">
        <v>1.7999999999999999E-2</v>
      </c>
      <c r="E116" s="225">
        <f>D116*C116</f>
        <v>77.884873846866554</v>
      </c>
    </row>
    <row r="117" spans="2:9" s="189" customFormat="1" ht="15.75" customHeight="1" x14ac:dyDescent="0.25">
      <c r="B117" s="222" t="s">
        <v>156</v>
      </c>
      <c r="C117" s="226">
        <f>C116</f>
        <v>4326.9374359370313</v>
      </c>
      <c r="D117" s="210">
        <v>0.06</v>
      </c>
      <c r="E117" s="225">
        <f>D117*C117</f>
        <v>259.61624615622185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350.62612000308843</v>
      </c>
    </row>
    <row r="121" spans="2:9" ht="15.75" hidden="1" thickBot="1" x14ac:dyDescent="0.3">
      <c r="B121" s="230" t="s">
        <v>158</v>
      </c>
      <c r="C121" s="231">
        <f>J20</f>
        <v>0.31909999999999999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0" t="s">
        <v>168</v>
      </c>
      <c r="C127" s="461"/>
      <c r="D127" s="461"/>
      <c r="E127" s="461"/>
    </row>
    <row r="128" spans="2:9" hidden="1" x14ac:dyDescent="0.25"/>
    <row r="129" spans="2:14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14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14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14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14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14" ht="15.75" hidden="1" thickBot="1" x14ac:dyDescent="0.3">
      <c r="B134" s="250" t="s">
        <v>178</v>
      </c>
      <c r="C134" s="2"/>
      <c r="D134" s="462" t="s">
        <v>179</v>
      </c>
      <c r="E134" s="462"/>
      <c r="F134" s="463"/>
    </row>
    <row r="135" spans="2:14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14" hidden="1" x14ac:dyDescent="0.25">
      <c r="D136" s="10" t="s">
        <v>232</v>
      </c>
      <c r="E136"/>
      <c r="F136"/>
      <c r="G136"/>
      <c r="H136"/>
      <c r="I136"/>
    </row>
    <row r="137" spans="2:14" ht="15.75" thickBot="1" x14ac:dyDescent="0.3">
      <c r="D137"/>
      <c r="E137"/>
      <c r="F137"/>
      <c r="G137"/>
      <c r="H137"/>
      <c r="I137"/>
    </row>
    <row r="138" spans="2:14" x14ac:dyDescent="0.25">
      <c r="B138" s="351"/>
      <c r="C138" s="6" t="s">
        <v>233</v>
      </c>
      <c r="D138" s="6" t="s">
        <v>238</v>
      </c>
      <c r="E138" s="6" t="s">
        <v>234</v>
      </c>
      <c r="F138" s="6" t="s">
        <v>235</v>
      </c>
      <c r="G138" s="354" t="s">
        <v>236</v>
      </c>
    </row>
    <row r="139" spans="2:14" ht="15.75" thickBot="1" x14ac:dyDescent="0.3">
      <c r="B139" s="355" t="s">
        <v>237</v>
      </c>
      <c r="C139" s="352">
        <v>43.75</v>
      </c>
      <c r="D139" s="352">
        <f>+C139-35</f>
        <v>8.75</v>
      </c>
      <c r="E139" s="352">
        <v>4</v>
      </c>
      <c r="F139" s="352">
        <v>4</v>
      </c>
      <c r="G139" s="353">
        <f>D139-E139-F139</f>
        <v>0.75</v>
      </c>
    </row>
    <row r="141" spans="2:14" ht="18.75" customHeight="1" x14ac:dyDescent="0.25">
      <c r="B141" s="10" t="s">
        <v>239</v>
      </c>
      <c r="C141"/>
      <c r="D141" s="9"/>
      <c r="G141"/>
      <c r="J141"/>
      <c r="K141"/>
      <c r="L141"/>
      <c r="M141"/>
      <c r="N141"/>
    </row>
    <row r="142" spans="2:14" ht="18.75" customHeight="1" thickBot="1" x14ac:dyDescent="0.3">
      <c r="B142"/>
      <c r="C142"/>
      <c r="D142" s="9"/>
      <c r="G142"/>
      <c r="J142"/>
      <c r="K142"/>
      <c r="L142"/>
      <c r="M142"/>
      <c r="N142"/>
    </row>
    <row r="143" spans="2:14" ht="18.75" customHeight="1" thickBot="1" x14ac:dyDescent="0.3">
      <c r="B143" s="357" t="s">
        <v>240</v>
      </c>
      <c r="C143" s="356">
        <v>7</v>
      </c>
      <c r="D143" s="9"/>
      <c r="G143"/>
      <c r="J143"/>
      <c r="K143"/>
      <c r="L143"/>
      <c r="M143"/>
      <c r="N143"/>
    </row>
    <row r="144" spans="2:14" ht="18.75" customHeight="1" x14ac:dyDescent="0.25">
      <c r="D144" s="9"/>
      <c r="G144"/>
      <c r="J144"/>
      <c r="K144"/>
      <c r="L144"/>
      <c r="M144"/>
      <c r="N144"/>
    </row>
    <row r="145" spans="2:14" ht="18.75" customHeight="1" x14ac:dyDescent="0.25">
      <c r="B145" s="9"/>
      <c r="C145" s="254"/>
      <c r="D145" s="255"/>
      <c r="E145" s="9"/>
      <c r="F145" s="9"/>
      <c r="I145"/>
      <c r="J145"/>
      <c r="K145"/>
      <c r="L145"/>
      <c r="M145"/>
      <c r="N145"/>
    </row>
    <row r="146" spans="2:14" ht="18.75" customHeight="1" x14ac:dyDescent="0.25">
      <c r="B146" s="9"/>
      <c r="C146" s="254"/>
      <c r="D146" s="255"/>
      <c r="E146" s="9"/>
      <c r="F146" s="9"/>
      <c r="I146"/>
      <c r="J146"/>
      <c r="K146"/>
      <c r="L146"/>
      <c r="M146"/>
      <c r="N146"/>
    </row>
    <row r="147" spans="2:14" ht="18.75" customHeight="1" x14ac:dyDescent="0.25">
      <c r="B147" s="9"/>
      <c r="C147" s="254"/>
      <c r="D147" s="255"/>
      <c r="E147" s="9"/>
      <c r="F147" s="9"/>
      <c r="I147"/>
      <c r="J147"/>
      <c r="K147"/>
      <c r="L147"/>
      <c r="M147"/>
      <c r="N147"/>
    </row>
    <row r="148" spans="2:14" ht="18.75" x14ac:dyDescent="0.25">
      <c r="B148" s="460" t="s">
        <v>9</v>
      </c>
      <c r="C148" s="461"/>
      <c r="D148" s="461"/>
      <c r="E148" s="461"/>
      <c r="K148"/>
      <c r="L148"/>
      <c r="M148"/>
      <c r="N148"/>
    </row>
    <row r="149" spans="2:14" ht="15.75" thickBot="1" x14ac:dyDescent="0.3">
      <c r="K149"/>
      <c r="L149"/>
      <c r="M149"/>
      <c r="N149"/>
    </row>
    <row r="150" spans="2:14" x14ac:dyDescent="0.25">
      <c r="B150" s="450" t="s">
        <v>10</v>
      </c>
      <c r="C150" s="451"/>
      <c r="D150" s="451"/>
      <c r="E150" s="452"/>
      <c r="K150"/>
      <c r="L150"/>
      <c r="M150"/>
      <c r="N150"/>
    </row>
    <row r="151" spans="2:14" x14ac:dyDescent="0.25">
      <c r="B151" s="256" t="s">
        <v>11</v>
      </c>
      <c r="C151" s="257"/>
      <c r="D151" s="257"/>
      <c r="E151" s="271"/>
      <c r="I151"/>
      <c r="J151"/>
      <c r="K151"/>
      <c r="L151"/>
      <c r="M151"/>
      <c r="N151"/>
    </row>
    <row r="152" spans="2:14" x14ac:dyDescent="0.25">
      <c r="B152" s="256" t="s">
        <v>12</v>
      </c>
      <c r="C152" s="257"/>
      <c r="D152" s="257"/>
      <c r="E152" s="258"/>
    </row>
    <row r="153" spans="2:14" x14ac:dyDescent="0.25">
      <c r="B153" s="256" t="s">
        <v>13</v>
      </c>
      <c r="C153" s="257"/>
      <c r="D153" s="257"/>
      <c r="E153" s="275"/>
    </row>
    <row r="154" spans="2:14" ht="15.75" thickBot="1" x14ac:dyDescent="0.3">
      <c r="B154" s="256" t="s">
        <v>14</v>
      </c>
      <c r="C154" s="257"/>
      <c r="D154" s="257"/>
      <c r="E154" s="272"/>
    </row>
    <row r="155" spans="2:14" ht="16.5" thickTop="1" thickBot="1" x14ac:dyDescent="0.3">
      <c r="B155" s="259" t="s">
        <v>15</v>
      </c>
      <c r="C155" s="260"/>
      <c r="D155" s="261"/>
      <c r="E155" s="276">
        <f>E153*E154</f>
        <v>0</v>
      </c>
    </row>
    <row r="156" spans="2:14" ht="15.75" thickBot="1" x14ac:dyDescent="0.3">
      <c r="B156" s="262"/>
      <c r="C156" s="262"/>
      <c r="D156" s="262"/>
      <c r="E156" s="262"/>
    </row>
    <row r="157" spans="2:14" ht="15.75" thickBot="1" x14ac:dyDescent="0.3">
      <c r="B157" s="457" t="s">
        <v>16</v>
      </c>
      <c r="C157" s="458"/>
      <c r="D157" s="458"/>
      <c r="E157" s="459"/>
    </row>
    <row r="158" spans="2:14" x14ac:dyDescent="0.25">
      <c r="B158" s="263" t="s">
        <v>17</v>
      </c>
      <c r="C158" s="264"/>
      <c r="D158" s="265" t="s">
        <v>18</v>
      </c>
      <c r="E158" s="266" t="s">
        <v>19</v>
      </c>
    </row>
    <row r="159" spans="2:14" x14ac:dyDescent="0.25">
      <c r="B159" s="209" t="s">
        <v>20</v>
      </c>
      <c r="C159" s="273"/>
      <c r="D159" s="274"/>
      <c r="E159" s="277"/>
    </row>
    <row r="160" spans="2:14" x14ac:dyDescent="0.25">
      <c r="B160" s="209" t="s">
        <v>21</v>
      </c>
      <c r="C160" s="273"/>
      <c r="D160" s="274"/>
      <c r="E160" s="277"/>
    </row>
    <row r="161" spans="2:5" x14ac:dyDescent="0.25">
      <c r="B161" s="209" t="s">
        <v>22</v>
      </c>
      <c r="C161" s="273"/>
      <c r="D161" s="274"/>
      <c r="E161" s="277"/>
    </row>
    <row r="162" spans="2:5" x14ac:dyDescent="0.25">
      <c r="B162" s="209" t="s">
        <v>23</v>
      </c>
      <c r="C162" s="267"/>
      <c r="D162" s="267"/>
      <c r="E162" s="211"/>
    </row>
    <row r="163" spans="2:5" x14ac:dyDescent="0.25">
      <c r="B163" s="209" t="s">
        <v>24</v>
      </c>
      <c r="C163" s="267"/>
      <c r="D163" s="267"/>
      <c r="E163" s="211"/>
    </row>
    <row r="164" spans="2:5" x14ac:dyDescent="0.25">
      <c r="B164" s="209" t="s">
        <v>181</v>
      </c>
      <c r="C164" s="267"/>
      <c r="D164" s="279"/>
      <c r="E164" s="268"/>
    </row>
    <row r="165" spans="2:5" x14ac:dyDescent="0.25">
      <c r="B165" s="209" t="s">
        <v>25</v>
      </c>
      <c r="C165" s="267"/>
      <c r="D165" s="267"/>
      <c r="E165" s="283">
        <f>E164*E163</f>
        <v>0</v>
      </c>
    </row>
    <row r="166" spans="2:5" x14ac:dyDescent="0.25">
      <c r="B166" s="209" t="s">
        <v>26</v>
      </c>
      <c r="C166" s="267"/>
      <c r="D166" s="267"/>
      <c r="E166" s="211">
        <f>E165*6.7%</f>
        <v>0</v>
      </c>
    </row>
    <row r="167" spans="2:5" ht="15.75" thickBot="1" x14ac:dyDescent="0.3">
      <c r="B167" s="269" t="s">
        <v>27</v>
      </c>
      <c r="C167" s="270"/>
      <c r="D167" s="270"/>
      <c r="E167" s="278">
        <f>E165-E166</f>
        <v>0</v>
      </c>
    </row>
    <row r="168" spans="2:5" ht="15.75" thickBot="1" x14ac:dyDescent="0.3"/>
    <row r="169" spans="2:5" x14ac:dyDescent="0.25">
      <c r="B169" s="450" t="s">
        <v>28</v>
      </c>
      <c r="C169" s="451"/>
      <c r="D169" s="451"/>
      <c r="E169" s="452"/>
    </row>
    <row r="170" spans="2:5" x14ac:dyDescent="0.25">
      <c r="B170" s="256" t="s">
        <v>29</v>
      </c>
      <c r="C170" s="257"/>
      <c r="D170" s="257"/>
      <c r="E170" s="280"/>
    </row>
    <row r="171" spans="2:5" ht="15.75" thickBot="1" x14ac:dyDescent="0.3">
      <c r="B171" s="256" t="s">
        <v>30</v>
      </c>
      <c r="C171" s="257"/>
      <c r="D171" s="257"/>
      <c r="E171" s="258">
        <f>E153*0.9</f>
        <v>0</v>
      </c>
    </row>
    <row r="172" spans="2:5" ht="16.5" thickTop="1" thickBot="1" x14ac:dyDescent="0.3">
      <c r="B172" s="256" t="s">
        <v>31</v>
      </c>
      <c r="C172" s="257"/>
      <c r="D172" s="257"/>
      <c r="E172" s="276">
        <f>E170*E171</f>
        <v>0</v>
      </c>
    </row>
    <row r="173" spans="2:5" ht="16.5" thickTop="1" thickBot="1" x14ac:dyDescent="0.3">
      <c r="B173" s="209" t="s">
        <v>32</v>
      </c>
      <c r="C173" s="257"/>
      <c r="D173" s="257"/>
      <c r="E173" s="281">
        <f>E163</f>
        <v>0</v>
      </c>
    </row>
    <row r="174" spans="2:5" ht="16.5" thickTop="1" thickBot="1" x14ac:dyDescent="0.3">
      <c r="B174" s="259" t="s">
        <v>33</v>
      </c>
      <c r="C174" s="284">
        <f>E170</f>
        <v>0</v>
      </c>
      <c r="D174" s="282">
        <f>E173</f>
        <v>0</v>
      </c>
      <c r="E174" s="276">
        <f>D174*C174</f>
        <v>0</v>
      </c>
    </row>
  </sheetData>
  <mergeCells count="12">
    <mergeCell ref="C17:D17"/>
    <mergeCell ref="F17:G17"/>
    <mergeCell ref="B169:E169"/>
    <mergeCell ref="B90:C90"/>
    <mergeCell ref="D91:D98"/>
    <mergeCell ref="B105:E105"/>
    <mergeCell ref="B113:E113"/>
    <mergeCell ref="B127:E127"/>
    <mergeCell ref="D134:F134"/>
    <mergeCell ref="B148:E148"/>
    <mergeCell ref="B150:E150"/>
    <mergeCell ref="B157:E15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3FE6-FAEC-4054-9C91-D7CFBD29D16A}">
  <dimension ref="A3:H11"/>
  <sheetViews>
    <sheetView workbookViewId="0">
      <selection activeCell="I10" sqref="I10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3" spans="1:8" ht="21.75" thickBot="1" x14ac:dyDescent="0.3">
      <c r="A3" s="445" t="s">
        <v>265</v>
      </c>
      <c r="B3" s="446"/>
      <c r="C3" s="446"/>
      <c r="D3" s="446"/>
      <c r="E3" s="446"/>
      <c r="F3" s="446"/>
      <c r="G3" s="446"/>
      <c r="H3" s="446"/>
    </row>
    <row r="4" spans="1:8" ht="15.75" thickBot="1" x14ac:dyDescent="0.3">
      <c r="A4" s="230" t="s">
        <v>158</v>
      </c>
      <c r="B4" s="368">
        <v>0.31940000000000002</v>
      </c>
    </row>
    <row r="5" spans="1:8" ht="15.75" thickBot="1" x14ac:dyDescent="0.3"/>
    <row r="6" spans="1:8" ht="30" x14ac:dyDescent="0.25">
      <c r="A6" s="3" t="s">
        <v>159</v>
      </c>
      <c r="B6" s="233" t="s">
        <v>160</v>
      </c>
      <c r="C6" s="233" t="s">
        <v>161</v>
      </c>
      <c r="D6" s="296" t="s">
        <v>162</v>
      </c>
      <c r="E6" s="235" t="s">
        <v>163</v>
      </c>
      <c r="F6" s="235" t="s">
        <v>164</v>
      </c>
      <c r="G6" s="235" t="s">
        <v>165</v>
      </c>
      <c r="H6" s="236" t="s">
        <v>166</v>
      </c>
    </row>
    <row r="7" spans="1:8" x14ac:dyDescent="0.25">
      <c r="A7" s="290" t="s">
        <v>191</v>
      </c>
      <c r="B7" s="405">
        <v>1850</v>
      </c>
      <c r="C7" s="308">
        <f>B7</f>
        <v>1850</v>
      </c>
      <c r="D7" s="369">
        <v>1766.92</v>
      </c>
      <c r="E7" s="307">
        <f>+D7</f>
        <v>1766.92</v>
      </c>
      <c r="F7" s="309">
        <f>ROUND(($B$4/0.6)*((1.6*E7/C7)-1),4)</f>
        <v>0.28120000000000001</v>
      </c>
      <c r="G7" s="308">
        <f>IF(F7&gt;0,F7*C7,0)</f>
        <v>520.22</v>
      </c>
      <c r="H7" s="319">
        <f>G7</f>
        <v>520.22</v>
      </c>
    </row>
    <row r="8" spans="1:8" x14ac:dyDescent="0.25">
      <c r="A8" s="290" t="s">
        <v>192</v>
      </c>
      <c r="B8" s="405">
        <v>1850</v>
      </c>
      <c r="C8" s="308">
        <f>C7+B8</f>
        <v>3700</v>
      </c>
      <c r="D8" s="369">
        <v>1766.92</v>
      </c>
      <c r="E8" s="307">
        <f>D8+E7</f>
        <v>3533.84</v>
      </c>
      <c r="F8" s="309">
        <f t="shared" ref="F8:F11" si="0">ROUND(($B$4/0.6)*((1.6*E8/C8)-1),4)</f>
        <v>0.28120000000000001</v>
      </c>
      <c r="G8" s="308">
        <f>IF(F8&gt;0,F8*C8,0)</f>
        <v>1040.44</v>
      </c>
      <c r="H8" s="319">
        <f>G8-G7</f>
        <v>520.22</v>
      </c>
    </row>
    <row r="9" spans="1:8" x14ac:dyDescent="0.25">
      <c r="A9" s="290" t="s">
        <v>193</v>
      </c>
      <c r="B9" s="405">
        <v>1850</v>
      </c>
      <c r="C9" s="308">
        <f t="shared" ref="C9:C11" si="1">C8+B9</f>
        <v>5550</v>
      </c>
      <c r="D9" s="369">
        <v>1766.92</v>
      </c>
      <c r="E9" s="307">
        <f t="shared" ref="E9:E11" si="2">D9+E8</f>
        <v>5300.76</v>
      </c>
      <c r="F9" s="309">
        <f t="shared" si="0"/>
        <v>0.28120000000000001</v>
      </c>
      <c r="G9" s="308">
        <f t="shared" ref="G9:G11" si="3">IF(F9&gt;0,F9*C9,0)</f>
        <v>1560.66</v>
      </c>
      <c r="H9" s="319">
        <f t="shared" ref="H9:H11" si="4">G9-G8</f>
        <v>520.22</v>
      </c>
    </row>
    <row r="10" spans="1:8" x14ac:dyDescent="0.25">
      <c r="A10" s="290" t="s">
        <v>194</v>
      </c>
      <c r="B10" s="405">
        <v>1850</v>
      </c>
      <c r="C10" s="308">
        <f t="shared" si="1"/>
        <v>7400</v>
      </c>
      <c r="D10" s="369">
        <v>1766.92</v>
      </c>
      <c r="E10" s="307">
        <f t="shared" si="2"/>
        <v>7067.68</v>
      </c>
      <c r="F10" s="309">
        <f t="shared" si="0"/>
        <v>0.28120000000000001</v>
      </c>
      <c r="G10" s="308">
        <f t="shared" si="3"/>
        <v>2080.88</v>
      </c>
      <c r="H10" s="319">
        <f t="shared" si="4"/>
        <v>520.22</v>
      </c>
    </row>
    <row r="11" spans="1:8" x14ac:dyDescent="0.25">
      <c r="A11" s="290" t="s">
        <v>195</v>
      </c>
      <c r="B11" s="405">
        <f>'Bulletin SALVI'!E37</f>
        <v>2007.6923076923078</v>
      </c>
      <c r="C11" s="308">
        <f t="shared" si="1"/>
        <v>9407.6923076923085</v>
      </c>
      <c r="D11" s="369">
        <v>1766.92</v>
      </c>
      <c r="E11" s="307">
        <f t="shared" si="2"/>
        <v>8834.6</v>
      </c>
      <c r="F11" s="309">
        <f t="shared" si="0"/>
        <v>0.26750000000000002</v>
      </c>
      <c r="G11" s="308">
        <f t="shared" si="3"/>
        <v>2516.5576923076928</v>
      </c>
      <c r="H11" s="319">
        <f t="shared" si="4"/>
        <v>435.67769230769272</v>
      </c>
    </row>
  </sheetData>
  <mergeCells count="1">
    <mergeCell ref="A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A379-1AD0-49C6-9C48-ADF3D637B6BB}">
  <dimension ref="B1:P187"/>
  <sheetViews>
    <sheetView topLeftCell="A22" zoomScaleNormal="100" workbookViewId="0">
      <selection activeCell="I90" sqref="I90"/>
    </sheetView>
  </sheetViews>
  <sheetFormatPr baseColWidth="10" defaultRowHeight="15" x14ac:dyDescent="0.25"/>
  <cols>
    <col min="1" max="1" width="11.42578125" style="11"/>
    <col min="2" max="2" width="63.5703125" style="1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2.42578125" style="11" bestFit="1" customWidth="1"/>
    <col min="11" max="11" width="12" style="11" bestFit="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1850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 t="s">
        <v>51</v>
      </c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/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36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63</v>
      </c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66</v>
      </c>
      <c r="J13" s="25"/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68</v>
      </c>
      <c r="J14" s="25"/>
    </row>
    <row r="15" spans="2:11" x14ac:dyDescent="0.25">
      <c r="B15" s="23"/>
      <c r="C15" s="21"/>
      <c r="D15" s="22"/>
      <c r="E15" s="23"/>
      <c r="F15" s="24"/>
      <c r="G15" s="25"/>
      <c r="I15" s="23" t="s">
        <v>69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8" t="s">
        <v>70</v>
      </c>
      <c r="J16" s="25"/>
    </row>
    <row r="17" spans="2:16" ht="15.75" thickBot="1" x14ac:dyDescent="0.3">
      <c r="B17" s="45" t="s">
        <v>71</v>
      </c>
      <c r="C17" s="447"/>
      <c r="D17" s="448"/>
      <c r="E17" s="46" t="s">
        <v>72</v>
      </c>
      <c r="F17" s="447"/>
      <c r="G17" s="449"/>
      <c r="I17" s="28" t="s">
        <v>73</v>
      </c>
      <c r="J17" s="320">
        <f>+E37</f>
        <v>2007.6923076923078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75</v>
      </c>
      <c r="J18" s="47">
        <v>0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3" t="s">
        <v>79</v>
      </c>
      <c r="J19" s="370">
        <v>0.31909999999999999</v>
      </c>
    </row>
    <row r="20" spans="2:16" s="56" customFormat="1" x14ac:dyDescent="0.25">
      <c r="B20" s="19" t="s">
        <v>11</v>
      </c>
      <c r="C20" s="57"/>
      <c r="D20" s="58"/>
      <c r="E20" s="26">
        <f>J3</f>
        <v>1850</v>
      </c>
      <c r="F20" s="59"/>
      <c r="G20" s="60"/>
      <c r="H20" s="11"/>
      <c r="I20" s="61" t="s">
        <v>80</v>
      </c>
      <c r="J20" s="62">
        <v>0.02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/>
      <c r="C21" s="64"/>
      <c r="D21" s="65"/>
      <c r="E21" s="66"/>
      <c r="F21" s="67"/>
      <c r="G21" s="68"/>
      <c r="I21" s="23" t="s">
        <v>81</v>
      </c>
      <c r="J21" s="72">
        <v>35</v>
      </c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>
        <f>+J11</f>
        <v>0</v>
      </c>
      <c r="D22" s="69">
        <f>E20/J5</f>
        <v>12.585034013605442</v>
      </c>
      <c r="E22" s="66">
        <f>-D22*C22</f>
        <v>0</v>
      </c>
      <c r="F22" s="67"/>
      <c r="G22" s="68"/>
      <c r="I22" s="23" t="s">
        <v>83</v>
      </c>
      <c r="J22" s="72">
        <v>40</v>
      </c>
      <c r="K22" s="11"/>
      <c r="L22" s="11"/>
      <c r="M22" s="11"/>
      <c r="N22" s="11"/>
      <c r="O22" s="11"/>
      <c r="P22" s="11"/>
    </row>
    <row r="23" spans="2:16" s="56" customFormat="1" x14ac:dyDescent="0.25">
      <c r="B23" s="63"/>
      <c r="C23" s="64"/>
      <c r="D23" s="65"/>
      <c r="E23" s="66"/>
      <c r="F23" s="67"/>
      <c r="G23" s="68"/>
      <c r="I23" s="23" t="s">
        <v>84</v>
      </c>
      <c r="K23" s="11"/>
      <c r="L23" s="11"/>
      <c r="M23" s="11"/>
      <c r="N23" s="11"/>
      <c r="O23" s="11"/>
      <c r="P23" s="11"/>
    </row>
    <row r="24" spans="2:16" ht="15.75" thickBot="1" x14ac:dyDescent="0.3">
      <c r="B24" s="23" t="s">
        <v>63</v>
      </c>
      <c r="C24" s="24">
        <f>J12</f>
        <v>0</v>
      </c>
      <c r="D24" s="71">
        <f>IF($J$4&gt;=151.67,$J$3/151.67*1.25,0)</f>
        <v>15.246917650161535</v>
      </c>
      <c r="E24" s="72">
        <f>D24*C24</f>
        <v>0</v>
      </c>
      <c r="F24" s="73"/>
      <c r="G24" s="74"/>
      <c r="I24" s="40" t="s">
        <v>85</v>
      </c>
      <c r="J24" s="70"/>
    </row>
    <row r="25" spans="2:16" ht="16.5" thickBot="1" x14ac:dyDescent="0.3">
      <c r="B25" s="23" t="s">
        <v>66</v>
      </c>
      <c r="C25" s="24">
        <f>J13</f>
        <v>0</v>
      </c>
      <c r="D25" s="71">
        <f>IF($J$4&gt;=151.67,$J$3/151.67*1.5,0)</f>
        <v>18.296301180193844</v>
      </c>
      <c r="E25" s="72">
        <f>D25*C25</f>
        <v>0</v>
      </c>
      <c r="F25" s="73"/>
      <c r="G25" s="76"/>
      <c r="I25" s="4" t="s">
        <v>86</v>
      </c>
      <c r="J25" s="75">
        <v>0</v>
      </c>
      <c r="K25" s="78"/>
    </row>
    <row r="26" spans="2:16" ht="15.75" thickBot="1" x14ac:dyDescent="0.3">
      <c r="B26" s="23" t="s">
        <v>68</v>
      </c>
      <c r="C26" s="24">
        <f>J14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79" t="s">
        <v>87</v>
      </c>
      <c r="J26" s="77"/>
    </row>
    <row r="27" spans="2:16" ht="15.75" thickBot="1" x14ac:dyDescent="0.3">
      <c r="B27" s="23" t="s">
        <v>69</v>
      </c>
      <c r="C27" s="24">
        <f>J15</f>
        <v>0</v>
      </c>
      <c r="D27" s="24">
        <f>IF($J$4&lt;151.67,$E$20/151.67*1.1,0)</f>
        <v>0</v>
      </c>
      <c r="E27" s="72">
        <f t="shared" si="0"/>
        <v>0</v>
      </c>
      <c r="F27" s="73"/>
      <c r="G27" s="76"/>
      <c r="J27" s="80"/>
    </row>
    <row r="28" spans="2:16" x14ac:dyDescent="0.25">
      <c r="B28" s="23"/>
      <c r="C28" s="24"/>
      <c r="D28" s="24"/>
      <c r="E28" s="72"/>
      <c r="F28" s="73"/>
      <c r="G28" s="76"/>
    </row>
    <row r="29" spans="2:16" ht="27" x14ac:dyDescent="0.25">
      <c r="B29" s="23" t="s">
        <v>88</v>
      </c>
      <c r="C29" s="81">
        <v>6</v>
      </c>
      <c r="D29" s="71">
        <f>E178</f>
        <v>71.15384615384616</v>
      </c>
      <c r="E29" s="72">
        <f>+-D29*C29</f>
        <v>-426.92307692307696</v>
      </c>
      <c r="F29" s="82"/>
      <c r="G29" s="83"/>
      <c r="I29" s="84"/>
    </row>
    <row r="30" spans="2:16" x14ac:dyDescent="0.25">
      <c r="B30" s="23" t="s">
        <v>89</v>
      </c>
      <c r="C30" s="81"/>
      <c r="D30" s="24"/>
      <c r="E30" s="72">
        <f>-E29</f>
        <v>426.92307692307696</v>
      </c>
      <c r="F30" s="82"/>
      <c r="G30" s="83"/>
    </row>
    <row r="31" spans="2:16" x14ac:dyDescent="0.25">
      <c r="B31" s="23" t="s">
        <v>301</v>
      </c>
      <c r="C31" s="85"/>
      <c r="D31" s="86"/>
      <c r="E31" s="87">
        <f>I187</f>
        <v>157.69230769230785</v>
      </c>
      <c r="F31" s="88"/>
      <c r="G31" s="89"/>
    </row>
    <row r="32" spans="2:16" ht="15.75" thickBot="1" x14ac:dyDescent="0.3">
      <c r="B32" s="90" t="s">
        <v>90</v>
      </c>
      <c r="C32" s="91"/>
      <c r="D32" s="92"/>
      <c r="E32" s="93"/>
      <c r="F32" s="94"/>
      <c r="G32" s="95"/>
    </row>
    <row r="33" spans="2:7" x14ac:dyDescent="0.25">
      <c r="B33" s="96" t="s">
        <v>91</v>
      </c>
      <c r="C33" s="97"/>
      <c r="D33" s="98"/>
      <c r="E33" s="99"/>
      <c r="F33" s="100"/>
      <c r="G33" s="101"/>
    </row>
    <row r="34" spans="2:7" x14ac:dyDescent="0.25">
      <c r="B34" s="90" t="s">
        <v>28</v>
      </c>
      <c r="C34" s="97"/>
      <c r="D34" s="98"/>
      <c r="E34" s="99"/>
      <c r="F34" s="100"/>
      <c r="G34" s="101"/>
    </row>
    <row r="35" spans="2:7" x14ac:dyDescent="0.25">
      <c r="B35" s="96"/>
      <c r="C35" s="97"/>
      <c r="D35" s="98"/>
      <c r="E35" s="99"/>
      <c r="F35" s="100"/>
      <c r="G35" s="101"/>
    </row>
    <row r="36" spans="2:7" ht="15.75" thickBot="1" x14ac:dyDescent="0.3">
      <c r="B36" s="102" t="s">
        <v>92</v>
      </c>
      <c r="C36" s="97">
        <f>J26</f>
        <v>0</v>
      </c>
      <c r="D36" s="98">
        <f>J25</f>
        <v>0</v>
      </c>
      <c r="E36" s="103">
        <f>C36*D36</f>
        <v>0</v>
      </c>
      <c r="F36" s="100"/>
      <c r="G36" s="101"/>
    </row>
    <row r="37" spans="2:7" ht="16.5" thickTop="1" thickBot="1" x14ac:dyDescent="0.3">
      <c r="B37" s="104" t="s">
        <v>93</v>
      </c>
      <c r="C37" s="105"/>
      <c r="D37" s="106"/>
      <c r="E37" s="107">
        <f>SUM(E20:E36)</f>
        <v>2007.6923076923078</v>
      </c>
      <c r="F37" s="100"/>
      <c r="G37" s="101"/>
    </row>
    <row r="38" spans="2:7" ht="15.75" thickBot="1" x14ac:dyDescent="0.3">
      <c r="B38" s="108"/>
      <c r="C38" s="109"/>
      <c r="D38" s="110"/>
      <c r="E38" s="110"/>
      <c r="F38" s="111"/>
      <c r="G38" s="112"/>
    </row>
    <row r="39" spans="2:7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</row>
    <row r="40" spans="2:7" x14ac:dyDescent="0.25">
      <c r="B40" s="116" t="s">
        <v>99</v>
      </c>
      <c r="C40" s="117"/>
      <c r="D40" s="118"/>
      <c r="E40" s="118"/>
      <c r="F40" s="119"/>
      <c r="G40" s="120"/>
    </row>
    <row r="41" spans="2:7" x14ac:dyDescent="0.25">
      <c r="B41" s="121" t="s">
        <v>100</v>
      </c>
      <c r="C41" s="97">
        <f>$E$37</f>
        <v>2007.6923076923078</v>
      </c>
      <c r="D41" s="122"/>
      <c r="E41" s="123"/>
      <c r="F41" s="124">
        <f>IF(E37&lt;=2.5*J9*151.6667,7%,13%)</f>
        <v>0.13</v>
      </c>
      <c r="G41" s="125">
        <f>F41*C41</f>
        <v>261.00000000000006</v>
      </c>
    </row>
    <row r="42" spans="2:7" x14ac:dyDescent="0.25">
      <c r="B42" s="121" t="s">
        <v>101</v>
      </c>
      <c r="C42" s="97">
        <f>$J$17</f>
        <v>2007.6923076923078</v>
      </c>
      <c r="D42" s="126"/>
      <c r="E42" s="127"/>
      <c r="F42" s="128">
        <f>J24</f>
        <v>0</v>
      </c>
      <c r="G42" s="125">
        <f>F42*C42</f>
        <v>0</v>
      </c>
    </row>
    <row r="43" spans="2:7" x14ac:dyDescent="0.25">
      <c r="B43" s="121" t="s">
        <v>102</v>
      </c>
      <c r="C43" s="97">
        <f>$J$18</f>
        <v>0</v>
      </c>
      <c r="D43" s="126"/>
      <c r="E43" s="127"/>
      <c r="F43" s="128"/>
      <c r="G43" s="125">
        <f>F43*C43</f>
        <v>0</v>
      </c>
    </row>
    <row r="44" spans="2:7" x14ac:dyDescent="0.25">
      <c r="B44" s="121" t="s">
        <v>103</v>
      </c>
      <c r="C44" s="97">
        <v>3864</v>
      </c>
      <c r="D44" s="126">
        <v>0.01</v>
      </c>
      <c r="E44" s="127">
        <f>+D44*C44</f>
        <v>38.64</v>
      </c>
      <c r="F44" s="128">
        <v>0.01</v>
      </c>
      <c r="G44" s="125">
        <f>+F44*C44</f>
        <v>38.64</v>
      </c>
    </row>
    <row r="45" spans="2:7" x14ac:dyDescent="0.25">
      <c r="B45" s="129" t="s">
        <v>104</v>
      </c>
      <c r="C45" s="97">
        <f>J17+J18</f>
        <v>2007.6923076923078</v>
      </c>
      <c r="E45" s="97"/>
      <c r="F45" s="130">
        <f>J7</f>
        <v>3.5999999999999997E-2</v>
      </c>
      <c r="G45" s="125">
        <f>F45*C45</f>
        <v>72.276923076923083</v>
      </c>
    </row>
    <row r="46" spans="2:7" x14ac:dyDescent="0.25">
      <c r="B46" s="116" t="s">
        <v>105</v>
      </c>
      <c r="C46" s="117"/>
      <c r="D46" s="118"/>
      <c r="E46" s="118"/>
      <c r="F46" s="119"/>
      <c r="G46" s="120"/>
    </row>
    <row r="47" spans="2:7" x14ac:dyDescent="0.25">
      <c r="B47" s="121" t="s">
        <v>106</v>
      </c>
      <c r="C47" s="97">
        <f>$J$17</f>
        <v>2007.6923076923078</v>
      </c>
      <c r="D47" s="126">
        <v>6.9000000000000006E-2</v>
      </c>
      <c r="E47" s="127">
        <f>D47*C47</f>
        <v>138.53076923076927</v>
      </c>
      <c r="F47" s="128">
        <v>8.5500000000000007E-2</v>
      </c>
      <c r="G47" s="125">
        <f>F47*C47</f>
        <v>171.65769230769234</v>
      </c>
    </row>
    <row r="48" spans="2:7" x14ac:dyDescent="0.25">
      <c r="B48" s="121" t="s">
        <v>107</v>
      </c>
      <c r="C48" s="97">
        <f>$E$37</f>
        <v>2007.6923076923078</v>
      </c>
      <c r="D48" s="126">
        <v>4.0000000000000001E-3</v>
      </c>
      <c r="E48" s="127">
        <f t="shared" ref="E48:E51" si="1">D48*C48</f>
        <v>8.0307692307692324</v>
      </c>
      <c r="F48" s="128">
        <v>1.9E-2</v>
      </c>
      <c r="G48" s="125">
        <f t="shared" ref="G48:G51" si="2">F48*C48</f>
        <v>38.146153846153851</v>
      </c>
    </row>
    <row r="49" spans="2:7" x14ac:dyDescent="0.25">
      <c r="B49" s="121" t="s">
        <v>108</v>
      </c>
      <c r="C49" s="97">
        <f>$J$17</f>
        <v>2007.6923076923078</v>
      </c>
      <c r="D49" s="126">
        <v>4.0099999999999997E-2</v>
      </c>
      <c r="E49" s="127">
        <f t="shared" si="1"/>
        <v>80.508461538461532</v>
      </c>
      <c r="F49" s="128">
        <v>6.0100000000000001E-2</v>
      </c>
      <c r="G49" s="125">
        <f t="shared" si="2"/>
        <v>120.66230769230771</v>
      </c>
    </row>
    <row r="50" spans="2:7" x14ac:dyDescent="0.25">
      <c r="B50" s="121" t="s">
        <v>109</v>
      </c>
      <c r="C50" s="97">
        <f>+J18</f>
        <v>0</v>
      </c>
      <c r="D50" s="126">
        <v>9.7199999999999995E-2</v>
      </c>
      <c r="E50" s="127">
        <f t="shared" si="1"/>
        <v>0</v>
      </c>
      <c r="F50" s="128">
        <v>0.1457</v>
      </c>
      <c r="G50" s="125">
        <f t="shared" si="2"/>
        <v>0</v>
      </c>
    </row>
    <row r="51" spans="2:7" x14ac:dyDescent="0.25">
      <c r="B51" s="121" t="s">
        <v>110</v>
      </c>
      <c r="C51" s="97"/>
      <c r="D51" s="126">
        <v>1.4E-3</v>
      </c>
      <c r="E51" s="127">
        <f t="shared" si="1"/>
        <v>0</v>
      </c>
      <c r="F51" s="128">
        <v>2.0999999999999999E-3</v>
      </c>
      <c r="G51" s="125">
        <f t="shared" si="2"/>
        <v>0</v>
      </c>
    </row>
    <row r="52" spans="2:7" x14ac:dyDescent="0.25">
      <c r="B52" s="121" t="s">
        <v>111</v>
      </c>
      <c r="C52" s="97"/>
      <c r="D52" s="126"/>
      <c r="E52" s="127"/>
      <c r="F52" s="128"/>
      <c r="G52" s="125"/>
    </row>
    <row r="53" spans="2:7" x14ac:dyDescent="0.25">
      <c r="B53" s="116" t="s">
        <v>112</v>
      </c>
      <c r="C53" s="97">
        <f>$E$37</f>
        <v>2007.6923076923078</v>
      </c>
      <c r="D53" s="131"/>
      <c r="E53" s="97"/>
      <c r="F53" s="128">
        <v>3.4500000000000003E-2</v>
      </c>
      <c r="G53" s="132">
        <f>F53*C53</f>
        <v>69.265384615384633</v>
      </c>
    </row>
    <row r="54" spans="2:7" x14ac:dyDescent="0.25">
      <c r="B54" s="116" t="s">
        <v>113</v>
      </c>
      <c r="C54" s="97"/>
      <c r="D54" s="131"/>
      <c r="E54" s="97"/>
      <c r="F54" s="133"/>
      <c r="G54" s="125"/>
    </row>
    <row r="55" spans="2:7" x14ac:dyDescent="0.25">
      <c r="B55" s="121" t="s">
        <v>114</v>
      </c>
      <c r="C55" s="97">
        <f>E37</f>
        <v>2007.6923076923078</v>
      </c>
      <c r="D55" s="131"/>
      <c r="E55" s="97"/>
      <c r="F55" s="134">
        <v>4.2000000000000003E-2</v>
      </c>
      <c r="G55" s="125">
        <f t="shared" ref="G55" si="3">F55*C55</f>
        <v>84.32307692307694</v>
      </c>
    </row>
    <row r="56" spans="2:7" x14ac:dyDescent="0.25">
      <c r="B56" s="121" t="s">
        <v>115</v>
      </c>
      <c r="C56" s="97"/>
      <c r="D56" s="135">
        <v>2.4000000000000001E-4</v>
      </c>
      <c r="E56" s="136">
        <f>D56*C56</f>
        <v>0</v>
      </c>
      <c r="F56" s="133">
        <v>3.6000000000000002E-4</v>
      </c>
      <c r="G56" s="137">
        <f>C56*F56</f>
        <v>0</v>
      </c>
    </row>
    <row r="57" spans="2:7" x14ac:dyDescent="0.25">
      <c r="B57" s="116" t="s">
        <v>116</v>
      </c>
      <c r="C57" s="97"/>
      <c r="D57" s="131"/>
      <c r="E57" s="97"/>
      <c r="F57" s="133"/>
      <c r="G57" s="125">
        <f>E103</f>
        <v>32.72538461538462</v>
      </c>
    </row>
    <row r="58" spans="2:7" x14ac:dyDescent="0.25">
      <c r="B58" s="129"/>
      <c r="C58" s="97"/>
      <c r="D58" s="97"/>
      <c r="E58" s="97"/>
      <c r="F58" s="97"/>
      <c r="G58" s="138"/>
    </row>
    <row r="59" spans="2:7" ht="25.5" x14ac:dyDescent="0.25">
      <c r="B59" s="139" t="s">
        <v>117</v>
      </c>
      <c r="C59" s="97"/>
      <c r="D59" s="97"/>
      <c r="E59" s="97"/>
      <c r="F59" s="97"/>
      <c r="G59" s="138"/>
    </row>
    <row r="60" spans="2:7" x14ac:dyDescent="0.25">
      <c r="B60" s="129"/>
      <c r="C60" s="97"/>
      <c r="D60" s="135"/>
      <c r="E60" s="97"/>
      <c r="F60" s="140"/>
      <c r="G60" s="125"/>
    </row>
    <row r="61" spans="2:7" x14ac:dyDescent="0.25">
      <c r="B61" s="129" t="s">
        <v>118</v>
      </c>
      <c r="C61" s="97">
        <f>(E37-E24-E25-E26-E27)*0.9825+G42+G43+G44</f>
        <v>2011.1976923076927</v>
      </c>
      <c r="D61" s="126">
        <v>6.8000000000000005E-2</v>
      </c>
      <c r="E61" s="127">
        <f>D61*C61</f>
        <v>136.76144307692311</v>
      </c>
      <c r="F61" s="128"/>
      <c r="G61" s="125"/>
    </row>
    <row r="62" spans="2:7" x14ac:dyDescent="0.25">
      <c r="B62" s="129" t="s">
        <v>119</v>
      </c>
      <c r="C62" s="97">
        <f>C61</f>
        <v>2011.1976923076927</v>
      </c>
      <c r="D62" s="126">
        <v>2.9000000000000001E-2</v>
      </c>
      <c r="E62" s="127">
        <f>D62*C62</f>
        <v>58.324733076923089</v>
      </c>
      <c r="F62" s="128"/>
      <c r="G62" s="125"/>
    </row>
    <row r="63" spans="2:7" ht="25.5" x14ac:dyDescent="0.25">
      <c r="B63" s="141" t="s">
        <v>120</v>
      </c>
      <c r="C63" s="97">
        <f>(E24+E25+E26+E27)*0.9825</f>
        <v>0</v>
      </c>
      <c r="D63" s="126">
        <v>9.7000000000000003E-2</v>
      </c>
      <c r="E63" s="127">
        <f>D63*C63</f>
        <v>0</v>
      </c>
      <c r="F63" s="128"/>
      <c r="G63" s="125"/>
    </row>
    <row r="64" spans="2:7" x14ac:dyDescent="0.25">
      <c r="B64" s="383" t="s">
        <v>257</v>
      </c>
      <c r="C64" s="126"/>
      <c r="D64" s="126"/>
      <c r="E64" s="127"/>
      <c r="F64" s="128"/>
      <c r="G64" s="125">
        <f>-'REGUL SALVI'!H11</f>
        <v>-435.67769230769272</v>
      </c>
    </row>
    <row r="65" spans="2:7" x14ac:dyDescent="0.25">
      <c r="B65" s="141"/>
      <c r="C65" s="142"/>
      <c r="D65" s="126"/>
      <c r="E65" s="127"/>
      <c r="F65" s="128"/>
      <c r="G65" s="125"/>
    </row>
    <row r="66" spans="2:7" ht="15.75" thickBot="1" x14ac:dyDescent="0.3">
      <c r="B66" s="143"/>
      <c r="C66" s="144">
        <f>IF(AND(J4=151.67,J6&lt;20),C24+C25,0)</f>
        <v>0</v>
      </c>
      <c r="D66" s="145"/>
      <c r="E66" s="146"/>
      <c r="F66" s="147"/>
      <c r="G66" s="148"/>
    </row>
    <row r="67" spans="2:7" ht="15.75" thickBot="1" x14ac:dyDescent="0.3">
      <c r="B67" s="149" t="s">
        <v>124</v>
      </c>
      <c r="C67" s="150"/>
      <c r="D67" s="151"/>
      <c r="E67" s="152">
        <f>SUM(E41:E66)</f>
        <v>460.79617615384626</v>
      </c>
      <c r="F67" s="153"/>
      <c r="G67" s="154">
        <f>SUM(G41:G66)</f>
        <v>453.01923076923072</v>
      </c>
    </row>
    <row r="68" spans="2:7" x14ac:dyDescent="0.25">
      <c r="B68" s="155"/>
      <c r="C68" s="156"/>
      <c r="D68" s="157"/>
      <c r="E68" s="158"/>
      <c r="F68" s="159"/>
      <c r="G68" s="160"/>
    </row>
    <row r="69" spans="2:7" x14ac:dyDescent="0.25">
      <c r="B69" s="121" t="s">
        <v>125</v>
      </c>
      <c r="C69" s="127"/>
      <c r="D69" s="161"/>
      <c r="E69" s="162"/>
      <c r="F69" s="163"/>
      <c r="G69" s="164"/>
    </row>
    <row r="70" spans="2:7" x14ac:dyDescent="0.25">
      <c r="B70" s="121" t="s">
        <v>126</v>
      </c>
      <c r="C70" s="127"/>
      <c r="D70" s="161"/>
      <c r="E70" s="162"/>
      <c r="F70" s="163"/>
      <c r="G70" s="164"/>
    </row>
    <row r="71" spans="2:7" x14ac:dyDescent="0.25">
      <c r="B71" s="121" t="s">
        <v>127</v>
      </c>
      <c r="C71" s="127"/>
      <c r="D71" s="161"/>
      <c r="E71" s="127"/>
      <c r="F71" s="163"/>
      <c r="G71" s="164"/>
    </row>
    <row r="72" spans="2:7" ht="15.75" customHeight="1" x14ac:dyDescent="0.25">
      <c r="B72" s="165" t="s">
        <v>128</v>
      </c>
      <c r="C72" s="359">
        <v>18</v>
      </c>
      <c r="D72" s="161">
        <f>7*0.4</f>
        <v>2.8000000000000003</v>
      </c>
      <c r="E72" s="166">
        <f>-D72*C72</f>
        <v>-50.400000000000006</v>
      </c>
      <c r="F72" s="163"/>
      <c r="G72" s="164"/>
    </row>
    <row r="73" spans="2:7" x14ac:dyDescent="0.25">
      <c r="B73" s="167" t="s">
        <v>129</v>
      </c>
      <c r="D73" s="168"/>
      <c r="E73" s="169"/>
      <c r="F73" s="170"/>
      <c r="G73" s="164"/>
    </row>
    <row r="74" spans="2:7" x14ac:dyDescent="0.25">
      <c r="B74" s="171"/>
      <c r="C74" s="127"/>
      <c r="D74" s="161"/>
      <c r="E74" s="172"/>
      <c r="F74" s="163"/>
      <c r="G74" s="164"/>
    </row>
    <row r="75" spans="2:7" ht="15.75" thickBot="1" x14ac:dyDescent="0.3">
      <c r="B75" s="143" t="s">
        <v>288</v>
      </c>
      <c r="C75" s="146"/>
      <c r="D75" s="173"/>
      <c r="E75" s="174"/>
      <c r="F75" s="175"/>
      <c r="G75" s="148">
        <f>+E37-E67</f>
        <v>1546.8961315384615</v>
      </c>
    </row>
    <row r="76" spans="2:7" ht="15.75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1496.4961315384614</v>
      </c>
    </row>
    <row r="77" spans="2:7" ht="28.5" x14ac:dyDescent="0.25">
      <c r="B77" s="178" t="s">
        <v>131</v>
      </c>
      <c r="C77" s="179"/>
      <c r="D77" s="180"/>
      <c r="E77" s="181"/>
      <c r="F77" s="182"/>
      <c r="G77" s="183">
        <f>E110</f>
        <v>29.051946923076919</v>
      </c>
    </row>
    <row r="78" spans="2:7" x14ac:dyDescent="0.25">
      <c r="B78" s="384" t="s">
        <v>132</v>
      </c>
      <c r="C78" s="384" t="s">
        <v>133</v>
      </c>
      <c r="D78" s="384" t="s">
        <v>96</v>
      </c>
      <c r="E78" s="385" t="s">
        <v>134</v>
      </c>
      <c r="F78" s="385"/>
      <c r="G78" s="386" t="s">
        <v>258</v>
      </c>
    </row>
    <row r="79" spans="2:7" x14ac:dyDescent="0.25">
      <c r="B79" s="387" t="s">
        <v>259</v>
      </c>
      <c r="C79" s="388"/>
      <c r="D79" s="389"/>
      <c r="E79" s="390">
        <f>E37+G44+E62-E67</f>
        <v>1643.8608646153848</v>
      </c>
      <c r="F79" s="391"/>
      <c r="G79" s="392"/>
    </row>
    <row r="80" spans="2:7" x14ac:dyDescent="0.25">
      <c r="B80" s="387" t="s">
        <v>260</v>
      </c>
      <c r="C80" s="393">
        <f>E79</f>
        <v>1643.8608646153848</v>
      </c>
      <c r="D80" s="394">
        <v>0.02</v>
      </c>
      <c r="E80" s="390">
        <f>D80*C80</f>
        <v>32.877217292307698</v>
      </c>
      <c r="F80" s="391"/>
      <c r="G80" s="392"/>
    </row>
    <row r="81" spans="2:7" x14ac:dyDescent="0.25">
      <c r="B81" s="387" t="s">
        <v>261</v>
      </c>
      <c r="C81" s="388"/>
      <c r="D81" s="390"/>
      <c r="E81" s="389"/>
      <c r="F81" s="391"/>
      <c r="G81" s="392"/>
    </row>
    <row r="82" spans="2:7" x14ac:dyDescent="0.25">
      <c r="B82" s="387"/>
      <c r="C82" s="388"/>
      <c r="D82" s="389"/>
      <c r="E82" s="389"/>
      <c r="F82" s="391"/>
      <c r="G82" s="395"/>
    </row>
    <row r="83" spans="2:7" x14ac:dyDescent="0.25">
      <c r="B83" s="396" t="s">
        <v>262</v>
      </c>
      <c r="C83" s="389"/>
      <c r="D83" s="389"/>
      <c r="E83" s="389"/>
      <c r="F83" s="391"/>
      <c r="G83" s="392"/>
    </row>
    <row r="84" spans="2:7" x14ac:dyDescent="0.25">
      <c r="B84" s="387" t="s">
        <v>263</v>
      </c>
      <c r="C84" s="389"/>
      <c r="D84" s="389"/>
      <c r="E84" s="390">
        <f>E118</f>
        <v>592.27769230769275</v>
      </c>
      <c r="F84" s="391"/>
      <c r="G84" s="392"/>
    </row>
    <row r="85" spans="2:7" x14ac:dyDescent="0.25">
      <c r="B85" s="387" t="s">
        <v>264</v>
      </c>
      <c r="C85" s="397"/>
      <c r="D85" s="389"/>
      <c r="E85" s="390">
        <f>E37+G67</f>
        <v>2460.7115384615386</v>
      </c>
      <c r="F85" s="391"/>
      <c r="G85" s="392"/>
    </row>
    <row r="86" spans="2:7" ht="15" customHeight="1" thickBot="1" x14ac:dyDescent="0.3">
      <c r="B86" s="398" t="s">
        <v>138</v>
      </c>
      <c r="C86" s="187"/>
      <c r="D86" s="187"/>
      <c r="E86" s="187"/>
      <c r="F86" s="399"/>
      <c r="G86" s="400"/>
    </row>
    <row r="87" spans="2:7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2:7" s="189" customFormat="1" ht="15.75" thickBot="1" x14ac:dyDescent="0.3">
      <c r="B90" s="453" t="s">
        <v>116</v>
      </c>
      <c r="C90" s="454"/>
      <c r="D90" s="11"/>
      <c r="E90" s="11"/>
    </row>
    <row r="91" spans="2:7" s="189" customFormat="1" x14ac:dyDescent="0.25">
      <c r="B91" s="190"/>
      <c r="C91" s="191"/>
      <c r="D91" s="455">
        <f>+E37</f>
        <v>2007.6923076923078</v>
      </c>
      <c r="E91" s="192"/>
    </row>
    <row r="92" spans="2:7" s="189" customFormat="1" x14ac:dyDescent="0.25">
      <c r="B92" s="193" t="s">
        <v>139</v>
      </c>
      <c r="C92" s="194">
        <f>IF(J6&gt;=11,J8,0)</f>
        <v>0</v>
      </c>
      <c r="D92" s="456"/>
      <c r="E92" s="195">
        <f>C92*$D$91</f>
        <v>0</v>
      </c>
    </row>
    <row r="93" spans="2:7" s="189" customFormat="1" x14ac:dyDescent="0.25">
      <c r="B93" s="193" t="s">
        <v>140</v>
      </c>
      <c r="C93" s="194">
        <f>IF(J6&lt;50,0%,0.5%)</f>
        <v>0</v>
      </c>
      <c r="D93" s="456"/>
      <c r="E93" s="195">
        <f t="shared" ref="E93:E98" si="4">C93*$D$91</f>
        <v>0</v>
      </c>
    </row>
    <row r="94" spans="2:7" s="189" customFormat="1" x14ac:dyDescent="0.25">
      <c r="B94" s="193" t="s">
        <v>141</v>
      </c>
      <c r="C94" s="194"/>
      <c r="D94" s="456"/>
      <c r="E94" s="195">
        <f t="shared" si="4"/>
        <v>0</v>
      </c>
    </row>
    <row r="95" spans="2:7" s="189" customFormat="1" x14ac:dyDescent="0.25">
      <c r="B95" s="193" t="s">
        <v>142</v>
      </c>
      <c r="C95" s="194">
        <v>3.0000000000000001E-3</v>
      </c>
      <c r="D95" s="456"/>
      <c r="E95" s="195">
        <f t="shared" si="4"/>
        <v>6.0230769230769239</v>
      </c>
    </row>
    <row r="96" spans="2:7" s="189" customFormat="1" x14ac:dyDescent="0.25">
      <c r="B96" s="193" t="s">
        <v>143</v>
      </c>
      <c r="C96" s="194">
        <v>6.7999999999999996E-3</v>
      </c>
      <c r="D96" s="456"/>
      <c r="E96" s="195">
        <f t="shared" si="4"/>
        <v>13.652307692307692</v>
      </c>
    </row>
    <row r="97" spans="2:5" s="189" customFormat="1" x14ac:dyDescent="0.25">
      <c r="B97" s="193" t="s">
        <v>144</v>
      </c>
      <c r="C97" s="194">
        <f>IF(J6&lt;11,0.55%,1%)</f>
        <v>5.5000000000000005E-3</v>
      </c>
      <c r="D97" s="456"/>
      <c r="E97" s="195">
        <f t="shared" si="4"/>
        <v>11.042307692307695</v>
      </c>
    </row>
    <row r="98" spans="2:5" s="189" customFormat="1" x14ac:dyDescent="0.25">
      <c r="B98" s="193"/>
      <c r="C98" s="194">
        <f>IF(J6&lt;=50,0,0.45%)</f>
        <v>0</v>
      </c>
      <c r="D98" s="456"/>
      <c r="E98" s="195">
        <f t="shared" si="4"/>
        <v>0</v>
      </c>
    </row>
    <row r="99" spans="2:5" s="189" customFormat="1" x14ac:dyDescent="0.25">
      <c r="B99" s="23"/>
      <c r="C99" s="24"/>
      <c r="D99" s="24"/>
      <c r="E99" s="25"/>
    </row>
    <row r="100" spans="2:5" s="189" customFormat="1" x14ac:dyDescent="0.25">
      <c r="B100" s="23" t="s">
        <v>145</v>
      </c>
      <c r="C100" s="196">
        <f>IF(J6&gt;=11,+G42+G43+G44,0)</f>
        <v>0</v>
      </c>
      <c r="D100" s="197">
        <v>0.08</v>
      </c>
      <c r="E100" s="198">
        <f>D100*C100</f>
        <v>0</v>
      </c>
    </row>
    <row r="101" spans="2:5" s="189" customFormat="1" ht="15.75" thickBot="1" x14ac:dyDescent="0.3">
      <c r="B101" s="40" t="s">
        <v>146</v>
      </c>
      <c r="C101" s="199">
        <f>IF(J6&lt;50,J17,0)</f>
        <v>2007.6923076923078</v>
      </c>
      <c r="D101" s="200">
        <v>1E-3</v>
      </c>
      <c r="E101" s="201">
        <f>D101*C101</f>
        <v>2.0076923076923081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ht="15.75" thickBot="1" x14ac:dyDescent="0.3">
      <c r="B103" s="202" t="s">
        <v>147</v>
      </c>
      <c r="C103" s="203"/>
      <c r="D103" s="203"/>
      <c r="E103" s="204">
        <f>SUM(E92:E101)</f>
        <v>32.72538461538462</v>
      </c>
    </row>
    <row r="104" spans="2:5" s="189" customFormat="1" ht="15.75" thickBot="1" x14ac:dyDescent="0.3">
      <c r="B104" s="11"/>
      <c r="C104" s="11"/>
      <c r="D104" s="11"/>
      <c r="E104" s="11"/>
    </row>
    <row r="105" spans="2:5" s="189" customFormat="1" thickBot="1" x14ac:dyDescent="0.3">
      <c r="B105" s="457" t="s">
        <v>148</v>
      </c>
      <c r="C105" s="458"/>
      <c r="D105" s="458"/>
      <c r="E105" s="459"/>
    </row>
    <row r="106" spans="2:5" s="189" customFormat="1" x14ac:dyDescent="0.25">
      <c r="B106" s="205" t="s">
        <v>149</v>
      </c>
      <c r="C106" s="206">
        <f>E37</f>
        <v>2007.6923076923078</v>
      </c>
      <c r="D106" s="207">
        <v>2.4E-2</v>
      </c>
      <c r="E106" s="208">
        <f>D106*C106</f>
        <v>48.184615384615391</v>
      </c>
    </row>
    <row r="107" spans="2:5" s="189" customFormat="1" x14ac:dyDescent="0.25">
      <c r="B107" s="209" t="s">
        <v>17</v>
      </c>
      <c r="C107" s="206">
        <f>C106</f>
        <v>2007.6923076923078</v>
      </c>
      <c r="D107" s="210">
        <v>7.4999999999999997E-3</v>
      </c>
      <c r="E107" s="211">
        <f t="shared" ref="E107:E108" si="5">D107*C107</f>
        <v>15.057692307692308</v>
      </c>
    </row>
    <row r="108" spans="2:5" s="189" customFormat="1" x14ac:dyDescent="0.25">
      <c r="B108" s="209" t="s">
        <v>150</v>
      </c>
      <c r="C108" s="206">
        <f>C61+C63</f>
        <v>2011.1976923076927</v>
      </c>
      <c r="D108" s="210">
        <v>-1.7000000000000001E-2</v>
      </c>
      <c r="E108" s="211">
        <f t="shared" si="5"/>
        <v>-34.190360769230779</v>
      </c>
    </row>
    <row r="109" spans="2:5" s="189" customFormat="1" x14ac:dyDescent="0.25">
      <c r="B109" s="184"/>
      <c r="C109" s="212"/>
      <c r="D109" s="213"/>
      <c r="E109" s="214"/>
    </row>
    <row r="110" spans="2:5" s="189" customFormat="1" ht="15.75" thickBot="1" x14ac:dyDescent="0.3">
      <c r="B110" s="215" t="s">
        <v>151</v>
      </c>
      <c r="C110" s="216"/>
      <c r="D110" s="217"/>
      <c r="E110" s="218">
        <f>SUM(E106:E109)</f>
        <v>29.051946923076919</v>
      </c>
    </row>
    <row r="111" spans="2:5" s="189" customFormat="1" ht="12.75" x14ac:dyDescent="0.25"/>
    <row r="112" spans="2:5" s="189" customFormat="1" ht="13.5" thickBot="1" x14ac:dyDescent="0.3"/>
    <row r="113" spans="2:9" s="189" customFormat="1" thickBot="1" x14ac:dyDescent="0.3">
      <c r="B113" s="457" t="s">
        <v>152</v>
      </c>
      <c r="C113" s="458"/>
      <c r="D113" s="458"/>
      <c r="E113" s="459"/>
    </row>
    <row r="114" spans="2:9" s="189" customFormat="1" ht="15.75" customHeight="1" x14ac:dyDescent="0.25">
      <c r="B114" s="219" t="s">
        <v>153</v>
      </c>
      <c r="C114" s="220"/>
      <c r="D114" s="220"/>
      <c r="E114" s="221">
        <f>G64*-1</f>
        <v>435.67769230769272</v>
      </c>
    </row>
    <row r="115" spans="2:9" s="189" customFormat="1" ht="15.75" customHeight="1" x14ac:dyDescent="0.25">
      <c r="B115" s="222" t="s">
        <v>154</v>
      </c>
      <c r="C115" s="223">
        <f>C66</f>
        <v>0</v>
      </c>
      <c r="D115" s="224">
        <v>1.5</v>
      </c>
      <c r="E115" s="225">
        <f>D115*C115</f>
        <v>0</v>
      </c>
    </row>
    <row r="116" spans="2:9" s="189" customFormat="1" ht="15.75" customHeight="1" x14ac:dyDescent="0.25">
      <c r="B116" s="222" t="s">
        <v>155</v>
      </c>
      <c r="C116" s="226">
        <f>E37</f>
        <v>2007.6923076923078</v>
      </c>
      <c r="D116" s="210">
        <v>1.7999999999999999E-2</v>
      </c>
      <c r="E116" s="225">
        <f>D116*C116</f>
        <v>36.138461538461542</v>
      </c>
    </row>
    <row r="117" spans="2:9" s="189" customFormat="1" ht="15.75" customHeight="1" x14ac:dyDescent="0.25">
      <c r="B117" s="222" t="s">
        <v>156</v>
      </c>
      <c r="C117" s="226">
        <f>C116</f>
        <v>2007.6923076923078</v>
      </c>
      <c r="D117" s="210">
        <v>0.06</v>
      </c>
      <c r="E117" s="225">
        <f>D117*C117</f>
        <v>120.46153846153847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592.27769230769275</v>
      </c>
    </row>
    <row r="121" spans="2:9" ht="15.75" hidden="1" thickBot="1" x14ac:dyDescent="0.3">
      <c r="B121" s="230" t="s">
        <v>158</v>
      </c>
      <c r="C121" s="231">
        <f>J19</f>
        <v>0.31909999999999999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0" t="s">
        <v>168</v>
      </c>
      <c r="C127" s="461"/>
      <c r="D127" s="461"/>
      <c r="E127" s="461"/>
    </row>
    <row r="128" spans="2:9" hidden="1" x14ac:dyDescent="0.25"/>
    <row r="129" spans="2:6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6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6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6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6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6" ht="15.75" hidden="1" thickBot="1" x14ac:dyDescent="0.3">
      <c r="B134" s="250" t="s">
        <v>178</v>
      </c>
      <c r="C134" s="2"/>
      <c r="D134" s="462" t="s">
        <v>179</v>
      </c>
      <c r="E134" s="462"/>
      <c r="F134" s="463"/>
    </row>
    <row r="135" spans="2:6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6" hidden="1" x14ac:dyDescent="0.25"/>
    <row r="137" spans="2:6" ht="18.75" customHeight="1" x14ac:dyDescent="0.25">
      <c r="B137" s="9"/>
      <c r="C137" s="254"/>
      <c r="D137" s="255"/>
      <c r="E137" s="9"/>
      <c r="F137" s="9"/>
    </row>
    <row r="138" spans="2:6" ht="18.75" x14ac:dyDescent="0.25">
      <c r="B138" s="460" t="s">
        <v>9</v>
      </c>
      <c r="C138" s="461"/>
      <c r="D138" s="461"/>
      <c r="E138" s="461"/>
    </row>
    <row r="139" spans="2:6" ht="15.75" thickBot="1" x14ac:dyDescent="0.3"/>
    <row r="140" spans="2:6" x14ac:dyDescent="0.25">
      <c r="B140" s="450" t="s">
        <v>10</v>
      </c>
      <c r="C140" s="451"/>
      <c r="D140" s="451"/>
      <c r="E140" s="452"/>
    </row>
    <row r="141" spans="2:6" x14ac:dyDescent="0.25">
      <c r="B141" s="256" t="s">
        <v>11</v>
      </c>
      <c r="C141" s="257"/>
      <c r="D141" s="257"/>
      <c r="E141" s="271"/>
    </row>
    <row r="142" spans="2:6" x14ac:dyDescent="0.25">
      <c r="B142" s="256" t="s">
        <v>12</v>
      </c>
      <c r="C142" s="257"/>
      <c r="D142" s="257"/>
      <c r="E142" s="258"/>
    </row>
    <row r="143" spans="2:6" x14ac:dyDescent="0.25">
      <c r="B143" s="256" t="s">
        <v>13</v>
      </c>
      <c r="C143" s="257"/>
      <c r="D143" s="257"/>
      <c r="E143" s="275"/>
    </row>
    <row r="144" spans="2:6" ht="15.75" thickBot="1" x14ac:dyDescent="0.3">
      <c r="B144" s="256" t="s">
        <v>14</v>
      </c>
      <c r="C144" s="257"/>
      <c r="D144" s="257"/>
      <c r="E144" s="272"/>
    </row>
    <row r="145" spans="2:5" ht="16.5" thickTop="1" thickBot="1" x14ac:dyDescent="0.3">
      <c r="B145" s="259" t="s">
        <v>15</v>
      </c>
      <c r="C145" s="260"/>
      <c r="D145" s="261"/>
      <c r="E145" s="276">
        <f>E143*E144</f>
        <v>0</v>
      </c>
    </row>
    <row r="146" spans="2:5" ht="15.75" thickBot="1" x14ac:dyDescent="0.3">
      <c r="B146" s="262"/>
      <c r="C146" s="262"/>
      <c r="D146" s="262"/>
      <c r="E146" s="262"/>
    </row>
    <row r="147" spans="2:5" ht="15.75" thickBot="1" x14ac:dyDescent="0.3">
      <c r="B147" s="457" t="s">
        <v>16</v>
      </c>
      <c r="C147" s="458"/>
      <c r="D147" s="458"/>
      <c r="E147" s="459"/>
    </row>
    <row r="148" spans="2:5" x14ac:dyDescent="0.25">
      <c r="B148" s="263" t="s">
        <v>17</v>
      </c>
      <c r="C148" s="264"/>
      <c r="D148" s="265" t="s">
        <v>18</v>
      </c>
      <c r="E148" s="266" t="s">
        <v>19</v>
      </c>
    </row>
    <row r="149" spans="2:5" x14ac:dyDescent="0.25">
      <c r="B149" s="209" t="s">
        <v>20</v>
      </c>
      <c r="C149" s="273"/>
      <c r="D149" s="274"/>
      <c r="E149" s="277"/>
    </row>
    <row r="150" spans="2:5" x14ac:dyDescent="0.25">
      <c r="B150" s="209" t="s">
        <v>21</v>
      </c>
      <c r="C150" s="273"/>
      <c r="D150" s="274"/>
      <c r="E150" s="277"/>
    </row>
    <row r="151" spans="2:5" x14ac:dyDescent="0.25">
      <c r="B151" s="209" t="s">
        <v>22</v>
      </c>
      <c r="C151" s="273"/>
      <c r="D151" s="274"/>
      <c r="E151" s="277"/>
    </row>
    <row r="152" spans="2:5" x14ac:dyDescent="0.25">
      <c r="B152" s="209" t="s">
        <v>23</v>
      </c>
      <c r="C152" s="267"/>
      <c r="D152" s="267"/>
      <c r="E152" s="211"/>
    </row>
    <row r="153" spans="2:5" x14ac:dyDescent="0.25">
      <c r="B153" s="209" t="s">
        <v>24</v>
      </c>
      <c r="C153" s="267"/>
      <c r="D153" s="267"/>
      <c r="E153" s="211"/>
    </row>
    <row r="154" spans="2:5" x14ac:dyDescent="0.25">
      <c r="B154" s="209" t="s">
        <v>181</v>
      </c>
      <c r="C154" s="267"/>
      <c r="D154" s="279" t="s">
        <v>182</v>
      </c>
      <c r="E154" s="268"/>
    </row>
    <row r="155" spans="2:5" x14ac:dyDescent="0.25">
      <c r="B155" s="209" t="s">
        <v>25</v>
      </c>
      <c r="C155" s="267"/>
      <c r="D155" s="267"/>
      <c r="E155" s="283">
        <f>E154*E153</f>
        <v>0</v>
      </c>
    </row>
    <row r="156" spans="2:5" x14ac:dyDescent="0.25">
      <c r="B156" s="209" t="s">
        <v>26</v>
      </c>
      <c r="C156" s="267"/>
      <c r="D156" s="267"/>
      <c r="E156" s="211">
        <f>E155*6.7%</f>
        <v>0</v>
      </c>
    </row>
    <row r="157" spans="2:5" ht="15.75" thickBot="1" x14ac:dyDescent="0.3">
      <c r="B157" s="269" t="s">
        <v>27</v>
      </c>
      <c r="C157" s="270"/>
      <c r="D157" s="270"/>
      <c r="E157" s="278">
        <f>E155-E156</f>
        <v>0</v>
      </c>
    </row>
    <row r="158" spans="2:5" ht="15.75" thickBot="1" x14ac:dyDescent="0.3"/>
    <row r="159" spans="2:5" x14ac:dyDescent="0.25">
      <c r="B159" s="450" t="s">
        <v>28</v>
      </c>
      <c r="C159" s="451"/>
      <c r="D159" s="451"/>
      <c r="E159" s="452"/>
    </row>
    <row r="160" spans="2:5" x14ac:dyDescent="0.25">
      <c r="B160" s="256" t="s">
        <v>29</v>
      </c>
      <c r="C160" s="257"/>
      <c r="D160" s="257"/>
      <c r="E160" s="280"/>
    </row>
    <row r="161" spans="2:5" ht="15.75" thickBot="1" x14ac:dyDescent="0.3">
      <c r="B161" s="256" t="s">
        <v>30</v>
      </c>
      <c r="C161" s="257"/>
      <c r="D161" s="257"/>
      <c r="E161" s="258">
        <f>E143*0.9</f>
        <v>0</v>
      </c>
    </row>
    <row r="162" spans="2:5" ht="16.5" thickTop="1" thickBot="1" x14ac:dyDescent="0.3">
      <c r="B162" s="256" t="s">
        <v>31</v>
      </c>
      <c r="C162" s="257"/>
      <c r="D162" s="257"/>
      <c r="E162" s="276">
        <f>E160*E161</f>
        <v>0</v>
      </c>
    </row>
    <row r="163" spans="2:5" ht="16.5" thickTop="1" thickBot="1" x14ac:dyDescent="0.3">
      <c r="B163" s="209" t="s">
        <v>32</v>
      </c>
      <c r="C163" s="257"/>
      <c r="D163" s="257"/>
      <c r="E163" s="281">
        <f>E153</f>
        <v>0</v>
      </c>
    </row>
    <row r="164" spans="2:5" ht="16.5" thickTop="1" thickBot="1" x14ac:dyDescent="0.3">
      <c r="B164" s="259" t="s">
        <v>33</v>
      </c>
      <c r="C164" s="284">
        <f>E160</f>
        <v>0</v>
      </c>
      <c r="D164" s="282">
        <f>E163</f>
        <v>0</v>
      </c>
      <c r="E164" s="276">
        <f>D164*C164</f>
        <v>0</v>
      </c>
    </row>
    <row r="167" spans="2:5" ht="18.75" x14ac:dyDescent="0.25">
      <c r="B167" s="460" t="s">
        <v>249</v>
      </c>
      <c r="C167" s="461"/>
      <c r="D167" s="461"/>
      <c r="E167" s="461"/>
    </row>
    <row r="169" spans="2:5" ht="15.75" thickBot="1" x14ac:dyDescent="0.3">
      <c r="B169" s="471" t="s">
        <v>294</v>
      </c>
      <c r="C169" s="472"/>
      <c r="D169" s="472"/>
      <c r="E169" s="472"/>
    </row>
    <row r="170" spans="2:5" x14ac:dyDescent="0.25">
      <c r="B170" s="19" t="s">
        <v>250</v>
      </c>
      <c r="C170" s="17"/>
      <c r="D170" s="17" t="s">
        <v>302</v>
      </c>
      <c r="E170" s="26">
        <v>21000</v>
      </c>
    </row>
    <row r="171" spans="2:5" x14ac:dyDescent="0.25">
      <c r="B171" s="23" t="s">
        <v>251</v>
      </c>
      <c r="C171" s="24"/>
      <c r="D171" s="24"/>
      <c r="E171" s="72">
        <v>1000</v>
      </c>
    </row>
    <row r="172" spans="2:5" x14ac:dyDescent="0.25">
      <c r="B172" s="23" t="s">
        <v>252</v>
      </c>
      <c r="C172" s="24"/>
      <c r="D172" s="24"/>
      <c r="E172" s="320">
        <f>SUM(E170:E171)</f>
        <v>22000</v>
      </c>
    </row>
    <row r="173" spans="2:5" x14ac:dyDescent="0.25">
      <c r="B173" s="367" t="s">
        <v>253</v>
      </c>
      <c r="C173" s="24"/>
      <c r="D173" s="24"/>
      <c r="E173" s="320">
        <f>E172/10</f>
        <v>2200</v>
      </c>
    </row>
    <row r="174" spans="2:5" ht="15.75" thickBot="1" x14ac:dyDescent="0.3">
      <c r="B174" s="480" t="s">
        <v>24</v>
      </c>
      <c r="C174" s="481"/>
      <c r="D174" s="481" t="s">
        <v>303</v>
      </c>
      <c r="E174" s="482">
        <f>E173/30</f>
        <v>73.333333333333329</v>
      </c>
    </row>
    <row r="176" spans="2:5" ht="15.75" thickBot="1" x14ac:dyDescent="0.3">
      <c r="B176" s="33" t="s">
        <v>28</v>
      </c>
    </row>
    <row r="177" spans="2:9" x14ac:dyDescent="0.25">
      <c r="B177" s="19" t="s">
        <v>11</v>
      </c>
      <c r="C177" s="17"/>
      <c r="D177" s="17"/>
      <c r="E177" s="26">
        <f>J3</f>
        <v>1850</v>
      </c>
    </row>
    <row r="178" spans="2:9" x14ac:dyDescent="0.25">
      <c r="B178" s="364" t="s">
        <v>245</v>
      </c>
      <c r="C178" s="24"/>
      <c r="D178" s="24"/>
      <c r="E178" s="72">
        <f>E177/26</f>
        <v>71.15384615384616</v>
      </c>
    </row>
    <row r="179" spans="2:9" x14ac:dyDescent="0.25">
      <c r="B179" s="23" t="s">
        <v>246</v>
      </c>
      <c r="C179" s="24"/>
      <c r="D179" s="24"/>
      <c r="E179" s="25">
        <v>6</v>
      </c>
    </row>
    <row r="180" spans="2:9" x14ac:dyDescent="0.25">
      <c r="B180" s="23" t="s">
        <v>247</v>
      </c>
      <c r="C180" s="24"/>
      <c r="D180" s="24"/>
      <c r="E180" s="72">
        <f>E179*E178</f>
        <v>426.92307692307696</v>
      </c>
    </row>
    <row r="181" spans="2:9" ht="15.75" thickBot="1" x14ac:dyDescent="0.3">
      <c r="B181" s="40" t="s">
        <v>15</v>
      </c>
      <c r="C181" s="43"/>
      <c r="D181" s="43"/>
      <c r="E181" s="365">
        <f>E180</f>
        <v>426.92307692307696</v>
      </c>
    </row>
    <row r="183" spans="2:9" ht="15.75" thickBot="1" x14ac:dyDescent="0.3"/>
    <row r="184" spans="2:9" x14ac:dyDescent="0.25">
      <c r="B184" s="19"/>
      <c r="C184" s="474" t="s">
        <v>299</v>
      </c>
      <c r="D184" s="474" t="s">
        <v>300</v>
      </c>
      <c r="E184" s="473" t="s">
        <v>295</v>
      </c>
      <c r="F184" s="475" t="s">
        <v>296</v>
      </c>
      <c r="G184" s="476"/>
      <c r="H184" s="477"/>
      <c r="I184" s="473" t="s">
        <v>298</v>
      </c>
    </row>
    <row r="185" spans="2:9" x14ac:dyDescent="0.25">
      <c r="B185" s="23" t="s">
        <v>248</v>
      </c>
      <c r="C185" s="24">
        <v>24</v>
      </c>
      <c r="D185" s="360">
        <f>1750/26</f>
        <v>67.307692307692307</v>
      </c>
      <c r="E185" s="72">
        <f>D185*C185</f>
        <v>1615.3846153846152</v>
      </c>
      <c r="F185" s="23">
        <v>24</v>
      </c>
      <c r="G185" s="360">
        <f>E174</f>
        <v>73.333333333333329</v>
      </c>
      <c r="H185" s="320">
        <f>G185*F185</f>
        <v>1760</v>
      </c>
      <c r="I185" s="478"/>
    </row>
    <row r="186" spans="2:9" x14ac:dyDescent="0.25">
      <c r="B186" s="23" t="s">
        <v>297</v>
      </c>
      <c r="C186" s="24">
        <v>6</v>
      </c>
      <c r="D186" s="360">
        <f>E178</f>
        <v>71.15384615384616</v>
      </c>
      <c r="E186" s="320">
        <f>D186*C186</f>
        <v>426.92307692307696</v>
      </c>
      <c r="F186" s="23">
        <f>C186</f>
        <v>6</v>
      </c>
      <c r="G186" s="360">
        <f>E174</f>
        <v>73.333333333333329</v>
      </c>
      <c r="H186" s="320">
        <f>G186*F186</f>
        <v>440</v>
      </c>
      <c r="I186" s="478"/>
    </row>
    <row r="187" spans="2:9" ht="15.75" thickBot="1" x14ac:dyDescent="0.3">
      <c r="B187" s="40" t="s">
        <v>180</v>
      </c>
      <c r="C187" s="43"/>
      <c r="D187" s="43"/>
      <c r="E187" s="321">
        <f>SUM(E185:E186)</f>
        <v>2042.3076923076922</v>
      </c>
      <c r="F187" s="40"/>
      <c r="G187" s="43"/>
      <c r="H187" s="321">
        <f>SUM(H185:H186)</f>
        <v>2200</v>
      </c>
      <c r="I187" s="479">
        <f>H187-E187</f>
        <v>157.69230769230785</v>
      </c>
    </row>
  </sheetData>
  <mergeCells count="15">
    <mergeCell ref="B169:E169"/>
    <mergeCell ref="F184:H184"/>
    <mergeCell ref="C17:D17"/>
    <mergeCell ref="F17:G17"/>
    <mergeCell ref="B167:E16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7F5C-5E4B-461A-8481-E7F71E2848F0}">
  <dimension ref="A2:J34"/>
  <sheetViews>
    <sheetView workbookViewId="0">
      <selection activeCell="J13" sqref="J13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2" spans="1:10" ht="23.25" x14ac:dyDescent="0.25">
      <c r="A2" s="285" t="s">
        <v>183</v>
      </c>
      <c r="B2" s="286"/>
      <c r="C2" s="286"/>
      <c r="D2" s="286"/>
      <c r="E2" s="286"/>
      <c r="F2" s="286"/>
      <c r="G2" s="286"/>
      <c r="H2" s="286"/>
    </row>
    <row r="4" spans="1:10" ht="18.75" x14ac:dyDescent="0.25">
      <c r="A4" s="287" t="s">
        <v>184</v>
      </c>
      <c r="D4" s="288">
        <v>3864</v>
      </c>
      <c r="F4" s="304" t="s">
        <v>216</v>
      </c>
      <c r="H4" s="317" t="s">
        <v>254</v>
      </c>
      <c r="I4" s="304">
        <v>21</v>
      </c>
    </row>
    <row r="5" spans="1:10" ht="15.75" thickBot="1" x14ac:dyDescent="0.3"/>
    <row r="6" spans="1:10" ht="30" x14ac:dyDescent="0.25">
      <c r="A6" s="289" t="s">
        <v>159</v>
      </c>
      <c r="B6" s="233" t="s">
        <v>136</v>
      </c>
      <c r="C6" s="233" t="s">
        <v>185</v>
      </c>
      <c r="D6" s="233" t="s">
        <v>186</v>
      </c>
      <c r="E6" s="235" t="s">
        <v>187</v>
      </c>
      <c r="F6" s="235" t="s">
        <v>188</v>
      </c>
      <c r="G6" s="235" t="s">
        <v>189</v>
      </c>
      <c r="H6" s="236" t="s">
        <v>190</v>
      </c>
      <c r="J6" s="304"/>
    </row>
    <row r="7" spans="1:10" x14ac:dyDescent="0.25">
      <c r="A7" s="290" t="s">
        <v>191</v>
      </c>
      <c r="B7" s="405">
        <v>3784</v>
      </c>
      <c r="C7" s="421">
        <f>B7</f>
        <v>3784</v>
      </c>
      <c r="D7" s="421">
        <f>+$D$4</f>
        <v>3864</v>
      </c>
      <c r="E7" s="421">
        <f>D7</f>
        <v>3864</v>
      </c>
      <c r="F7" s="421">
        <f>MIN(C7,E7)</f>
        <v>3784</v>
      </c>
      <c r="G7" s="421">
        <f>F7</f>
        <v>3784</v>
      </c>
      <c r="H7" s="422">
        <f t="shared" ref="H7" si="0">B7-G7</f>
        <v>0</v>
      </c>
      <c r="J7" s="304"/>
    </row>
    <row r="8" spans="1:10" x14ac:dyDescent="0.25">
      <c r="A8" s="290" t="s">
        <v>192</v>
      </c>
      <c r="B8" s="405">
        <v>3784</v>
      </c>
      <c r="C8" s="421">
        <f>C7+B8</f>
        <v>7568</v>
      </c>
      <c r="D8" s="421">
        <f t="shared" ref="D8:D10" si="1">+$D$4</f>
        <v>3864</v>
      </c>
      <c r="E8" s="421">
        <f>E7+D8</f>
        <v>7728</v>
      </c>
      <c r="F8" s="423">
        <f t="shared" ref="F8:F11" si="2">MIN(C8,E8)</f>
        <v>7568</v>
      </c>
      <c r="G8" s="421">
        <f>F8-F7</f>
        <v>3784</v>
      </c>
      <c r="H8" s="422">
        <f>B8-G8</f>
        <v>0</v>
      </c>
    </row>
    <row r="9" spans="1:10" x14ac:dyDescent="0.25">
      <c r="A9" s="290" t="s">
        <v>193</v>
      </c>
      <c r="B9" s="405">
        <v>3784</v>
      </c>
      <c r="C9" s="421">
        <f t="shared" ref="C9:C11" si="3">C8+B9</f>
        <v>11352</v>
      </c>
      <c r="D9" s="421">
        <f t="shared" si="1"/>
        <v>3864</v>
      </c>
      <c r="E9" s="421">
        <f t="shared" ref="E9:E11" si="4">E8+D9</f>
        <v>11592</v>
      </c>
      <c r="F9" s="423">
        <f t="shared" si="2"/>
        <v>11352</v>
      </c>
      <c r="G9" s="421">
        <f t="shared" ref="G9:G11" si="5">F9-F8</f>
        <v>3784</v>
      </c>
      <c r="H9" s="422">
        <f t="shared" ref="H9:H11" si="6">B9-G9</f>
        <v>0</v>
      </c>
    </row>
    <row r="10" spans="1:10" x14ac:dyDescent="0.25">
      <c r="A10" s="290" t="s">
        <v>194</v>
      </c>
      <c r="B10" s="405">
        <v>3784</v>
      </c>
      <c r="C10" s="421">
        <f t="shared" si="3"/>
        <v>15136</v>
      </c>
      <c r="D10" s="421">
        <f t="shared" si="1"/>
        <v>3864</v>
      </c>
      <c r="E10" s="421">
        <f t="shared" si="4"/>
        <v>15456</v>
      </c>
      <c r="F10" s="423">
        <f t="shared" si="2"/>
        <v>15136</v>
      </c>
      <c r="G10" s="421">
        <f t="shared" si="5"/>
        <v>3784</v>
      </c>
      <c r="H10" s="422">
        <f t="shared" si="6"/>
        <v>0</v>
      </c>
    </row>
    <row r="11" spans="1:10" ht="15.75" thickBot="1" x14ac:dyDescent="0.3">
      <c r="A11" s="338" t="s">
        <v>195</v>
      </c>
      <c r="B11" s="424">
        <f>+'Bulletin SMITH'!E37</f>
        <v>4171.4285714285716</v>
      </c>
      <c r="C11" s="425">
        <f t="shared" si="3"/>
        <v>19307.428571428572</v>
      </c>
      <c r="D11" s="425">
        <f>3864/31*28</f>
        <v>3490.0645161290322</v>
      </c>
      <c r="E11" s="425">
        <f t="shared" si="4"/>
        <v>18946.06451612903</v>
      </c>
      <c r="F11" s="426">
        <f t="shared" si="2"/>
        <v>18946.06451612903</v>
      </c>
      <c r="G11" s="427">
        <f t="shared" si="5"/>
        <v>3810.0645161290304</v>
      </c>
      <c r="H11" s="241">
        <f t="shared" si="6"/>
        <v>361.36405529954118</v>
      </c>
    </row>
    <row r="12" spans="1:10" x14ac:dyDescent="0.25">
      <c r="A12" s="329"/>
      <c r="B12" s="330"/>
      <c r="C12" s="331"/>
      <c r="D12" s="331" t="s">
        <v>289</v>
      </c>
    </row>
    <row r="14" spans="1:10" ht="21.75" customHeight="1" x14ac:dyDescent="0.25">
      <c r="A14" s="329"/>
      <c r="B14" s="332"/>
      <c r="C14" s="332"/>
      <c r="D14" s="333"/>
      <c r="E14" s="337"/>
      <c r="F14" s="332"/>
      <c r="G14" s="332"/>
      <c r="H14" s="335"/>
      <c r="I14" s="336"/>
    </row>
    <row r="15" spans="1:10" ht="21" hidden="1" x14ac:dyDescent="0.25">
      <c r="A15" s="445" t="s">
        <v>211</v>
      </c>
      <c r="B15" s="446"/>
      <c r="C15" s="446"/>
      <c r="D15" s="446"/>
      <c r="E15" s="446"/>
      <c r="F15" s="446"/>
      <c r="G15" s="446"/>
      <c r="H15" s="446"/>
      <c r="I15" s="305"/>
    </row>
    <row r="16" spans="1:10" ht="21" hidden="1" customHeight="1" thickBot="1" x14ac:dyDescent="0.3">
      <c r="A16" s="230" t="s">
        <v>158</v>
      </c>
      <c r="B16" s="306">
        <v>0.31950000000000001</v>
      </c>
    </row>
    <row r="17" spans="1:9" hidden="1" x14ac:dyDescent="0.25"/>
    <row r="18" spans="1:9" ht="30" hidden="1" x14ac:dyDescent="0.25">
      <c r="A18" s="3" t="s">
        <v>159</v>
      </c>
      <c r="B18" s="233" t="s">
        <v>160</v>
      </c>
      <c r="C18" s="233" t="s">
        <v>161</v>
      </c>
      <c r="D18" s="296" t="s">
        <v>162</v>
      </c>
      <c r="E18" s="235" t="s">
        <v>163</v>
      </c>
      <c r="F18" s="235" t="s">
        <v>164</v>
      </c>
      <c r="G18" s="235" t="s">
        <v>165</v>
      </c>
      <c r="H18" s="235" t="s">
        <v>166</v>
      </c>
      <c r="I18" s="1" t="s">
        <v>212</v>
      </c>
    </row>
    <row r="19" spans="1:9" ht="21" hidden="1" customHeight="1" x14ac:dyDescent="0.25">
      <c r="A19" s="290" t="s">
        <v>191</v>
      </c>
      <c r="B19" s="307">
        <v>1700</v>
      </c>
      <c r="C19" s="308">
        <f>B19</f>
        <v>1700</v>
      </c>
      <c r="D19" s="301">
        <v>1603.12</v>
      </c>
      <c r="E19" s="307">
        <f>+D19</f>
        <v>1603.12</v>
      </c>
      <c r="F19" s="309">
        <f>ROUND(($B$16/0.6)*((1.6*E19/C19)-1),4)</f>
        <v>0.27089999999999997</v>
      </c>
      <c r="G19" s="308">
        <f>IF(F19&gt;0,F19*C19,0)</f>
        <v>460.53</v>
      </c>
      <c r="H19" s="310">
        <f>G19</f>
        <v>460.53</v>
      </c>
      <c r="I19" s="5" t="str">
        <f>IF(F19&gt;$B$16,"ERREUR","")</f>
        <v/>
      </c>
    </row>
    <row r="20" spans="1:9" ht="21" hidden="1" customHeight="1" x14ac:dyDescent="0.25">
      <c r="A20" s="290" t="s">
        <v>192</v>
      </c>
      <c r="B20" s="307">
        <v>3000</v>
      </c>
      <c r="C20" s="308">
        <f>C19+B20</f>
        <v>4700</v>
      </c>
      <c r="D20" s="311">
        <f>156.67*10.57</f>
        <v>1656.0019</v>
      </c>
      <c r="E20" s="307">
        <f>D20+E19</f>
        <v>3259.1219000000001</v>
      </c>
      <c r="F20" s="309">
        <f>ROUND(($B$16/0.6)*((1.6*E20/C20)-1),4)</f>
        <v>5.8299999999999998E-2</v>
      </c>
      <c r="G20" s="308">
        <f t="shared" ref="G20:G23" si="7">IF(F20&gt;0,F20*C20,0)</f>
        <v>274.01</v>
      </c>
      <c r="H20" s="310">
        <f>G20-G19</f>
        <v>-186.51999999999998</v>
      </c>
      <c r="I20" s="5" t="str">
        <f>IF(F20&gt;$B$16,"ERREUR","")</f>
        <v/>
      </c>
    </row>
    <row r="21" spans="1:9" ht="21" hidden="1" customHeight="1" x14ac:dyDescent="0.25">
      <c r="A21" s="290" t="s">
        <v>193</v>
      </c>
      <c r="B21" s="307"/>
      <c r="C21" s="308">
        <f t="shared" ref="C21:C23" si="8">C20+B21</f>
        <v>4700</v>
      </c>
      <c r="D21" s="301">
        <v>1603.12</v>
      </c>
      <c r="E21" s="307">
        <f t="shared" ref="E21:E23" si="9">D21+E20</f>
        <v>4862.2419</v>
      </c>
      <c r="F21" s="309">
        <f>ROUND(($B$16/0.6)*((1.6*E21/C21)-1),4)</f>
        <v>0.34889999999999999</v>
      </c>
      <c r="G21" s="312">
        <f t="shared" si="7"/>
        <v>1639.83</v>
      </c>
      <c r="H21" s="310">
        <f t="shared" ref="H21:H23" si="10">G21-G20</f>
        <v>1365.82</v>
      </c>
      <c r="I21" s="5" t="str">
        <f>IF(F21&gt;$B$16,"ERREUR","")</f>
        <v>ERREUR</v>
      </c>
    </row>
    <row r="22" spans="1:9" ht="21" hidden="1" customHeight="1" thickBot="1" x14ac:dyDescent="0.3">
      <c r="A22" s="290" t="s">
        <v>194</v>
      </c>
      <c r="B22" s="307"/>
      <c r="C22" s="308">
        <f t="shared" si="8"/>
        <v>4700</v>
      </c>
      <c r="D22" s="301">
        <v>1603.12</v>
      </c>
      <c r="E22" s="307">
        <f t="shared" si="9"/>
        <v>6465.3618999999999</v>
      </c>
      <c r="F22" s="309">
        <f>ROUND(($B$16/0.6)*((1.6*E22/C22)-1),4)</f>
        <v>0.63949999999999996</v>
      </c>
      <c r="G22" s="308">
        <f t="shared" si="7"/>
        <v>3005.6499999999996</v>
      </c>
      <c r="H22" s="310">
        <f t="shared" si="10"/>
        <v>1365.8199999999997</v>
      </c>
      <c r="I22" s="5" t="str">
        <f>IF(F22&gt;$B$16,"ERREUR","")</f>
        <v>ERREUR</v>
      </c>
    </row>
    <row r="23" spans="1:9" ht="21" hidden="1" customHeight="1" x14ac:dyDescent="0.25">
      <c r="A23" s="290" t="s">
        <v>195</v>
      </c>
      <c r="B23" s="307"/>
      <c r="C23" s="308">
        <f t="shared" si="8"/>
        <v>4700</v>
      </c>
      <c r="D23" s="301">
        <v>1603.12</v>
      </c>
      <c r="E23" s="307">
        <f t="shared" si="9"/>
        <v>8068.4818999999998</v>
      </c>
      <c r="F23" s="309">
        <f>ROUND(($B$16/0.6)*((1.6*E23/C23)-1),4)</f>
        <v>0.93010000000000004</v>
      </c>
      <c r="G23" s="308">
        <f t="shared" si="7"/>
        <v>4371.47</v>
      </c>
      <c r="H23" s="310">
        <f t="shared" si="10"/>
        <v>1365.8200000000006</v>
      </c>
      <c r="I23" s="5" t="str">
        <f>IF(F23&gt;$B$16,"ERREUR","")</f>
        <v>ERREUR</v>
      </c>
    </row>
    <row r="25" spans="1:9" ht="23.25" x14ac:dyDescent="0.25">
      <c r="A25" s="285" t="s">
        <v>213</v>
      </c>
      <c r="B25" s="286"/>
      <c r="C25" s="286"/>
      <c r="D25" s="286"/>
      <c r="E25" s="286"/>
      <c r="F25" s="286"/>
    </row>
    <row r="27" spans="1:9" ht="18.75" x14ac:dyDescent="0.25">
      <c r="A27" s="287" t="s">
        <v>184</v>
      </c>
      <c r="D27" s="288">
        <v>3864</v>
      </c>
    </row>
    <row r="28" spans="1:9" ht="15.75" thickBot="1" x14ac:dyDescent="0.3"/>
    <row r="29" spans="1:9" ht="30" x14ac:dyDescent="0.25">
      <c r="A29" s="289" t="s">
        <v>159</v>
      </c>
      <c r="B29" s="233" t="s">
        <v>136</v>
      </c>
      <c r="C29" s="233" t="s">
        <v>185</v>
      </c>
      <c r="D29" s="233" t="s">
        <v>186</v>
      </c>
      <c r="E29" s="235" t="s">
        <v>187</v>
      </c>
      <c r="F29" s="233" t="s">
        <v>214</v>
      </c>
      <c r="G29" s="235" t="s">
        <v>215</v>
      </c>
      <c r="H29" s="236" t="s">
        <v>231</v>
      </c>
    </row>
    <row r="30" spans="1:9" ht="26.25" customHeight="1" x14ac:dyDescent="0.25">
      <c r="A30" s="290" t="s">
        <v>191</v>
      </c>
      <c r="B30" s="405">
        <v>3784</v>
      </c>
      <c r="C30" s="299">
        <f>B30</f>
        <v>3784</v>
      </c>
      <c r="D30" s="292">
        <f>$D$27</f>
        <v>3864</v>
      </c>
      <c r="E30" s="313">
        <f>D30</f>
        <v>3864</v>
      </c>
      <c r="F30" s="314" t="str">
        <f>IF(E30&gt;C30,"","OUI")</f>
        <v/>
      </c>
      <c r="G30" s="300">
        <f t="shared" ref="G30:G34" si="11">IF(C30&gt;E30,C30,0)</f>
        <v>0</v>
      </c>
      <c r="H30" s="315">
        <f>G30</f>
        <v>0</v>
      </c>
    </row>
    <row r="31" spans="1:9" ht="26.25" customHeight="1" x14ac:dyDescent="0.25">
      <c r="A31" s="290" t="s">
        <v>192</v>
      </c>
      <c r="B31" s="405">
        <v>3784</v>
      </c>
      <c r="C31" s="299">
        <f>C30+B31</f>
        <v>7568</v>
      </c>
      <c r="D31" s="292">
        <f t="shared" ref="D31:D33" si="12">$D$27</f>
        <v>3864</v>
      </c>
      <c r="E31" s="313">
        <f>E30+D31</f>
        <v>7728</v>
      </c>
      <c r="F31" s="314" t="str">
        <f t="shared" ref="F31:F34" si="13">IF(E31&gt;C31,"","OUI")</f>
        <v/>
      </c>
      <c r="G31" s="300">
        <f t="shared" si="11"/>
        <v>0</v>
      </c>
      <c r="H31" s="315">
        <f>G31-G30</f>
        <v>0</v>
      </c>
    </row>
    <row r="32" spans="1:9" ht="26.25" customHeight="1" x14ac:dyDescent="0.25">
      <c r="A32" s="290" t="s">
        <v>193</v>
      </c>
      <c r="B32" s="405">
        <v>3784</v>
      </c>
      <c r="C32" s="299">
        <f t="shared" ref="C32:C34" si="14">C31+B32</f>
        <v>11352</v>
      </c>
      <c r="D32" s="292">
        <f t="shared" si="12"/>
        <v>3864</v>
      </c>
      <c r="E32" s="313">
        <f t="shared" ref="E32:E34" si="15">E31+D32</f>
        <v>11592</v>
      </c>
      <c r="F32" s="314" t="str">
        <f t="shared" si="13"/>
        <v/>
      </c>
      <c r="G32" s="300">
        <f t="shared" si="11"/>
        <v>0</v>
      </c>
      <c r="H32" s="315">
        <f t="shared" ref="H32:H34" si="16">G32-G31</f>
        <v>0</v>
      </c>
    </row>
    <row r="33" spans="1:8" ht="26.25" customHeight="1" x14ac:dyDescent="0.25">
      <c r="A33" s="290" t="s">
        <v>194</v>
      </c>
      <c r="B33" s="405">
        <v>3784</v>
      </c>
      <c r="C33" s="299">
        <f t="shared" si="14"/>
        <v>15136</v>
      </c>
      <c r="D33" s="292">
        <f t="shared" si="12"/>
        <v>3864</v>
      </c>
      <c r="E33" s="313">
        <f t="shared" si="15"/>
        <v>15456</v>
      </c>
      <c r="F33" s="314" t="str">
        <f t="shared" si="13"/>
        <v/>
      </c>
      <c r="G33" s="300">
        <f t="shared" si="11"/>
        <v>0</v>
      </c>
      <c r="H33" s="315">
        <f t="shared" si="16"/>
        <v>0</v>
      </c>
    </row>
    <row r="34" spans="1:8" ht="26.25" customHeight="1" thickBot="1" x14ac:dyDescent="0.3">
      <c r="A34" s="338" t="s">
        <v>195</v>
      </c>
      <c r="B34" s="424">
        <f>B11</f>
        <v>4171.4285714285716</v>
      </c>
      <c r="C34" s="339">
        <f t="shared" si="14"/>
        <v>19307.428571428572</v>
      </c>
      <c r="D34" s="340">
        <f>D11</f>
        <v>3490.0645161290322</v>
      </c>
      <c r="E34" s="341">
        <f t="shared" si="15"/>
        <v>18946.06451612903</v>
      </c>
      <c r="F34" s="342" t="str">
        <f t="shared" si="13"/>
        <v>OUI</v>
      </c>
      <c r="G34" s="343">
        <f t="shared" si="11"/>
        <v>19307.428571428572</v>
      </c>
      <c r="H34" s="344">
        <f t="shared" si="16"/>
        <v>19307.428571428572</v>
      </c>
    </row>
  </sheetData>
  <mergeCells count="1">
    <mergeCell ref="A15:H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CDB2-B4DB-47A2-BAE8-EBF85DC51B92}">
  <dimension ref="B1:P165"/>
  <sheetViews>
    <sheetView topLeftCell="A23" workbookViewId="0">
      <selection activeCell="C36" sqref="C36:D36"/>
    </sheetView>
  </sheetViews>
  <sheetFormatPr baseColWidth="10" defaultRowHeight="15" x14ac:dyDescent="0.25"/>
  <cols>
    <col min="1" max="1" width="11.42578125" style="11"/>
    <col min="2" max="2" width="63.5703125" style="1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4" style="11" bestFit="1" customWidth="1"/>
    <col min="11" max="11" width="12" style="11" bestFit="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3700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 t="s">
        <v>51</v>
      </c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11.27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36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63</v>
      </c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66</v>
      </c>
      <c r="J13" s="25"/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68</v>
      </c>
      <c r="J14" s="25"/>
    </row>
    <row r="15" spans="2:11" x14ac:dyDescent="0.25">
      <c r="B15" s="23"/>
      <c r="C15" s="21"/>
      <c r="D15" s="22"/>
      <c r="E15" s="23"/>
      <c r="F15" s="24"/>
      <c r="G15" s="25"/>
      <c r="I15" s="23" t="s">
        <v>69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8" t="s">
        <v>70</v>
      </c>
      <c r="J16" s="25"/>
    </row>
    <row r="17" spans="2:16" ht="15.75" thickBot="1" x14ac:dyDescent="0.3">
      <c r="B17" s="45" t="s">
        <v>71</v>
      </c>
      <c r="C17" s="447"/>
      <c r="D17" s="448"/>
      <c r="E17" s="46" t="s">
        <v>72</v>
      </c>
      <c r="F17" s="447"/>
      <c r="G17" s="449"/>
      <c r="I17" s="28" t="s">
        <v>73</v>
      </c>
      <c r="J17" s="320">
        <f>+'REGUL SMITH'!G11</f>
        <v>3810.0645161290304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75</v>
      </c>
      <c r="J18" s="47">
        <f>+'REGUL SMITH'!H11</f>
        <v>361.36405529954118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3" t="s">
        <v>79</v>
      </c>
      <c r="J19" s="370">
        <v>0.31909999999999999</v>
      </c>
    </row>
    <row r="20" spans="2:16" s="56" customFormat="1" x14ac:dyDescent="0.25">
      <c r="B20" s="19" t="s">
        <v>11</v>
      </c>
      <c r="C20" s="57"/>
      <c r="D20" s="58"/>
      <c r="E20" s="26">
        <f>J3</f>
        <v>3700</v>
      </c>
      <c r="F20" s="59"/>
      <c r="G20" s="60"/>
      <c r="H20" s="11"/>
      <c r="I20" s="61" t="s">
        <v>80</v>
      </c>
      <c r="J20" s="62">
        <v>4.2000000000000003E-2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/>
      <c r="C21" s="64"/>
      <c r="D21" s="65"/>
      <c r="E21" s="66"/>
      <c r="F21" s="67"/>
      <c r="G21" s="68"/>
      <c r="I21" s="23" t="s">
        <v>81</v>
      </c>
      <c r="J21" s="72"/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>
        <v>21</v>
      </c>
      <c r="D22" s="69">
        <f>E20/J5</f>
        <v>25.170068027210885</v>
      </c>
      <c r="E22" s="66">
        <f>-D22*C22</f>
        <v>-528.57142857142856</v>
      </c>
      <c r="F22" s="67"/>
      <c r="G22" s="68"/>
      <c r="I22" s="23" t="s">
        <v>83</v>
      </c>
      <c r="J22" s="72"/>
      <c r="K22" s="11"/>
      <c r="L22" s="11"/>
      <c r="M22" s="11"/>
      <c r="N22" s="11"/>
      <c r="O22" s="11"/>
      <c r="P22" s="11"/>
    </row>
    <row r="23" spans="2:16" s="56" customFormat="1" x14ac:dyDescent="0.25">
      <c r="B23" s="63"/>
      <c r="C23" s="64"/>
      <c r="D23" s="65"/>
      <c r="E23" s="66"/>
      <c r="F23" s="67"/>
      <c r="G23" s="68"/>
      <c r="I23" s="23" t="s">
        <v>84</v>
      </c>
      <c r="K23" s="11"/>
      <c r="L23" s="11"/>
      <c r="M23" s="11"/>
      <c r="N23" s="11"/>
      <c r="O23" s="11"/>
      <c r="P23" s="11"/>
    </row>
    <row r="24" spans="2:16" ht="15.75" thickBot="1" x14ac:dyDescent="0.3">
      <c r="B24" s="23" t="s">
        <v>63</v>
      </c>
      <c r="C24" s="24">
        <f>J12</f>
        <v>0</v>
      </c>
      <c r="D24" s="71">
        <f>IF($J$4&gt;=151.67,$J$3/151.67*1.25,0)</f>
        <v>30.49383530032307</v>
      </c>
      <c r="E24" s="72">
        <f>D24*C24</f>
        <v>0</v>
      </c>
      <c r="F24" s="73"/>
      <c r="G24" s="74"/>
      <c r="I24" s="40" t="s">
        <v>85</v>
      </c>
      <c r="J24" s="70"/>
    </row>
    <row r="25" spans="2:16" ht="16.5" thickBot="1" x14ac:dyDescent="0.3">
      <c r="B25" s="23" t="s">
        <v>66</v>
      </c>
      <c r="C25" s="24">
        <f>J13</f>
        <v>0</v>
      </c>
      <c r="D25" s="71">
        <f>IF($J$4&gt;=151.67,$J$3/151.67*1.5,0)</f>
        <v>36.592602360387687</v>
      </c>
      <c r="E25" s="72">
        <f>D25*C25</f>
        <v>0</v>
      </c>
      <c r="F25" s="73"/>
      <c r="G25" s="76"/>
      <c r="I25" s="4" t="s">
        <v>86</v>
      </c>
      <c r="J25" s="75">
        <v>0.04</v>
      </c>
      <c r="K25" s="78"/>
    </row>
    <row r="26" spans="2:16" ht="15.75" thickBot="1" x14ac:dyDescent="0.3">
      <c r="B26" s="23" t="s">
        <v>68</v>
      </c>
      <c r="C26" s="24">
        <f>J14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79" t="s">
        <v>87</v>
      </c>
      <c r="J26" s="371">
        <v>2100</v>
      </c>
    </row>
    <row r="27" spans="2:16" x14ac:dyDescent="0.25">
      <c r="B27" s="23" t="s">
        <v>69</v>
      </c>
      <c r="C27" s="24">
        <f>J15</f>
        <v>0</v>
      </c>
      <c r="D27" s="24">
        <f>IF($J$4&lt;151.67,$E$20/151.67*1.1,0)</f>
        <v>0</v>
      </c>
      <c r="E27" s="72">
        <f t="shared" si="0"/>
        <v>0</v>
      </c>
      <c r="F27" s="73"/>
      <c r="G27" s="76"/>
    </row>
    <row r="28" spans="2:16" x14ac:dyDescent="0.25">
      <c r="B28" s="23"/>
      <c r="C28" s="24"/>
      <c r="D28" s="24"/>
      <c r="E28" s="72"/>
      <c r="F28" s="73"/>
      <c r="G28" s="76"/>
    </row>
    <row r="29" spans="2:16" ht="27" x14ac:dyDescent="0.25">
      <c r="B29" s="23" t="s">
        <v>88</v>
      </c>
      <c r="C29" s="81"/>
      <c r="D29" s="24"/>
      <c r="E29" s="72"/>
      <c r="F29" s="82"/>
      <c r="G29" s="83"/>
      <c r="I29" s="84"/>
    </row>
    <row r="30" spans="2:16" x14ac:dyDescent="0.25">
      <c r="B30" s="23" t="s">
        <v>89</v>
      </c>
      <c r="C30" s="81"/>
      <c r="D30" s="24"/>
      <c r="E30" s="72"/>
      <c r="F30" s="82"/>
      <c r="G30" s="83"/>
    </row>
    <row r="31" spans="2:16" ht="15.75" thickBot="1" x14ac:dyDescent="0.3">
      <c r="B31" s="23"/>
      <c r="C31" s="85"/>
      <c r="D31" s="86"/>
      <c r="E31" s="87"/>
      <c r="F31" s="88"/>
      <c r="G31" s="89"/>
    </row>
    <row r="32" spans="2:16" ht="15.75" thickBot="1" x14ac:dyDescent="0.3">
      <c r="B32" s="90" t="s">
        <v>90</v>
      </c>
      <c r="C32" s="91"/>
      <c r="D32" s="92"/>
      <c r="E32" s="93"/>
      <c r="F32" s="94"/>
      <c r="G32" s="95"/>
      <c r="I32" s="322" t="s">
        <v>219</v>
      </c>
      <c r="J32" s="17"/>
      <c r="K32" s="18"/>
    </row>
    <row r="33" spans="2:11" x14ac:dyDescent="0.25">
      <c r="B33" s="96" t="s">
        <v>91</v>
      </c>
      <c r="C33" s="97"/>
      <c r="D33" s="98"/>
      <c r="E33" s="99"/>
      <c r="F33" s="100"/>
      <c r="G33" s="101"/>
      <c r="I33" s="23"/>
      <c r="J33" s="24"/>
      <c r="K33" s="25"/>
    </row>
    <row r="34" spans="2:11" x14ac:dyDescent="0.25">
      <c r="B34" s="90" t="s">
        <v>28</v>
      </c>
      <c r="C34" s="97"/>
      <c r="D34" s="98"/>
      <c r="E34" s="99"/>
      <c r="F34" s="100"/>
      <c r="G34" s="101"/>
      <c r="I34" s="23" t="s">
        <v>11</v>
      </c>
      <c r="J34" s="24"/>
      <c r="K34" s="320">
        <f>E37</f>
        <v>4171.4285714285716</v>
      </c>
    </row>
    <row r="35" spans="2:11" x14ac:dyDescent="0.25">
      <c r="B35" s="96" t="s">
        <v>277</v>
      </c>
      <c r="C35" s="97"/>
      <c r="D35" s="98"/>
      <c r="E35" s="99">
        <v>1000</v>
      </c>
      <c r="F35" s="100"/>
      <c r="G35" s="101"/>
      <c r="I35" s="23" t="s">
        <v>220</v>
      </c>
      <c r="J35" s="24"/>
      <c r="K35" s="320">
        <f>-E67</f>
        <v>-934.45439059907847</v>
      </c>
    </row>
    <row r="36" spans="2:11" ht="15.75" thickBot="1" x14ac:dyDescent="0.3">
      <c r="B36" s="102" t="s">
        <v>92</v>
      </c>
      <c r="C36" s="97"/>
      <c r="D36" s="98"/>
      <c r="E36" s="103">
        <f>C36*D36</f>
        <v>0</v>
      </c>
      <c r="F36" s="100"/>
      <c r="G36" s="101"/>
      <c r="I36" s="23" t="s">
        <v>221</v>
      </c>
      <c r="J36" s="24"/>
      <c r="K36" s="320">
        <f>E62</f>
        <v>119.9749885714286</v>
      </c>
    </row>
    <row r="37" spans="2:11" ht="16.5" thickTop="1" thickBot="1" x14ac:dyDescent="0.3">
      <c r="B37" s="104" t="s">
        <v>93</v>
      </c>
      <c r="C37" s="105"/>
      <c r="D37" s="106"/>
      <c r="E37" s="107">
        <f>SUM(E20:E36)</f>
        <v>4171.4285714285716</v>
      </c>
      <c r="F37" s="100"/>
      <c r="G37" s="101"/>
      <c r="I37" s="23" t="s">
        <v>222</v>
      </c>
      <c r="J37" s="24"/>
      <c r="K37" s="320">
        <f>G42</f>
        <v>0</v>
      </c>
    </row>
    <row r="38" spans="2:11" ht="15.75" thickBot="1" x14ac:dyDescent="0.3">
      <c r="B38" s="108"/>
      <c r="C38" s="109"/>
      <c r="D38" s="110"/>
      <c r="E38" s="110"/>
      <c r="F38" s="111"/>
      <c r="G38" s="112"/>
      <c r="I38" s="23" t="s">
        <v>2</v>
      </c>
      <c r="J38" s="24"/>
      <c r="K38" s="320">
        <f>G44</f>
        <v>38.64</v>
      </c>
    </row>
    <row r="39" spans="2:11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  <c r="I39" s="23" t="s">
        <v>137</v>
      </c>
      <c r="J39" s="24"/>
      <c r="K39" s="320">
        <f>SUM(K34:K38)</f>
        <v>3395.5891694009215</v>
      </c>
    </row>
    <row r="40" spans="2:11" x14ac:dyDescent="0.25">
      <c r="B40" s="116" t="s">
        <v>99</v>
      </c>
      <c r="C40" s="117"/>
      <c r="D40" s="118"/>
      <c r="E40" s="118"/>
      <c r="F40" s="119"/>
      <c r="G40" s="120"/>
      <c r="I40" s="23"/>
      <c r="J40" s="24"/>
      <c r="K40" s="25"/>
    </row>
    <row r="41" spans="2:11" x14ac:dyDescent="0.25">
      <c r="B41" s="121" t="s">
        <v>100</v>
      </c>
      <c r="C41" s="97">
        <f>$E$37</f>
        <v>4171.4285714285716</v>
      </c>
      <c r="D41" s="122"/>
      <c r="E41" s="123"/>
      <c r="F41" s="124">
        <v>7.0000000000000007E-2</v>
      </c>
      <c r="G41" s="325">
        <f>F41*C41</f>
        <v>292.00000000000006</v>
      </c>
      <c r="I41" s="323" t="s">
        <v>223</v>
      </c>
      <c r="J41" s="24"/>
      <c r="K41" s="25"/>
    </row>
    <row r="42" spans="2:11" x14ac:dyDescent="0.25">
      <c r="B42" s="121" t="s">
        <v>101</v>
      </c>
      <c r="C42" s="97">
        <f>$J$17</f>
        <v>3810.0645161290304</v>
      </c>
      <c r="D42" s="126"/>
      <c r="E42" s="127"/>
      <c r="F42" s="128">
        <f>J24</f>
        <v>0</v>
      </c>
      <c r="G42" s="125">
        <f>F42*C42</f>
        <v>0</v>
      </c>
      <c r="I42" s="23"/>
      <c r="J42" s="24"/>
      <c r="K42" s="25"/>
    </row>
    <row r="43" spans="2:11" x14ac:dyDescent="0.25">
      <c r="B43" s="121" t="s">
        <v>102</v>
      </c>
      <c r="C43" s="97">
        <f>$J$18</f>
        <v>361.36405529954118</v>
      </c>
      <c r="D43" s="126"/>
      <c r="E43" s="127"/>
      <c r="F43" s="128"/>
      <c r="G43" s="125">
        <f>F43*C43</f>
        <v>0</v>
      </c>
      <c r="I43" s="23" t="s">
        <v>224</v>
      </c>
      <c r="J43" s="24"/>
      <c r="K43" s="320" t="e">
        <f>'Calcul maladie WINCKERT'!#REF!</f>
        <v>#REF!</v>
      </c>
    </row>
    <row r="44" spans="2:11" x14ac:dyDescent="0.25">
      <c r="B44" s="121" t="s">
        <v>103</v>
      </c>
      <c r="C44" s="97">
        <v>3864</v>
      </c>
      <c r="D44" s="126">
        <v>0.01</v>
      </c>
      <c r="E44" s="127">
        <f>+D44*C44</f>
        <v>38.64</v>
      </c>
      <c r="F44" s="128">
        <v>0.01</v>
      </c>
      <c r="G44" s="125">
        <f>+F44*C44</f>
        <v>38.64</v>
      </c>
      <c r="I44" s="23" t="s">
        <v>225</v>
      </c>
      <c r="J44" s="24"/>
      <c r="K44" s="320" t="e">
        <f>K43*3.8%</f>
        <v>#REF!</v>
      </c>
    </row>
    <row r="45" spans="2:11" x14ac:dyDescent="0.25">
      <c r="B45" s="129" t="s">
        <v>104</v>
      </c>
      <c r="C45" s="97">
        <f>J17+J18</f>
        <v>4171.4285714285716</v>
      </c>
      <c r="E45" s="97"/>
      <c r="F45" s="130">
        <f>J7</f>
        <v>3.5999999999999997E-2</v>
      </c>
      <c r="G45" s="125">
        <f>F45*C45</f>
        <v>150.17142857142858</v>
      </c>
      <c r="I45" s="23" t="s">
        <v>226</v>
      </c>
      <c r="J45" s="24"/>
      <c r="K45" s="320" t="e">
        <f>K43-K44</f>
        <v>#REF!</v>
      </c>
    </row>
    <row r="46" spans="2:11" x14ac:dyDescent="0.25">
      <c r="B46" s="116" t="s">
        <v>105</v>
      </c>
      <c r="C46" s="117"/>
      <c r="D46" s="118"/>
      <c r="E46" s="118"/>
      <c r="F46" s="119"/>
      <c r="G46" s="120"/>
      <c r="I46" s="326" t="s">
        <v>227</v>
      </c>
      <c r="J46" s="327" t="s">
        <v>228</v>
      </c>
      <c r="K46" s="328" t="e">
        <f>K45/2</f>
        <v>#REF!</v>
      </c>
    </row>
    <row r="47" spans="2:11" ht="15.75" thickBot="1" x14ac:dyDescent="0.3">
      <c r="B47" s="121" t="s">
        <v>106</v>
      </c>
      <c r="C47" s="97">
        <f>$J$17</f>
        <v>3810.0645161290304</v>
      </c>
      <c r="D47" s="126">
        <v>6.9000000000000006E-2</v>
      </c>
      <c r="E47" s="127">
        <f>D47*C47</f>
        <v>262.89445161290314</v>
      </c>
      <c r="F47" s="128">
        <v>8.5500000000000007E-2</v>
      </c>
      <c r="G47" s="125">
        <f>F47*C47</f>
        <v>325.76051612903211</v>
      </c>
      <c r="I47" s="40" t="s">
        <v>135</v>
      </c>
      <c r="J47" s="43"/>
      <c r="K47" s="321" t="e">
        <f>K39+K45-K46</f>
        <v>#REF!</v>
      </c>
    </row>
    <row r="48" spans="2:11" x14ac:dyDescent="0.25">
      <c r="B48" s="121" t="s">
        <v>107</v>
      </c>
      <c r="C48" s="97">
        <f>$E$37</f>
        <v>4171.4285714285716</v>
      </c>
      <c r="D48" s="126">
        <v>4.0000000000000001E-3</v>
      </c>
      <c r="E48" s="127">
        <f t="shared" ref="E48:E51" si="1">D48*C48</f>
        <v>16.685714285714287</v>
      </c>
      <c r="F48" s="128">
        <v>2.0199999999999999E-2</v>
      </c>
      <c r="G48" s="125">
        <f t="shared" ref="G48:G51" si="2">F48*C48</f>
        <v>84.262857142857143</v>
      </c>
    </row>
    <row r="49" spans="2:7" x14ac:dyDescent="0.25">
      <c r="B49" s="121" t="s">
        <v>108</v>
      </c>
      <c r="C49" s="97">
        <f>$J$17</f>
        <v>3810.0645161290304</v>
      </c>
      <c r="D49" s="126">
        <v>4.0099999999999997E-2</v>
      </c>
      <c r="E49" s="127">
        <f t="shared" si="1"/>
        <v>152.78358709677411</v>
      </c>
      <c r="F49" s="128">
        <v>6.0100000000000001E-2</v>
      </c>
      <c r="G49" s="125">
        <f t="shared" si="2"/>
        <v>228.98487741935472</v>
      </c>
    </row>
    <row r="50" spans="2:7" x14ac:dyDescent="0.25">
      <c r="B50" s="121" t="s">
        <v>109</v>
      </c>
      <c r="C50" s="97">
        <f>+J18</f>
        <v>361.36405529954118</v>
      </c>
      <c r="D50" s="126">
        <v>9.7199999999999995E-2</v>
      </c>
      <c r="E50" s="127">
        <f t="shared" si="1"/>
        <v>35.124586175115404</v>
      </c>
      <c r="F50" s="128">
        <v>0.1457</v>
      </c>
      <c r="G50" s="125">
        <f t="shared" si="2"/>
        <v>52.65074285714315</v>
      </c>
    </row>
    <row r="51" spans="2:7" x14ac:dyDescent="0.25">
      <c r="B51" s="121" t="s">
        <v>110</v>
      </c>
      <c r="C51" s="97">
        <f>+'REGUL SMITH'!H34</f>
        <v>19307.428571428572</v>
      </c>
      <c r="D51" s="126">
        <v>1.4E-3</v>
      </c>
      <c r="E51" s="127">
        <f t="shared" si="1"/>
        <v>27.0304</v>
      </c>
      <c r="F51" s="128">
        <v>2.0999999999999999E-3</v>
      </c>
      <c r="G51" s="125">
        <f t="shared" si="2"/>
        <v>40.5456</v>
      </c>
    </row>
    <row r="52" spans="2:7" x14ac:dyDescent="0.25">
      <c r="B52" s="121" t="s">
        <v>111</v>
      </c>
      <c r="C52" s="97"/>
      <c r="D52" s="126"/>
      <c r="E52" s="127"/>
      <c r="F52" s="128"/>
      <c r="G52" s="125"/>
    </row>
    <row r="53" spans="2:7" x14ac:dyDescent="0.25">
      <c r="B53" s="116" t="s">
        <v>112</v>
      </c>
      <c r="C53" s="97">
        <f>$E$37</f>
        <v>4171.4285714285716</v>
      </c>
      <c r="D53" s="131"/>
      <c r="E53" s="97"/>
      <c r="F53" s="128">
        <v>3.4500000000000003E-2</v>
      </c>
      <c r="G53" s="324">
        <f>F53*C53</f>
        <v>143.91428571428574</v>
      </c>
    </row>
    <row r="54" spans="2:7" x14ac:dyDescent="0.25">
      <c r="B54" s="116" t="s">
        <v>113</v>
      </c>
      <c r="C54" s="97"/>
      <c r="D54" s="131"/>
      <c r="E54" s="97"/>
      <c r="F54" s="133"/>
      <c r="G54" s="125"/>
    </row>
    <row r="55" spans="2:7" x14ac:dyDescent="0.25">
      <c r="B55" s="121" t="s">
        <v>114</v>
      </c>
      <c r="C55" s="97">
        <f>E37</f>
        <v>4171.4285714285716</v>
      </c>
      <c r="D55" s="131"/>
      <c r="E55" s="97"/>
      <c r="F55" s="134">
        <v>4.2500000000000003E-2</v>
      </c>
      <c r="G55" s="125">
        <f t="shared" ref="G55" si="3">F55*C55</f>
        <v>177.28571428571431</v>
      </c>
    </row>
    <row r="56" spans="2:7" x14ac:dyDescent="0.25">
      <c r="B56" s="121" t="s">
        <v>115</v>
      </c>
      <c r="C56" s="97"/>
      <c r="D56" s="135">
        <v>2.4000000000000001E-4</v>
      </c>
      <c r="E56" s="136">
        <f>D56*C56</f>
        <v>0</v>
      </c>
      <c r="F56" s="133">
        <v>3.6000000000000002E-4</v>
      </c>
      <c r="G56" s="137">
        <f>C56*F56</f>
        <v>0</v>
      </c>
    </row>
    <row r="57" spans="2:7" x14ac:dyDescent="0.25">
      <c r="B57" s="116" t="s">
        <v>116</v>
      </c>
      <c r="C57" s="97"/>
      <c r="D57" s="131"/>
      <c r="E57" s="97"/>
      <c r="F57" s="133"/>
      <c r="G57" s="125">
        <f>E103</f>
        <v>67.632921658986177</v>
      </c>
    </row>
    <row r="58" spans="2:7" x14ac:dyDescent="0.25">
      <c r="B58" s="129"/>
      <c r="C58" s="97"/>
      <c r="D58" s="97"/>
      <c r="E58" s="97"/>
      <c r="F58" s="97"/>
      <c r="G58" s="138"/>
    </row>
    <row r="59" spans="2:7" ht="25.5" x14ac:dyDescent="0.25">
      <c r="B59" s="139" t="s">
        <v>117</v>
      </c>
      <c r="C59" s="97"/>
      <c r="D59" s="97"/>
      <c r="E59" s="97"/>
      <c r="F59" s="97"/>
      <c r="G59" s="138"/>
    </row>
    <row r="60" spans="2:7" x14ac:dyDescent="0.25">
      <c r="B60" s="129"/>
      <c r="C60" s="97"/>
      <c r="D60" s="135"/>
      <c r="E60" s="97"/>
      <c r="F60" s="140"/>
      <c r="G60" s="125"/>
    </row>
    <row r="61" spans="2:7" x14ac:dyDescent="0.25">
      <c r="B61" s="129" t="s">
        <v>118</v>
      </c>
      <c r="C61" s="97">
        <f>(E37-E24-E25-E26-E27)*0.9825+G42+G43+G44</f>
        <v>4137.0685714285719</v>
      </c>
      <c r="D61" s="126">
        <v>6.8000000000000005E-2</v>
      </c>
      <c r="E61" s="127">
        <f>D61*C61</f>
        <v>281.32066285714291</v>
      </c>
      <c r="F61" s="128"/>
      <c r="G61" s="125"/>
    </row>
    <row r="62" spans="2:7" x14ac:dyDescent="0.25">
      <c r="B62" s="129" t="s">
        <v>119</v>
      </c>
      <c r="C62" s="97">
        <f>C61</f>
        <v>4137.0685714285719</v>
      </c>
      <c r="D62" s="126">
        <v>2.9000000000000001E-2</v>
      </c>
      <c r="E62" s="127">
        <f>D62*C62</f>
        <v>119.9749885714286</v>
      </c>
      <c r="F62" s="128"/>
      <c r="G62" s="125"/>
    </row>
    <row r="63" spans="2:7" ht="25.5" x14ac:dyDescent="0.25">
      <c r="B63" s="141" t="s">
        <v>120</v>
      </c>
      <c r="C63" s="97">
        <f>(E24+E25+E26+E27)*0.9825</f>
        <v>0</v>
      </c>
      <c r="D63" s="126">
        <v>9.7000000000000003E-2</v>
      </c>
      <c r="E63" s="127">
        <f>D63*C63</f>
        <v>0</v>
      </c>
      <c r="F63" s="128"/>
      <c r="G63" s="125"/>
    </row>
    <row r="64" spans="2:7" x14ac:dyDescent="0.25">
      <c r="B64" s="383" t="s">
        <v>257</v>
      </c>
      <c r="C64" s="126"/>
      <c r="D64" s="126"/>
      <c r="E64" s="127"/>
      <c r="F64" s="128"/>
      <c r="G64" s="138">
        <f>-I124</f>
        <v>0</v>
      </c>
    </row>
    <row r="65" spans="2:7" x14ac:dyDescent="0.25">
      <c r="B65" s="141"/>
      <c r="C65" s="142"/>
      <c r="D65" s="126"/>
      <c r="E65" s="127"/>
      <c r="F65" s="128"/>
      <c r="G65" s="125"/>
    </row>
    <row r="66" spans="2:7" ht="15.75" thickBot="1" x14ac:dyDescent="0.3">
      <c r="B66" s="143"/>
      <c r="C66" s="144">
        <f>IF(AND(J4=151.67,J6&lt;20),C24+C25,0)</f>
        <v>0</v>
      </c>
      <c r="D66" s="145"/>
      <c r="E66" s="146"/>
      <c r="F66" s="147"/>
      <c r="G66" s="148"/>
    </row>
    <row r="67" spans="2:7" ht="15.75" thickBot="1" x14ac:dyDescent="0.3">
      <c r="B67" s="149" t="s">
        <v>124</v>
      </c>
      <c r="C67" s="150"/>
      <c r="D67" s="151"/>
      <c r="E67" s="152">
        <f>SUM(E41:E66)</f>
        <v>934.45439059907847</v>
      </c>
      <c r="F67" s="153"/>
      <c r="G67" s="154">
        <f>SUM(G41:G66)</f>
        <v>1601.8489437788019</v>
      </c>
    </row>
    <row r="68" spans="2:7" x14ac:dyDescent="0.25">
      <c r="B68" s="155"/>
      <c r="C68" s="156"/>
      <c r="D68" s="157"/>
      <c r="E68" s="158"/>
      <c r="F68" s="159"/>
      <c r="G68" s="160"/>
    </row>
    <row r="69" spans="2:7" x14ac:dyDescent="0.25">
      <c r="B69" s="121" t="s">
        <v>125</v>
      </c>
      <c r="C69" s="127"/>
      <c r="D69" s="161"/>
      <c r="E69" s="162"/>
      <c r="F69" s="163"/>
      <c r="G69" s="164"/>
    </row>
    <row r="70" spans="2:7" x14ac:dyDescent="0.25">
      <c r="B70" s="121" t="s">
        <v>126</v>
      </c>
      <c r="C70" s="127"/>
      <c r="D70" s="161"/>
      <c r="E70" s="162"/>
      <c r="F70" s="163"/>
      <c r="G70" s="164"/>
    </row>
    <row r="71" spans="2:7" x14ac:dyDescent="0.25">
      <c r="B71" s="121" t="s">
        <v>127</v>
      </c>
      <c r="C71" s="127"/>
      <c r="D71" s="161"/>
      <c r="E71" s="127"/>
      <c r="F71" s="163"/>
      <c r="G71" s="164"/>
    </row>
    <row r="72" spans="2:7" ht="15.75" customHeight="1" x14ac:dyDescent="0.25">
      <c r="B72" s="165" t="s">
        <v>128</v>
      </c>
      <c r="C72" s="127"/>
      <c r="D72" s="161"/>
      <c r="E72" s="166"/>
      <c r="F72" s="163"/>
      <c r="G72" s="164"/>
    </row>
    <row r="73" spans="2:7" x14ac:dyDescent="0.25">
      <c r="B73" s="167" t="s">
        <v>255</v>
      </c>
      <c r="C73" s="366">
        <v>62</v>
      </c>
      <c r="D73" s="372">
        <v>0.5</v>
      </c>
      <c r="E73" s="169">
        <f>C73*D73</f>
        <v>31</v>
      </c>
      <c r="F73" s="170"/>
      <c r="G73" s="164"/>
    </row>
    <row r="74" spans="2:7" x14ac:dyDescent="0.25">
      <c r="B74" s="171" t="s">
        <v>223</v>
      </c>
      <c r="C74" s="127"/>
      <c r="D74" s="161"/>
      <c r="E74" s="172"/>
      <c r="F74" s="163"/>
      <c r="G74" s="164"/>
    </row>
    <row r="75" spans="2:7" ht="15.75" thickBot="1" x14ac:dyDescent="0.3">
      <c r="B75" s="143" t="s">
        <v>288</v>
      </c>
      <c r="C75" s="146"/>
      <c r="D75" s="173"/>
      <c r="E75" s="174"/>
      <c r="F75" s="175"/>
      <c r="G75" s="148">
        <f>+E37-E67</f>
        <v>3236.974180829493</v>
      </c>
    </row>
    <row r="76" spans="2:7" ht="15.75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3267.974180829493</v>
      </c>
    </row>
    <row r="77" spans="2:7" ht="28.5" x14ac:dyDescent="0.25">
      <c r="B77" s="178" t="s">
        <v>131</v>
      </c>
      <c r="C77" s="179"/>
      <c r="D77" s="180"/>
      <c r="E77" s="181"/>
      <c r="F77" s="182"/>
      <c r="G77" s="183">
        <f>E110</f>
        <v>61.069834285714279</v>
      </c>
    </row>
    <row r="78" spans="2:7" x14ac:dyDescent="0.25">
      <c r="B78" s="384" t="s">
        <v>132</v>
      </c>
      <c r="C78" s="384" t="s">
        <v>133</v>
      </c>
      <c r="D78" s="384" t="s">
        <v>96</v>
      </c>
      <c r="E78" s="385" t="s">
        <v>134</v>
      </c>
      <c r="F78" s="385"/>
      <c r="G78" s="386" t="s">
        <v>258</v>
      </c>
    </row>
    <row r="79" spans="2:7" x14ac:dyDescent="0.25">
      <c r="B79" s="387" t="s">
        <v>259</v>
      </c>
      <c r="C79" s="388"/>
      <c r="D79" s="390">
        <f>E37+G44+E62-E67</f>
        <v>3395.5891694009215</v>
      </c>
      <c r="E79" s="390"/>
      <c r="F79" s="391"/>
      <c r="G79" s="392"/>
    </row>
    <row r="80" spans="2:7" x14ac:dyDescent="0.25">
      <c r="B80" s="387" t="s">
        <v>260</v>
      </c>
      <c r="C80" s="393">
        <f>D79</f>
        <v>3395.5891694009215</v>
      </c>
      <c r="D80" s="394">
        <v>4.2000000000000003E-2</v>
      </c>
      <c r="E80" s="390">
        <f>D80*C80</f>
        <v>142.61474511483871</v>
      </c>
      <c r="F80" s="391"/>
      <c r="G80" s="392"/>
    </row>
    <row r="81" spans="2:7" x14ac:dyDescent="0.25">
      <c r="B81" s="387" t="s">
        <v>261</v>
      </c>
      <c r="C81" s="388"/>
      <c r="D81" s="390"/>
      <c r="E81" s="389"/>
      <c r="F81" s="391"/>
      <c r="G81" s="392"/>
    </row>
    <row r="82" spans="2:7" x14ac:dyDescent="0.25">
      <c r="B82" s="387"/>
      <c r="C82" s="388"/>
      <c r="D82" s="389"/>
      <c r="E82" s="389"/>
      <c r="F82" s="391"/>
      <c r="G82" s="395"/>
    </row>
    <row r="83" spans="2:7" x14ac:dyDescent="0.25">
      <c r="B83" s="396" t="s">
        <v>262</v>
      </c>
      <c r="C83" s="389"/>
      <c r="D83" s="389"/>
      <c r="E83" s="390">
        <f>G76-E80</f>
        <v>3125.3594357146544</v>
      </c>
      <c r="F83" s="391"/>
      <c r="G83" s="392"/>
    </row>
    <row r="84" spans="2:7" x14ac:dyDescent="0.25">
      <c r="B84" s="387" t="s">
        <v>263</v>
      </c>
      <c r="C84" s="389"/>
      <c r="D84" s="389"/>
      <c r="E84" s="390">
        <f>E118</f>
        <v>325.37142857142857</v>
      </c>
      <c r="F84" s="391"/>
      <c r="G84" s="392"/>
    </row>
    <row r="85" spans="2:7" x14ac:dyDescent="0.25">
      <c r="B85" s="387" t="s">
        <v>264</v>
      </c>
      <c r="C85" s="397"/>
      <c r="D85" s="389"/>
      <c r="E85" s="390">
        <f>G67+E37</f>
        <v>5773.2775152073737</v>
      </c>
      <c r="F85" s="391"/>
      <c r="G85" s="392"/>
    </row>
    <row r="86" spans="2:7" ht="15.75" thickBot="1" x14ac:dyDescent="0.3">
      <c r="B86" s="398" t="s">
        <v>138</v>
      </c>
      <c r="C86" s="187"/>
      <c r="D86" s="187"/>
      <c r="E86" s="187"/>
      <c r="F86" s="399"/>
      <c r="G86" s="400"/>
    </row>
    <row r="87" spans="2:7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2:7" s="189" customFormat="1" ht="15.75" thickBot="1" x14ac:dyDescent="0.3">
      <c r="B90" s="453" t="s">
        <v>116</v>
      </c>
      <c r="C90" s="454"/>
      <c r="D90" s="11"/>
      <c r="E90" s="11"/>
    </row>
    <row r="91" spans="2:7" s="189" customFormat="1" x14ac:dyDescent="0.25">
      <c r="B91" s="190"/>
      <c r="C91" s="191"/>
      <c r="D91" s="455">
        <f>+E37</f>
        <v>4171.4285714285716</v>
      </c>
      <c r="E91" s="192"/>
    </row>
    <row r="92" spans="2:7" s="189" customFormat="1" x14ac:dyDescent="0.25">
      <c r="B92" s="193" t="s">
        <v>139</v>
      </c>
      <c r="C92" s="194">
        <f>IF(J6&gt;=11,J8,0)</f>
        <v>0</v>
      </c>
      <c r="D92" s="456"/>
      <c r="E92" s="195">
        <f>C92*$D$91</f>
        <v>0</v>
      </c>
    </row>
    <row r="93" spans="2:7" s="189" customFormat="1" x14ac:dyDescent="0.25">
      <c r="B93" s="193" t="s">
        <v>140</v>
      </c>
      <c r="C93" s="194">
        <f>IF(J6&lt;50,0%,0.5%)</f>
        <v>0</v>
      </c>
      <c r="D93" s="456"/>
      <c r="E93" s="195">
        <f t="shared" ref="E93:E98" si="4">C93*$D$91</f>
        <v>0</v>
      </c>
    </row>
    <row r="94" spans="2:7" s="189" customFormat="1" x14ac:dyDescent="0.25">
      <c r="B94" s="193" t="s">
        <v>141</v>
      </c>
      <c r="C94" s="194"/>
      <c r="D94" s="456"/>
      <c r="E94" s="195">
        <f t="shared" si="4"/>
        <v>0</v>
      </c>
    </row>
    <row r="95" spans="2:7" s="189" customFormat="1" x14ac:dyDescent="0.25">
      <c r="B95" s="193" t="s">
        <v>142</v>
      </c>
      <c r="C95" s="194">
        <v>3.0000000000000001E-3</v>
      </c>
      <c r="D95" s="456"/>
      <c r="E95" s="195">
        <f t="shared" si="4"/>
        <v>12.514285714285714</v>
      </c>
    </row>
    <row r="96" spans="2:7" s="189" customFormat="1" x14ac:dyDescent="0.25">
      <c r="B96" s="193" t="s">
        <v>143</v>
      </c>
      <c r="C96" s="194">
        <v>6.7999999999999996E-3</v>
      </c>
      <c r="D96" s="456"/>
      <c r="E96" s="195">
        <f t="shared" si="4"/>
        <v>28.365714285714287</v>
      </c>
    </row>
    <row r="97" spans="2:5" s="189" customFormat="1" x14ac:dyDescent="0.25">
      <c r="B97" s="193" t="s">
        <v>144</v>
      </c>
      <c r="C97" s="194">
        <f>IF(J6&lt;11,0.55%,1%)</f>
        <v>5.5000000000000005E-3</v>
      </c>
      <c r="D97" s="456"/>
      <c r="E97" s="195">
        <f t="shared" si="4"/>
        <v>22.942857142857147</v>
      </c>
    </row>
    <row r="98" spans="2:5" s="189" customFormat="1" x14ac:dyDescent="0.25">
      <c r="B98" s="193"/>
      <c r="C98" s="194">
        <f>IF(J6&lt;=50,0,0.45%)</f>
        <v>0</v>
      </c>
      <c r="D98" s="456"/>
      <c r="E98" s="195">
        <f t="shared" si="4"/>
        <v>0</v>
      </c>
    </row>
    <row r="99" spans="2:5" s="189" customFormat="1" x14ac:dyDescent="0.25">
      <c r="B99" s="23"/>
      <c r="C99" s="24"/>
      <c r="D99" s="24"/>
      <c r="E99" s="25"/>
    </row>
    <row r="100" spans="2:5" s="189" customFormat="1" x14ac:dyDescent="0.25">
      <c r="B100" s="23" t="s">
        <v>145</v>
      </c>
      <c r="C100" s="196">
        <f>IF(J6&gt;=11,+G42+G43+G44,0)</f>
        <v>0</v>
      </c>
      <c r="D100" s="197">
        <v>0.08</v>
      </c>
      <c r="E100" s="198">
        <f>D100*C100</f>
        <v>0</v>
      </c>
    </row>
    <row r="101" spans="2:5" s="189" customFormat="1" ht="15.75" thickBot="1" x14ac:dyDescent="0.3">
      <c r="B101" s="40" t="s">
        <v>146</v>
      </c>
      <c r="C101" s="199">
        <f>IF(J6&lt;50,J17,0)</f>
        <v>3810.0645161290304</v>
      </c>
      <c r="D101" s="200">
        <v>1E-3</v>
      </c>
      <c r="E101" s="201">
        <f>D101*C101</f>
        <v>3.8100645161290303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ht="15.75" thickBot="1" x14ac:dyDescent="0.3">
      <c r="B103" s="202" t="s">
        <v>147</v>
      </c>
      <c r="C103" s="203"/>
      <c r="D103" s="203"/>
      <c r="E103" s="204">
        <f>SUM(E92:E101)</f>
        <v>67.632921658986177</v>
      </c>
    </row>
    <row r="104" spans="2:5" s="189" customFormat="1" ht="15.75" thickBot="1" x14ac:dyDescent="0.3">
      <c r="B104" s="11"/>
      <c r="C104" s="11"/>
      <c r="D104" s="11"/>
      <c r="E104" s="11"/>
    </row>
    <row r="105" spans="2:5" s="189" customFormat="1" thickBot="1" x14ac:dyDescent="0.3">
      <c r="B105" s="457" t="s">
        <v>148</v>
      </c>
      <c r="C105" s="458"/>
      <c r="D105" s="458"/>
      <c r="E105" s="459"/>
    </row>
    <row r="106" spans="2:5" s="189" customFormat="1" x14ac:dyDescent="0.25">
      <c r="B106" s="205" t="s">
        <v>149</v>
      </c>
      <c r="C106" s="206">
        <f>E37</f>
        <v>4171.4285714285716</v>
      </c>
      <c r="D106" s="207">
        <v>2.4E-2</v>
      </c>
      <c r="E106" s="208">
        <f>D106*C106</f>
        <v>100.11428571428571</v>
      </c>
    </row>
    <row r="107" spans="2:5" s="189" customFormat="1" x14ac:dyDescent="0.25">
      <c r="B107" s="209" t="s">
        <v>17</v>
      </c>
      <c r="C107" s="206">
        <f>C106</f>
        <v>4171.4285714285716</v>
      </c>
      <c r="D107" s="210">
        <v>7.4999999999999997E-3</v>
      </c>
      <c r="E107" s="211">
        <f t="shared" ref="E107:E108" si="5">D107*C107</f>
        <v>31.285714285714285</v>
      </c>
    </row>
    <row r="108" spans="2:5" s="189" customFormat="1" x14ac:dyDescent="0.25">
      <c r="B108" s="209" t="s">
        <v>150</v>
      </c>
      <c r="C108" s="206">
        <f>C61+C63</f>
        <v>4137.0685714285719</v>
      </c>
      <c r="D108" s="210">
        <v>-1.7000000000000001E-2</v>
      </c>
      <c r="E108" s="211">
        <f t="shared" si="5"/>
        <v>-70.330165714285727</v>
      </c>
    </row>
    <row r="109" spans="2:5" s="189" customFormat="1" x14ac:dyDescent="0.25">
      <c r="B109" s="184"/>
      <c r="C109" s="212"/>
      <c r="D109" s="213"/>
      <c r="E109" s="214"/>
    </row>
    <row r="110" spans="2:5" s="189" customFormat="1" ht="15.75" thickBot="1" x14ac:dyDescent="0.3">
      <c r="B110" s="215" t="s">
        <v>151</v>
      </c>
      <c r="C110" s="216"/>
      <c r="D110" s="217"/>
      <c r="E110" s="218">
        <f>SUM(E106:E109)</f>
        <v>61.069834285714279</v>
      </c>
    </row>
    <row r="111" spans="2:5" s="189" customFormat="1" ht="12.75" x14ac:dyDescent="0.25"/>
    <row r="112" spans="2:5" s="189" customFormat="1" ht="13.5" thickBot="1" x14ac:dyDescent="0.3"/>
    <row r="113" spans="2:9" s="189" customFormat="1" thickBot="1" x14ac:dyDescent="0.3">
      <c r="B113" s="457" t="s">
        <v>152</v>
      </c>
      <c r="C113" s="458"/>
      <c r="D113" s="458"/>
      <c r="E113" s="459"/>
    </row>
    <row r="114" spans="2:9" s="189" customFormat="1" ht="15.75" customHeight="1" x14ac:dyDescent="0.25">
      <c r="B114" s="219" t="s">
        <v>153</v>
      </c>
      <c r="C114" s="220"/>
      <c r="D114" s="220"/>
      <c r="E114" s="221">
        <f>I124</f>
        <v>0</v>
      </c>
    </row>
    <row r="115" spans="2:9" s="189" customFormat="1" ht="15.75" customHeight="1" x14ac:dyDescent="0.25">
      <c r="B115" s="222" t="s">
        <v>154</v>
      </c>
      <c r="C115" s="223">
        <f>C66</f>
        <v>0</v>
      </c>
      <c r="D115" s="224">
        <v>1.5</v>
      </c>
      <c r="E115" s="225">
        <f>D115*C115</f>
        <v>0</v>
      </c>
    </row>
    <row r="116" spans="2:9" s="189" customFormat="1" ht="15.75" customHeight="1" x14ac:dyDescent="0.25">
      <c r="B116" s="222" t="s">
        <v>155</v>
      </c>
      <c r="C116" s="226">
        <f>C41</f>
        <v>4171.4285714285716</v>
      </c>
      <c r="D116" s="210">
        <v>1.7999999999999999E-2</v>
      </c>
      <c r="E116" s="225">
        <f>D116*C116</f>
        <v>75.085714285714289</v>
      </c>
    </row>
    <row r="117" spans="2:9" s="189" customFormat="1" ht="15.75" customHeight="1" x14ac:dyDescent="0.25">
      <c r="B117" s="222" t="s">
        <v>156</v>
      </c>
      <c r="C117" s="226">
        <f>C116</f>
        <v>4171.4285714285716</v>
      </c>
      <c r="D117" s="210">
        <v>0.06</v>
      </c>
      <c r="E117" s="225">
        <f>D117*C117</f>
        <v>250.28571428571428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325.37142857142857</v>
      </c>
    </row>
    <row r="121" spans="2:9" ht="15.75" hidden="1" thickBot="1" x14ac:dyDescent="0.3">
      <c r="B121" s="230" t="s">
        <v>158</v>
      </c>
      <c r="C121" s="231">
        <f>J19</f>
        <v>0.31909999999999999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0" t="s">
        <v>168</v>
      </c>
      <c r="C127" s="461"/>
      <c r="D127" s="461"/>
      <c r="E127" s="461"/>
    </row>
    <row r="128" spans="2:9" hidden="1" x14ac:dyDescent="0.25"/>
    <row r="129" spans="2:6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6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6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6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6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6" ht="15.75" hidden="1" thickBot="1" x14ac:dyDescent="0.3">
      <c r="B134" s="250" t="s">
        <v>178</v>
      </c>
      <c r="C134" s="2"/>
      <c r="D134" s="462" t="s">
        <v>179</v>
      </c>
      <c r="E134" s="462"/>
      <c r="F134" s="463"/>
    </row>
    <row r="135" spans="2:6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6" hidden="1" x14ac:dyDescent="0.25"/>
    <row r="137" spans="2:6" ht="18.75" customHeight="1" x14ac:dyDescent="0.25">
      <c r="B137" s="9"/>
      <c r="C137" s="254"/>
      <c r="D137" s="255"/>
      <c r="E137" s="9"/>
      <c r="F137" s="9"/>
    </row>
    <row r="138" spans="2:6" ht="18.75" hidden="1" x14ac:dyDescent="0.25">
      <c r="B138" s="460" t="s">
        <v>9</v>
      </c>
      <c r="C138" s="461"/>
      <c r="D138" s="461"/>
      <c r="E138" s="461"/>
    </row>
    <row r="139" spans="2:6" ht="15.75" hidden="1" thickBot="1" x14ac:dyDescent="0.3"/>
    <row r="140" spans="2:6" hidden="1" x14ac:dyDescent="0.25">
      <c r="B140" s="450" t="s">
        <v>10</v>
      </c>
      <c r="C140" s="451"/>
      <c r="D140" s="451"/>
      <c r="E140" s="452"/>
    </row>
    <row r="141" spans="2:6" hidden="1" x14ac:dyDescent="0.25">
      <c r="B141" s="256" t="s">
        <v>11</v>
      </c>
      <c r="C141" s="257"/>
      <c r="D141" s="257"/>
      <c r="E141" s="271">
        <v>3000</v>
      </c>
    </row>
    <row r="142" spans="2:6" hidden="1" x14ac:dyDescent="0.25">
      <c r="B142" s="256" t="s">
        <v>12</v>
      </c>
      <c r="C142" s="257"/>
      <c r="D142" s="257"/>
      <c r="E142" s="258">
        <v>28</v>
      </c>
    </row>
    <row r="143" spans="2:6" hidden="1" x14ac:dyDescent="0.25">
      <c r="B143" s="256" t="s">
        <v>13</v>
      </c>
      <c r="C143" s="257"/>
      <c r="D143" s="257"/>
      <c r="E143" s="275">
        <f>+E141/E142</f>
        <v>107.14285714285714</v>
      </c>
    </row>
    <row r="144" spans="2:6" ht="15.75" hidden="1" thickBot="1" x14ac:dyDescent="0.3">
      <c r="B144" s="256" t="s">
        <v>14</v>
      </c>
      <c r="C144" s="257"/>
      <c r="D144" s="257"/>
      <c r="E144" s="272">
        <v>21</v>
      </c>
    </row>
    <row r="145" spans="2:5" ht="16.5" hidden="1" thickTop="1" thickBot="1" x14ac:dyDescent="0.3">
      <c r="B145" s="259" t="s">
        <v>15</v>
      </c>
      <c r="C145" s="260"/>
      <c r="D145" s="261"/>
      <c r="E145" s="276">
        <f>E143*E144</f>
        <v>2250</v>
      </c>
    </row>
    <row r="146" spans="2:5" ht="15.75" hidden="1" thickBot="1" x14ac:dyDescent="0.3">
      <c r="B146" s="262"/>
      <c r="C146" s="262"/>
      <c r="D146" s="262"/>
      <c r="E146" s="262"/>
    </row>
    <row r="147" spans="2:5" ht="15.75" hidden="1" thickBot="1" x14ac:dyDescent="0.3">
      <c r="B147" s="457" t="s">
        <v>16</v>
      </c>
      <c r="C147" s="458"/>
      <c r="D147" s="458"/>
      <c r="E147" s="459"/>
    </row>
    <row r="148" spans="2:5" hidden="1" x14ac:dyDescent="0.25">
      <c r="B148" s="263" t="s">
        <v>17</v>
      </c>
      <c r="C148" s="264"/>
      <c r="D148" s="265" t="s">
        <v>18</v>
      </c>
      <c r="E148" s="266" t="s">
        <v>19</v>
      </c>
    </row>
    <row r="149" spans="2:5" hidden="1" x14ac:dyDescent="0.25">
      <c r="B149" s="209" t="s">
        <v>20</v>
      </c>
      <c r="C149" s="273">
        <v>44197</v>
      </c>
      <c r="D149" s="274">
        <v>5850</v>
      </c>
      <c r="E149" s="277">
        <f>1.8*1603.12</f>
        <v>2885.616</v>
      </c>
    </row>
    <row r="150" spans="2:5" hidden="1" x14ac:dyDescent="0.25">
      <c r="B150" s="209" t="s">
        <v>21</v>
      </c>
      <c r="C150" s="273">
        <v>44531</v>
      </c>
      <c r="D150" s="274">
        <v>3000</v>
      </c>
      <c r="E150" s="277">
        <f t="shared" ref="E150:E151" si="9">1.8*1603.12</f>
        <v>2885.616</v>
      </c>
    </row>
    <row r="151" spans="2:5" hidden="1" x14ac:dyDescent="0.25">
      <c r="B151" s="209" t="s">
        <v>22</v>
      </c>
      <c r="C151" s="273">
        <v>44501</v>
      </c>
      <c r="D151" s="274">
        <v>2900</v>
      </c>
      <c r="E151" s="277">
        <f t="shared" si="9"/>
        <v>2885.616</v>
      </c>
    </row>
    <row r="152" spans="2:5" hidden="1" x14ac:dyDescent="0.25">
      <c r="B152" s="209" t="s">
        <v>23</v>
      </c>
      <c r="C152" s="267"/>
      <c r="D152" s="267"/>
      <c r="E152" s="211">
        <f>SUM(E149:E151)</f>
        <v>8656.848</v>
      </c>
    </row>
    <row r="153" spans="2:5" hidden="1" x14ac:dyDescent="0.25">
      <c r="B153" s="209" t="s">
        <v>24</v>
      </c>
      <c r="C153" s="267"/>
      <c r="D153" s="267"/>
      <c r="E153" s="211">
        <f>E152/91.25*0.5</f>
        <v>47.434783561643833</v>
      </c>
    </row>
    <row r="154" spans="2:5" hidden="1" x14ac:dyDescent="0.25">
      <c r="B154" s="209" t="s">
        <v>181</v>
      </c>
      <c r="C154" s="267"/>
      <c r="D154" s="279" t="s">
        <v>182</v>
      </c>
      <c r="E154" s="268">
        <f>E144-3</f>
        <v>18</v>
      </c>
    </row>
    <row r="155" spans="2:5" hidden="1" x14ac:dyDescent="0.25">
      <c r="B155" s="209" t="s">
        <v>25</v>
      </c>
      <c r="C155" s="267"/>
      <c r="D155" s="267"/>
      <c r="E155" s="283">
        <f>E154*E153</f>
        <v>853.82610410958898</v>
      </c>
    </row>
    <row r="156" spans="2:5" hidden="1" x14ac:dyDescent="0.25">
      <c r="B156" s="209" t="s">
        <v>26</v>
      </c>
      <c r="C156" s="267"/>
      <c r="D156" s="267"/>
      <c r="E156" s="211">
        <f>E155*6.7%</f>
        <v>57.206348975342465</v>
      </c>
    </row>
    <row r="157" spans="2:5" ht="15.75" hidden="1" thickBot="1" x14ac:dyDescent="0.3">
      <c r="B157" s="269" t="s">
        <v>27</v>
      </c>
      <c r="C157" s="270"/>
      <c r="D157" s="270"/>
      <c r="E157" s="278">
        <f>E155-E156</f>
        <v>796.61975513424647</v>
      </c>
    </row>
    <row r="158" spans="2:5" ht="15.75" hidden="1" thickBot="1" x14ac:dyDescent="0.3"/>
    <row r="159" spans="2:5" hidden="1" x14ac:dyDescent="0.25">
      <c r="B159" s="450" t="s">
        <v>28</v>
      </c>
      <c r="C159" s="451"/>
      <c r="D159" s="451"/>
      <c r="E159" s="452"/>
    </row>
    <row r="160" spans="2:5" hidden="1" x14ac:dyDescent="0.25">
      <c r="B160" s="256" t="s">
        <v>29</v>
      </c>
      <c r="C160" s="257"/>
      <c r="D160" s="257"/>
      <c r="E160" s="280">
        <f>E144-7</f>
        <v>14</v>
      </c>
    </row>
    <row r="161" spans="2:5" ht="15.75" hidden="1" thickBot="1" x14ac:dyDescent="0.3">
      <c r="B161" s="256" t="s">
        <v>30</v>
      </c>
      <c r="C161" s="257"/>
      <c r="D161" s="257"/>
      <c r="E161" s="258">
        <f>E143*0.9</f>
        <v>96.428571428571431</v>
      </c>
    </row>
    <row r="162" spans="2:5" ht="16.5" hidden="1" thickTop="1" thickBot="1" x14ac:dyDescent="0.3">
      <c r="B162" s="256" t="s">
        <v>31</v>
      </c>
      <c r="C162" s="257"/>
      <c r="D162" s="257"/>
      <c r="E162" s="276">
        <f>E160*E161</f>
        <v>1350</v>
      </c>
    </row>
    <row r="163" spans="2:5" ht="16.5" hidden="1" thickTop="1" thickBot="1" x14ac:dyDescent="0.3">
      <c r="B163" s="209" t="s">
        <v>32</v>
      </c>
      <c r="C163" s="257"/>
      <c r="D163" s="257"/>
      <c r="E163" s="281">
        <f>E153</f>
        <v>47.434783561643833</v>
      </c>
    </row>
    <row r="164" spans="2:5" ht="16.5" hidden="1" thickTop="1" thickBot="1" x14ac:dyDescent="0.3">
      <c r="B164" s="259" t="s">
        <v>33</v>
      </c>
      <c r="C164" s="284">
        <f>E160</f>
        <v>14</v>
      </c>
      <c r="D164" s="282">
        <f>E163</f>
        <v>47.434783561643833</v>
      </c>
      <c r="E164" s="276">
        <f>D164*C164</f>
        <v>664.08696986301368</v>
      </c>
    </row>
    <row r="165" spans="2:5" hidden="1" x14ac:dyDescent="0.25"/>
  </sheetData>
  <mergeCells count="12">
    <mergeCell ref="C17:D17"/>
    <mergeCell ref="F17:G1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2D5B-B630-4EA2-8D6D-D7B1B6DC9D51}">
  <dimension ref="A2:K55"/>
  <sheetViews>
    <sheetView topLeftCell="A14" workbookViewId="0">
      <selection activeCell="D48" sqref="D48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2" spans="1:10" ht="23.25" x14ac:dyDescent="0.25">
      <c r="A2" s="285" t="s">
        <v>183</v>
      </c>
      <c r="B2" s="286"/>
      <c r="C2" s="286"/>
      <c r="D2" s="286"/>
      <c r="E2" s="286"/>
      <c r="F2" s="286"/>
      <c r="G2" s="286"/>
      <c r="H2" s="286"/>
    </row>
    <row r="4" spans="1:10" ht="18.75" x14ac:dyDescent="0.25">
      <c r="A4" s="287" t="s">
        <v>184</v>
      </c>
      <c r="D4" s="288">
        <v>3864</v>
      </c>
      <c r="F4" s="304" t="s">
        <v>216</v>
      </c>
      <c r="H4" s="317" t="s">
        <v>254</v>
      </c>
      <c r="I4" s="304">
        <v>21</v>
      </c>
    </row>
    <row r="5" spans="1:10" ht="15.75" thickBot="1" x14ac:dyDescent="0.3"/>
    <row r="6" spans="1:10" ht="30" x14ac:dyDescent="0.25">
      <c r="A6" s="289" t="s">
        <v>159</v>
      </c>
      <c r="B6" s="233" t="s">
        <v>136</v>
      </c>
      <c r="C6" s="233" t="s">
        <v>185</v>
      </c>
      <c r="D6" s="233" t="s">
        <v>186</v>
      </c>
      <c r="E6" s="235" t="s">
        <v>187</v>
      </c>
      <c r="F6" s="235" t="s">
        <v>188</v>
      </c>
      <c r="G6" s="235" t="s">
        <v>189</v>
      </c>
      <c r="H6" s="236" t="s">
        <v>190</v>
      </c>
      <c r="J6" s="304"/>
    </row>
    <row r="7" spans="1:10" x14ac:dyDescent="0.25">
      <c r="A7" s="290" t="s">
        <v>191</v>
      </c>
      <c r="B7" s="406">
        <v>3784</v>
      </c>
      <c r="C7" s="380">
        <f>B7</f>
        <v>3784</v>
      </c>
      <c r="D7" s="373">
        <f>$D$4</f>
        <v>3864</v>
      </c>
      <c r="E7" s="373">
        <f>D7</f>
        <v>3864</v>
      </c>
      <c r="F7" s="373">
        <f>MIN(C7,E7)</f>
        <v>3784</v>
      </c>
      <c r="G7" s="373">
        <f>F7</f>
        <v>3784</v>
      </c>
      <c r="H7" s="374">
        <f t="shared" ref="H7" si="0">B7-G7</f>
        <v>0</v>
      </c>
      <c r="J7" s="304"/>
    </row>
    <row r="8" spans="1:10" x14ac:dyDescent="0.25">
      <c r="A8" s="290" t="s">
        <v>192</v>
      </c>
      <c r="B8" s="407">
        <v>3784</v>
      </c>
      <c r="C8" s="373">
        <f>C7+B8</f>
        <v>7568</v>
      </c>
      <c r="D8" s="373">
        <f t="shared" ref="D8:D10" si="1">$D$4</f>
        <v>3864</v>
      </c>
      <c r="E8" s="373">
        <f>E7+D8</f>
        <v>7728</v>
      </c>
      <c r="F8" s="375">
        <f t="shared" ref="F8:F11" si="2">MIN(C8,E8)</f>
        <v>7568</v>
      </c>
      <c r="G8" s="373">
        <f>F8-F7</f>
        <v>3784</v>
      </c>
      <c r="H8" s="374">
        <f>B8-G8</f>
        <v>0</v>
      </c>
    </row>
    <row r="9" spans="1:10" x14ac:dyDescent="0.25">
      <c r="A9" s="290" t="s">
        <v>193</v>
      </c>
      <c r="B9" s="407">
        <v>3784</v>
      </c>
      <c r="C9" s="373">
        <f t="shared" ref="C9:C11" si="3">C8+B9</f>
        <v>11352</v>
      </c>
      <c r="D9" s="373">
        <f t="shared" si="1"/>
        <v>3864</v>
      </c>
      <c r="E9" s="373">
        <f t="shared" ref="E9:E11" si="4">E8+D9</f>
        <v>11592</v>
      </c>
      <c r="F9" s="375">
        <f t="shared" si="2"/>
        <v>11352</v>
      </c>
      <c r="G9" s="373">
        <f t="shared" ref="G9:G11" si="5">F9-F8</f>
        <v>3784</v>
      </c>
      <c r="H9" s="374">
        <f t="shared" ref="H9:H11" si="6">B9-G9</f>
        <v>0</v>
      </c>
    </row>
    <row r="10" spans="1:10" x14ac:dyDescent="0.25">
      <c r="A10" s="290" t="s">
        <v>194</v>
      </c>
      <c r="B10" s="407">
        <v>3784</v>
      </c>
      <c r="C10" s="373">
        <f t="shared" si="3"/>
        <v>15136</v>
      </c>
      <c r="D10" s="373">
        <f t="shared" si="1"/>
        <v>3864</v>
      </c>
      <c r="E10" s="373">
        <f t="shared" si="4"/>
        <v>15456</v>
      </c>
      <c r="F10" s="375">
        <f t="shared" si="2"/>
        <v>15136</v>
      </c>
      <c r="G10" s="373">
        <f t="shared" si="5"/>
        <v>3784</v>
      </c>
      <c r="H10" s="374">
        <f t="shared" si="6"/>
        <v>0</v>
      </c>
    </row>
    <row r="11" spans="1:10" ht="15.75" thickBot="1" x14ac:dyDescent="0.3">
      <c r="A11" s="338" t="s">
        <v>195</v>
      </c>
      <c r="B11" s="408">
        <f>+'Bulletin WINCKERT'!E37</f>
        <v>2504.7619047619046</v>
      </c>
      <c r="C11" s="376">
        <f t="shared" si="3"/>
        <v>17640.761904761905</v>
      </c>
      <c r="D11" s="376">
        <f>3864*24/31</f>
        <v>2991.483870967742</v>
      </c>
      <c r="E11" s="376">
        <f t="shared" si="4"/>
        <v>18447.483870967742</v>
      </c>
      <c r="F11" s="377">
        <f t="shared" si="2"/>
        <v>17640.761904761905</v>
      </c>
      <c r="G11" s="378">
        <f t="shared" si="5"/>
        <v>2504.7619047619046</v>
      </c>
      <c r="H11" s="379">
        <f t="shared" si="6"/>
        <v>0</v>
      </c>
    </row>
    <row r="12" spans="1:10" x14ac:dyDescent="0.25">
      <c r="A12" s="329"/>
      <c r="B12" s="330"/>
      <c r="C12" s="331"/>
      <c r="D12" s="331"/>
    </row>
    <row r="14" spans="1:10" ht="23.25" x14ac:dyDescent="0.25">
      <c r="A14" s="293" t="s">
        <v>196</v>
      </c>
      <c r="B14" s="286"/>
      <c r="C14" s="286"/>
      <c r="D14" s="286"/>
      <c r="E14" s="286"/>
      <c r="F14" s="286"/>
      <c r="G14" s="286"/>
      <c r="H14" s="286"/>
    </row>
    <row r="16" spans="1:10" ht="15.75" thickBot="1" x14ac:dyDescent="0.3"/>
    <row r="17" spans="1:11" ht="45" x14ac:dyDescent="0.25">
      <c r="A17" s="294"/>
      <c r="B17" s="295" t="s">
        <v>136</v>
      </c>
      <c r="C17" s="295" t="s">
        <v>185</v>
      </c>
      <c r="D17" s="296" t="s">
        <v>197</v>
      </c>
      <c r="E17" s="296" t="s">
        <v>162</v>
      </c>
      <c r="F17" s="296" t="s">
        <v>198</v>
      </c>
      <c r="G17" s="296" t="s">
        <v>199</v>
      </c>
      <c r="H17" s="235" t="s">
        <v>200</v>
      </c>
      <c r="I17" s="296" t="s">
        <v>201</v>
      </c>
      <c r="J17" s="297" t="s">
        <v>202</v>
      </c>
      <c r="K17" s="298" t="s">
        <v>203</v>
      </c>
    </row>
    <row r="18" spans="1:11" x14ac:dyDescent="0.25">
      <c r="A18" s="290" t="s">
        <v>191</v>
      </c>
      <c r="B18" s="299">
        <v>3300</v>
      </c>
      <c r="C18" s="299">
        <f>B18</f>
        <v>3300</v>
      </c>
      <c r="D18" s="300">
        <f>+B18</f>
        <v>3300</v>
      </c>
      <c r="E18" s="316">
        <v>1747.2</v>
      </c>
      <c r="F18" s="299">
        <f>2.5*E18</f>
        <v>4368</v>
      </c>
      <c r="G18" s="299">
        <f>F18</f>
        <v>4368</v>
      </c>
      <c r="H18" s="36" t="str">
        <f t="shared" ref="H18" si="7">IF(C18&gt;G18,"OUI","")</f>
        <v/>
      </c>
      <c r="I18" s="302">
        <f>IF(H18="OUI",C18,0)</f>
        <v>0</v>
      </c>
      <c r="J18" s="300">
        <f>I18</f>
        <v>0</v>
      </c>
      <c r="K18" s="303">
        <f>(D18*7%)+(J18*6%)</f>
        <v>231.00000000000003</v>
      </c>
    </row>
    <row r="19" spans="1:11" x14ac:dyDescent="0.25">
      <c r="A19" s="290" t="s">
        <v>192</v>
      </c>
      <c r="B19" s="299">
        <v>3750</v>
      </c>
      <c r="C19" s="299">
        <f>C18+B19</f>
        <v>7050</v>
      </c>
      <c r="D19" s="300">
        <f t="shared" ref="D19:D22" si="8">+B19</f>
        <v>3750</v>
      </c>
      <c r="E19" s="316">
        <v>1747.2</v>
      </c>
      <c r="F19" s="299">
        <f t="shared" ref="F19:F22" si="9">2.5*E19</f>
        <v>4368</v>
      </c>
      <c r="G19" s="299">
        <f t="shared" ref="G19:G22" si="10">G18+F19</f>
        <v>8736</v>
      </c>
      <c r="H19" s="36" t="str">
        <f>IF(C19&gt;G19,"OUI","")</f>
        <v/>
      </c>
      <c r="I19" s="302">
        <f>IF(H19="OUI",C19,0)</f>
        <v>0</v>
      </c>
      <c r="J19" s="300">
        <f>I19-I18</f>
        <v>0</v>
      </c>
      <c r="K19" s="303">
        <f t="shared" ref="K19:K22" si="11">(D19*7%)+(J19*6%)</f>
        <v>262.5</v>
      </c>
    </row>
    <row r="20" spans="1:11" x14ac:dyDescent="0.25">
      <c r="A20" s="290" t="s">
        <v>193</v>
      </c>
      <c r="B20" s="299">
        <v>3550</v>
      </c>
      <c r="C20" s="299">
        <f t="shared" ref="C20:C22" si="12">C19+B20</f>
        <v>10600</v>
      </c>
      <c r="D20" s="300">
        <f t="shared" si="8"/>
        <v>3550</v>
      </c>
      <c r="E20" s="316">
        <v>1747.2</v>
      </c>
      <c r="F20" s="299">
        <f t="shared" si="9"/>
        <v>4368</v>
      </c>
      <c r="G20" s="299">
        <f t="shared" si="10"/>
        <v>13104</v>
      </c>
      <c r="H20" s="36" t="str">
        <f t="shared" ref="H20:H22" si="13">IF(C20&gt;G20,"OUI","")</f>
        <v/>
      </c>
      <c r="I20" s="302">
        <f t="shared" ref="I20:I22" si="14">IF(H20="OUI",C20,0)</f>
        <v>0</v>
      </c>
      <c r="J20" s="300">
        <f t="shared" ref="J20:J22" si="15">I20-I19</f>
        <v>0</v>
      </c>
      <c r="K20" s="303">
        <f t="shared" si="11"/>
        <v>248.50000000000003</v>
      </c>
    </row>
    <row r="21" spans="1:11" x14ac:dyDescent="0.25">
      <c r="A21" s="290" t="s">
        <v>194</v>
      </c>
      <c r="B21" s="299">
        <v>4700</v>
      </c>
      <c r="C21" s="299">
        <f t="shared" si="12"/>
        <v>15300</v>
      </c>
      <c r="D21" s="300">
        <f t="shared" si="8"/>
        <v>4700</v>
      </c>
      <c r="E21" s="316">
        <v>1747.2</v>
      </c>
      <c r="F21" s="299">
        <f t="shared" si="9"/>
        <v>4368</v>
      </c>
      <c r="G21" s="299">
        <f t="shared" si="10"/>
        <v>17472</v>
      </c>
      <c r="H21" s="36" t="str">
        <f t="shared" si="13"/>
        <v/>
      </c>
      <c r="I21" s="302">
        <f t="shared" si="14"/>
        <v>0</v>
      </c>
      <c r="J21" s="300">
        <f t="shared" si="15"/>
        <v>0</v>
      </c>
      <c r="K21" s="303">
        <f t="shared" si="11"/>
        <v>329.00000000000006</v>
      </c>
    </row>
    <row r="22" spans="1:11" x14ac:dyDescent="0.25">
      <c r="A22" s="290" t="s">
        <v>195</v>
      </c>
      <c r="B22" s="299">
        <f t="shared" ref="B22" si="16">+B11</f>
        <v>2504.7619047619046</v>
      </c>
      <c r="C22" s="299">
        <f t="shared" si="12"/>
        <v>17804.761904761905</v>
      </c>
      <c r="D22" s="300">
        <f t="shared" si="8"/>
        <v>2504.7619047619046</v>
      </c>
      <c r="E22" s="316">
        <f>11.52*116.66667</f>
        <v>1344.0000384</v>
      </c>
      <c r="F22" s="299">
        <f t="shared" si="9"/>
        <v>3360.0000959999998</v>
      </c>
      <c r="G22" s="299">
        <f t="shared" si="10"/>
        <v>20832.000096</v>
      </c>
      <c r="H22" s="36" t="str">
        <f t="shared" si="13"/>
        <v/>
      </c>
      <c r="I22" s="302">
        <f t="shared" si="14"/>
        <v>0</v>
      </c>
      <c r="J22" s="300">
        <f t="shared" si="15"/>
        <v>0</v>
      </c>
      <c r="K22" s="303">
        <f t="shared" si="11"/>
        <v>175.33333333333334</v>
      </c>
    </row>
    <row r="23" spans="1:11" x14ac:dyDescent="0.25">
      <c r="A23" s="329"/>
      <c r="B23" s="332"/>
      <c r="C23" s="332"/>
      <c r="D23" s="333"/>
      <c r="E23" s="334" t="s">
        <v>290</v>
      </c>
      <c r="F23" s="332"/>
      <c r="G23" s="332"/>
      <c r="H23" s="335"/>
      <c r="I23" s="336"/>
      <c r="J23" s="333"/>
    </row>
    <row r="25" spans="1:11" ht="23.25" hidden="1" x14ac:dyDescent="0.25">
      <c r="A25" s="293" t="s">
        <v>204</v>
      </c>
      <c r="B25" s="286"/>
      <c r="C25" s="286"/>
      <c r="D25" s="286"/>
      <c r="E25" s="286"/>
      <c r="F25" s="286"/>
      <c r="G25" s="286"/>
      <c r="H25" s="286"/>
    </row>
    <row r="26" spans="1:11" hidden="1" x14ac:dyDescent="0.25"/>
    <row r="27" spans="1:11" ht="15.75" hidden="1" thickBot="1" x14ac:dyDescent="0.3"/>
    <row r="28" spans="1:11" s="304" customFormat="1" ht="45" hidden="1" x14ac:dyDescent="0.25">
      <c r="A28" s="294"/>
      <c r="B28" s="295" t="s">
        <v>136</v>
      </c>
      <c r="C28" s="295" t="s">
        <v>185</v>
      </c>
      <c r="D28" s="296" t="s">
        <v>205</v>
      </c>
      <c r="E28" s="296" t="s">
        <v>162</v>
      </c>
      <c r="F28" s="296" t="s">
        <v>206</v>
      </c>
      <c r="G28" s="296" t="s">
        <v>207</v>
      </c>
      <c r="H28" s="235" t="s">
        <v>208</v>
      </c>
      <c r="I28" s="296" t="s">
        <v>209</v>
      </c>
      <c r="J28" s="297" t="s">
        <v>210</v>
      </c>
      <c r="K28" s="298" t="s">
        <v>203</v>
      </c>
    </row>
    <row r="29" spans="1:11" ht="21.75" hidden="1" customHeight="1" x14ac:dyDescent="0.25">
      <c r="A29" s="290" t="s">
        <v>191</v>
      </c>
      <c r="B29" s="299">
        <f>+B18</f>
        <v>3300</v>
      </c>
      <c r="C29" s="299">
        <f>B29</f>
        <v>3300</v>
      </c>
      <c r="D29" s="300">
        <f>+B29</f>
        <v>3300</v>
      </c>
      <c r="E29" s="316">
        <f>10.85*151.66667</f>
        <v>1645.5833695000001</v>
      </c>
      <c r="F29" s="299">
        <f>3.5*E29</f>
        <v>5759.5417932500004</v>
      </c>
      <c r="G29" s="299">
        <f>F29</f>
        <v>5759.5417932500004</v>
      </c>
      <c r="H29" s="36" t="str">
        <f>IF(C29&gt;G29,"OUI","")</f>
        <v/>
      </c>
      <c r="I29" s="302">
        <f>IF(H29="OUI",C29,0)</f>
        <v>0</v>
      </c>
      <c r="J29" s="300">
        <f>I29</f>
        <v>0</v>
      </c>
      <c r="K29" s="303">
        <f>(D29*3.45%)+(J29*1.8%)</f>
        <v>113.85000000000001</v>
      </c>
    </row>
    <row r="30" spans="1:11" ht="21.75" hidden="1" customHeight="1" x14ac:dyDescent="0.25">
      <c r="A30" s="290" t="s">
        <v>192</v>
      </c>
      <c r="B30" s="299">
        <f t="shared" ref="B30:B33" si="17">+B19</f>
        <v>3750</v>
      </c>
      <c r="C30" s="299">
        <f>C29+B30</f>
        <v>7050</v>
      </c>
      <c r="D30" s="300">
        <f t="shared" ref="D30:D33" si="18">B30</f>
        <v>3750</v>
      </c>
      <c r="E30" s="316">
        <f t="shared" ref="E30:E33" si="19">10.85*151.66667</f>
        <v>1645.5833695000001</v>
      </c>
      <c r="F30" s="299">
        <f t="shared" ref="F30:F33" si="20">3.5*E30</f>
        <v>5759.5417932500004</v>
      </c>
      <c r="G30" s="299">
        <f t="shared" ref="G30:G33" si="21">G29+F30</f>
        <v>11519.083586500001</v>
      </c>
      <c r="H30" s="36" t="str">
        <f t="shared" ref="H30:H33" si="22">IF(C30&gt;G30,"OUI","")</f>
        <v/>
      </c>
      <c r="I30" s="302">
        <f>IF(H30="OUI",C30,0)</f>
        <v>0</v>
      </c>
      <c r="J30" s="300">
        <f>I30-I29</f>
        <v>0</v>
      </c>
      <c r="K30" s="303">
        <f t="shared" ref="K30:K33" si="23">(D30*3.45%)+(J30*1.8%)</f>
        <v>129.375</v>
      </c>
    </row>
    <row r="31" spans="1:11" ht="21.75" hidden="1" customHeight="1" x14ac:dyDescent="0.25">
      <c r="A31" s="290" t="s">
        <v>193</v>
      </c>
      <c r="B31" s="299">
        <f t="shared" si="17"/>
        <v>3550</v>
      </c>
      <c r="C31" s="299">
        <f t="shared" ref="C31:C33" si="24">C30+B31</f>
        <v>10600</v>
      </c>
      <c r="D31" s="300">
        <f t="shared" si="18"/>
        <v>3550</v>
      </c>
      <c r="E31" s="316">
        <f t="shared" si="19"/>
        <v>1645.5833695000001</v>
      </c>
      <c r="F31" s="299">
        <f t="shared" si="20"/>
        <v>5759.5417932500004</v>
      </c>
      <c r="G31" s="299">
        <f t="shared" si="21"/>
        <v>17278.625379750003</v>
      </c>
      <c r="H31" s="36" t="str">
        <f t="shared" si="22"/>
        <v/>
      </c>
      <c r="I31" s="302">
        <f t="shared" ref="I31:I33" si="25">IF(H31="OUI",C31,0)</f>
        <v>0</v>
      </c>
      <c r="J31" s="300">
        <f t="shared" ref="J31:J33" si="26">I31-I30</f>
        <v>0</v>
      </c>
      <c r="K31" s="303">
        <f t="shared" si="23"/>
        <v>122.47500000000001</v>
      </c>
    </row>
    <row r="32" spans="1:11" ht="21.75" hidden="1" customHeight="1" x14ac:dyDescent="0.25">
      <c r="A32" s="290" t="s">
        <v>194</v>
      </c>
      <c r="B32" s="299">
        <f t="shared" si="17"/>
        <v>4700</v>
      </c>
      <c r="C32" s="299">
        <f t="shared" si="24"/>
        <v>15300</v>
      </c>
      <c r="D32" s="300">
        <f t="shared" si="18"/>
        <v>4700</v>
      </c>
      <c r="E32" s="316">
        <f t="shared" si="19"/>
        <v>1645.5833695000001</v>
      </c>
      <c r="F32" s="299">
        <f t="shared" si="20"/>
        <v>5759.5417932500004</v>
      </c>
      <c r="G32" s="299">
        <f t="shared" si="21"/>
        <v>23038.167173000002</v>
      </c>
      <c r="H32" s="36" t="str">
        <f t="shared" si="22"/>
        <v/>
      </c>
      <c r="I32" s="302">
        <f t="shared" si="25"/>
        <v>0</v>
      </c>
      <c r="J32" s="300">
        <f t="shared" si="26"/>
        <v>0</v>
      </c>
      <c r="K32" s="303">
        <f t="shared" si="23"/>
        <v>162.15</v>
      </c>
    </row>
    <row r="33" spans="1:11" ht="21.75" hidden="1" customHeight="1" x14ac:dyDescent="0.25">
      <c r="A33" s="290" t="s">
        <v>195</v>
      </c>
      <c r="B33" s="299">
        <f t="shared" si="17"/>
        <v>2504.7619047619046</v>
      </c>
      <c r="C33" s="299">
        <f t="shared" si="24"/>
        <v>17804.761904761905</v>
      </c>
      <c r="D33" s="300">
        <f t="shared" si="18"/>
        <v>2504.7619047619046</v>
      </c>
      <c r="E33" s="316">
        <f t="shared" si="19"/>
        <v>1645.5833695000001</v>
      </c>
      <c r="F33" s="299">
        <f t="shared" si="20"/>
        <v>5759.5417932500004</v>
      </c>
      <c r="G33" s="299">
        <f t="shared" si="21"/>
        <v>28797.70896625</v>
      </c>
      <c r="H33" s="36" t="str">
        <f t="shared" si="22"/>
        <v/>
      </c>
      <c r="I33" s="302">
        <f t="shared" si="25"/>
        <v>0</v>
      </c>
      <c r="J33" s="300">
        <f t="shared" si="26"/>
        <v>0</v>
      </c>
      <c r="K33" s="303">
        <f t="shared" si="23"/>
        <v>86.414285714285711</v>
      </c>
    </row>
    <row r="34" spans="1:11" ht="21.75" hidden="1" customHeight="1" x14ac:dyDescent="0.25">
      <c r="A34" s="329"/>
      <c r="B34" s="332"/>
      <c r="C34" s="332"/>
      <c r="D34" s="333"/>
      <c r="E34" s="337"/>
      <c r="F34" s="332"/>
      <c r="G34" s="332"/>
      <c r="H34" s="335"/>
      <c r="I34" s="336"/>
    </row>
    <row r="35" spans="1:11" ht="21" hidden="1" x14ac:dyDescent="0.25">
      <c r="A35" s="445" t="s">
        <v>211</v>
      </c>
      <c r="B35" s="446"/>
      <c r="C35" s="446"/>
      <c r="D35" s="446"/>
      <c r="E35" s="446"/>
      <c r="F35" s="446"/>
      <c r="G35" s="446"/>
      <c r="H35" s="446"/>
      <c r="I35" s="305"/>
    </row>
    <row r="36" spans="1:11" ht="21" hidden="1" customHeight="1" thickBot="1" x14ac:dyDescent="0.3">
      <c r="A36" s="230" t="s">
        <v>158</v>
      </c>
      <c r="B36" s="306">
        <v>0.31950000000000001</v>
      </c>
    </row>
    <row r="37" spans="1:11" hidden="1" x14ac:dyDescent="0.25"/>
    <row r="38" spans="1:11" ht="30" hidden="1" x14ac:dyDescent="0.25">
      <c r="A38" s="3" t="s">
        <v>159</v>
      </c>
      <c r="B38" s="233" t="s">
        <v>160</v>
      </c>
      <c r="C38" s="233" t="s">
        <v>161</v>
      </c>
      <c r="D38" s="296" t="s">
        <v>162</v>
      </c>
      <c r="E38" s="235" t="s">
        <v>163</v>
      </c>
      <c r="F38" s="235" t="s">
        <v>164</v>
      </c>
      <c r="G38" s="235" t="s">
        <v>165</v>
      </c>
      <c r="H38" s="235" t="s">
        <v>166</v>
      </c>
      <c r="I38" s="1" t="s">
        <v>212</v>
      </c>
    </row>
    <row r="39" spans="1:11" ht="21" hidden="1" customHeight="1" x14ac:dyDescent="0.25">
      <c r="A39" s="290" t="s">
        <v>191</v>
      </c>
      <c r="B39" s="307">
        <v>1700</v>
      </c>
      <c r="C39" s="308">
        <f>B39</f>
        <v>1700</v>
      </c>
      <c r="D39" s="301">
        <v>1603.12</v>
      </c>
      <c r="E39" s="307">
        <f>+D39</f>
        <v>1603.12</v>
      </c>
      <c r="F39" s="309">
        <f>ROUND(($B$36/0.6)*((1.6*E39/C39)-1),4)</f>
        <v>0.27089999999999997</v>
      </c>
      <c r="G39" s="308">
        <f>IF(F39&gt;0,F39*C39,0)</f>
        <v>460.53</v>
      </c>
      <c r="H39" s="310">
        <f>G39</f>
        <v>460.53</v>
      </c>
      <c r="I39" s="5" t="str">
        <f>IF(F39&gt;$B$36,"ERREUR","")</f>
        <v/>
      </c>
    </row>
    <row r="40" spans="1:11" ht="21" hidden="1" customHeight="1" x14ac:dyDescent="0.25">
      <c r="A40" s="290" t="s">
        <v>192</v>
      </c>
      <c r="B40" s="307">
        <v>3000</v>
      </c>
      <c r="C40" s="308">
        <f>C39+B40</f>
        <v>4700</v>
      </c>
      <c r="D40" s="311">
        <f>156.67*10.57</f>
        <v>1656.0019</v>
      </c>
      <c r="E40" s="307">
        <f>D40+E39</f>
        <v>3259.1219000000001</v>
      </c>
      <c r="F40" s="309">
        <f>ROUND(($B$36/0.6)*((1.6*E40/C40)-1),4)</f>
        <v>5.8299999999999998E-2</v>
      </c>
      <c r="G40" s="308">
        <f t="shared" ref="G40:G43" si="27">IF(F40&gt;0,F40*C40,0)</f>
        <v>274.01</v>
      </c>
      <c r="H40" s="310">
        <f>G40-G39</f>
        <v>-186.51999999999998</v>
      </c>
      <c r="I40" s="5" t="str">
        <f>IF(F40&gt;$B$36,"ERREUR","")</f>
        <v/>
      </c>
    </row>
    <row r="41" spans="1:11" ht="21" hidden="1" customHeight="1" x14ac:dyDescent="0.25">
      <c r="A41" s="290" t="s">
        <v>193</v>
      </c>
      <c r="B41" s="307"/>
      <c r="C41" s="308">
        <f t="shared" ref="C41:C43" si="28">C40+B41</f>
        <v>4700</v>
      </c>
      <c r="D41" s="301">
        <v>1603.12</v>
      </c>
      <c r="E41" s="307">
        <f t="shared" ref="E41:E43" si="29">D41+E40</f>
        <v>4862.2419</v>
      </c>
      <c r="F41" s="309">
        <f>ROUND(($B$36/0.6)*((1.6*E41/C41)-1),4)</f>
        <v>0.34889999999999999</v>
      </c>
      <c r="G41" s="312">
        <f t="shared" si="27"/>
        <v>1639.83</v>
      </c>
      <c r="H41" s="310">
        <f t="shared" ref="H41:H43" si="30">G41-G40</f>
        <v>1365.82</v>
      </c>
      <c r="I41" s="5" t="str">
        <f>IF(F41&gt;$B$36,"ERREUR","")</f>
        <v>ERREUR</v>
      </c>
    </row>
    <row r="42" spans="1:11" ht="21" hidden="1" customHeight="1" thickBot="1" x14ac:dyDescent="0.3">
      <c r="A42" s="290" t="s">
        <v>194</v>
      </c>
      <c r="B42" s="307"/>
      <c r="C42" s="308">
        <f t="shared" si="28"/>
        <v>4700</v>
      </c>
      <c r="D42" s="301">
        <v>1603.12</v>
      </c>
      <c r="E42" s="307">
        <f t="shared" si="29"/>
        <v>6465.3618999999999</v>
      </c>
      <c r="F42" s="309">
        <f>ROUND(($B$36/0.6)*((1.6*E42/C42)-1),4)</f>
        <v>0.63949999999999996</v>
      </c>
      <c r="G42" s="308">
        <f t="shared" si="27"/>
        <v>3005.6499999999996</v>
      </c>
      <c r="H42" s="310">
        <f t="shared" si="30"/>
        <v>1365.8199999999997</v>
      </c>
      <c r="I42" s="5" t="str">
        <f>IF(F42&gt;$B$36,"ERREUR","")</f>
        <v>ERREUR</v>
      </c>
    </row>
    <row r="43" spans="1:11" ht="21" hidden="1" customHeight="1" x14ac:dyDescent="0.25">
      <c r="A43" s="290" t="s">
        <v>195</v>
      </c>
      <c r="B43" s="307"/>
      <c r="C43" s="308">
        <f t="shared" si="28"/>
        <v>4700</v>
      </c>
      <c r="D43" s="301">
        <v>1603.12</v>
      </c>
      <c r="E43" s="307">
        <f t="shared" si="29"/>
        <v>8068.4818999999998</v>
      </c>
      <c r="F43" s="309">
        <f>ROUND(($B$36/0.6)*((1.6*E43/C43)-1),4)</f>
        <v>0.93010000000000004</v>
      </c>
      <c r="G43" s="308">
        <f t="shared" si="27"/>
        <v>4371.47</v>
      </c>
      <c r="H43" s="310">
        <f t="shared" si="30"/>
        <v>1365.8200000000006</v>
      </c>
      <c r="I43" s="5" t="str">
        <f>IF(F43&gt;$B$36,"ERREUR","")</f>
        <v>ERREUR</v>
      </c>
    </row>
    <row r="45" spans="1:11" ht="23.25" x14ac:dyDescent="0.25">
      <c r="A45" s="285" t="s">
        <v>213</v>
      </c>
      <c r="B45" s="286"/>
      <c r="C45" s="286"/>
      <c r="D45" s="286"/>
      <c r="E45" s="286"/>
      <c r="F45" s="286"/>
    </row>
    <row r="47" spans="1:11" ht="18.75" x14ac:dyDescent="0.25">
      <c r="A47" s="287" t="s">
        <v>184</v>
      </c>
      <c r="D47" s="288">
        <v>3864</v>
      </c>
    </row>
    <row r="48" spans="1:11" ht="15.75" thickBot="1" x14ac:dyDescent="0.3"/>
    <row r="49" spans="1:8" ht="30" x14ac:dyDescent="0.25">
      <c r="A49" s="289" t="s">
        <v>159</v>
      </c>
      <c r="B49" s="233" t="s">
        <v>136</v>
      </c>
      <c r="C49" s="233" t="s">
        <v>185</v>
      </c>
      <c r="D49" s="233" t="s">
        <v>186</v>
      </c>
      <c r="E49" s="235" t="s">
        <v>187</v>
      </c>
      <c r="F49" s="233" t="s">
        <v>214</v>
      </c>
      <c r="G49" s="235" t="s">
        <v>215</v>
      </c>
      <c r="H49" s="236" t="s">
        <v>231</v>
      </c>
    </row>
    <row r="50" spans="1:8" ht="26.25" customHeight="1" x14ac:dyDescent="0.25">
      <c r="A50" s="290" t="s">
        <v>191</v>
      </c>
      <c r="B50" s="299">
        <f>+B29</f>
        <v>3300</v>
      </c>
      <c r="C50" s="299">
        <f>B50</f>
        <v>3300</v>
      </c>
      <c r="D50" s="292">
        <f>$D$47</f>
        <v>3864</v>
      </c>
      <c r="E50" s="313">
        <f>D50</f>
        <v>3864</v>
      </c>
      <c r="F50" s="314" t="str">
        <f>IF(E50&gt;C50,"","OUI")</f>
        <v/>
      </c>
      <c r="G50" s="300">
        <f t="shared" ref="G50:G54" si="31">IF(C50&gt;E50,C50,0)</f>
        <v>0</v>
      </c>
      <c r="H50" s="315">
        <f>G50</f>
        <v>0</v>
      </c>
    </row>
    <row r="51" spans="1:8" ht="26.25" customHeight="1" x14ac:dyDescent="0.25">
      <c r="A51" s="290" t="s">
        <v>192</v>
      </c>
      <c r="B51" s="299">
        <f>+B30</f>
        <v>3750</v>
      </c>
      <c r="C51" s="299">
        <f>C50+B51</f>
        <v>7050</v>
      </c>
      <c r="D51" s="292">
        <f t="shared" ref="D51:D53" si="32">$D$47</f>
        <v>3864</v>
      </c>
      <c r="E51" s="313">
        <f>E50+D51</f>
        <v>7728</v>
      </c>
      <c r="F51" s="314" t="str">
        <f t="shared" ref="F51:F54" si="33">IF(E51&gt;C51,"","OUI")</f>
        <v/>
      </c>
      <c r="G51" s="300">
        <f t="shared" si="31"/>
        <v>0</v>
      </c>
      <c r="H51" s="315">
        <f>G51-G50</f>
        <v>0</v>
      </c>
    </row>
    <row r="52" spans="1:8" ht="26.25" customHeight="1" x14ac:dyDescent="0.25">
      <c r="A52" s="290" t="s">
        <v>193</v>
      </c>
      <c r="B52" s="299">
        <f>+B31</f>
        <v>3550</v>
      </c>
      <c r="C52" s="299">
        <f t="shared" ref="C52:C54" si="34">C51+B52</f>
        <v>10600</v>
      </c>
      <c r="D52" s="292">
        <f t="shared" si="32"/>
        <v>3864</v>
      </c>
      <c r="E52" s="313">
        <f t="shared" ref="E52:E54" si="35">E51+D52</f>
        <v>11592</v>
      </c>
      <c r="F52" s="314" t="str">
        <f t="shared" si="33"/>
        <v/>
      </c>
      <c r="G52" s="300">
        <f t="shared" si="31"/>
        <v>0</v>
      </c>
      <c r="H52" s="315">
        <f t="shared" ref="H52:H54" si="36">G52-G51</f>
        <v>0</v>
      </c>
    </row>
    <row r="53" spans="1:8" ht="26.25" customHeight="1" x14ac:dyDescent="0.25">
      <c r="A53" s="290" t="s">
        <v>194</v>
      </c>
      <c r="B53" s="299">
        <f>+B32</f>
        <v>4700</v>
      </c>
      <c r="C53" s="299">
        <f t="shared" si="34"/>
        <v>15300</v>
      </c>
      <c r="D53" s="292">
        <f t="shared" si="32"/>
        <v>3864</v>
      </c>
      <c r="E53" s="313">
        <f t="shared" si="35"/>
        <v>15456</v>
      </c>
      <c r="F53" s="314" t="str">
        <f t="shared" si="33"/>
        <v/>
      </c>
      <c r="G53" s="300">
        <f t="shared" si="31"/>
        <v>0</v>
      </c>
      <c r="H53" s="315">
        <f t="shared" si="36"/>
        <v>0</v>
      </c>
    </row>
    <row r="54" spans="1:8" ht="26.25" customHeight="1" thickBot="1" x14ac:dyDescent="0.3">
      <c r="A54" s="338" t="s">
        <v>195</v>
      </c>
      <c r="B54" s="339">
        <f>+B33</f>
        <v>2504.7619047619046</v>
      </c>
      <c r="C54" s="339">
        <f t="shared" si="34"/>
        <v>17804.761904761905</v>
      </c>
      <c r="D54" s="340">
        <f>3666*24/31</f>
        <v>2838.1935483870966</v>
      </c>
      <c r="E54" s="341">
        <f t="shared" si="35"/>
        <v>18294.193548387098</v>
      </c>
      <c r="F54" s="342" t="str">
        <f t="shared" si="33"/>
        <v/>
      </c>
      <c r="G54" s="343">
        <f t="shared" si="31"/>
        <v>0</v>
      </c>
      <c r="H54" s="344">
        <f t="shared" si="36"/>
        <v>0</v>
      </c>
    </row>
    <row r="55" spans="1:8" x14ac:dyDescent="0.25">
      <c r="D55" s="232" t="s">
        <v>282</v>
      </c>
    </row>
  </sheetData>
  <mergeCells count="1">
    <mergeCell ref="A35:H3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22E3-3C3D-42AA-AB24-C403D4B92F59}">
  <dimension ref="A2:D13"/>
  <sheetViews>
    <sheetView workbookViewId="0">
      <selection activeCell="A13" sqref="A13"/>
    </sheetView>
  </sheetViews>
  <sheetFormatPr baseColWidth="10" defaultRowHeight="15" x14ac:dyDescent="0.25"/>
  <cols>
    <col min="1" max="1" width="34" bestFit="1" customWidth="1"/>
    <col min="2" max="2" width="19.140625" customWidth="1"/>
    <col min="3" max="3" width="14.42578125" customWidth="1"/>
    <col min="4" max="4" width="15.42578125" customWidth="1"/>
    <col min="6" max="6" width="15.7109375" bestFit="1" customWidth="1"/>
  </cols>
  <sheetData>
    <row r="2" spans="1:4" ht="18.75" x14ac:dyDescent="0.25">
      <c r="A2" s="460" t="s">
        <v>280</v>
      </c>
      <c r="B2" s="461"/>
      <c r="C2" s="461"/>
      <c r="D2" s="461"/>
    </row>
    <row r="3" spans="1:4" ht="15.75" thickBot="1" x14ac:dyDescent="0.3">
      <c r="A3" s="11"/>
      <c r="B3" s="11"/>
      <c r="C3" s="11"/>
      <c r="D3" s="11"/>
    </row>
    <row r="4" spans="1:4" x14ac:dyDescent="0.25">
      <c r="A4" s="450" t="s">
        <v>10</v>
      </c>
      <c r="B4" s="451"/>
      <c r="C4" s="451"/>
      <c r="D4" s="452"/>
    </row>
    <row r="5" spans="1:4" x14ac:dyDescent="0.25">
      <c r="A5" s="256" t="s">
        <v>278</v>
      </c>
      <c r="B5" s="257"/>
      <c r="C5" s="257"/>
      <c r="D5" s="271">
        <v>2500</v>
      </c>
    </row>
    <row r="6" spans="1:4" x14ac:dyDescent="0.25">
      <c r="A6" s="256" t="s">
        <v>279</v>
      </c>
      <c r="B6" s="257"/>
      <c r="C6" s="257"/>
      <c r="D6" s="428">
        <v>21</v>
      </c>
    </row>
    <row r="7" spans="1:4" x14ac:dyDescent="0.25">
      <c r="A7" s="256" t="s">
        <v>13</v>
      </c>
      <c r="B7" s="257"/>
      <c r="C7" s="257"/>
      <c r="D7" s="271">
        <f>D5/D6</f>
        <v>119.04761904761905</v>
      </c>
    </row>
    <row r="8" spans="1:4" x14ac:dyDescent="0.25">
      <c r="A8" s="256" t="s">
        <v>14</v>
      </c>
      <c r="B8" s="257"/>
      <c r="C8" s="257"/>
      <c r="D8" s="428">
        <v>5</v>
      </c>
    </row>
    <row r="9" spans="1:4" ht="15.75" thickBot="1" x14ac:dyDescent="0.3">
      <c r="A9" s="259" t="s">
        <v>15</v>
      </c>
      <c r="B9" s="260"/>
      <c r="C9" s="260"/>
      <c r="D9" s="429">
        <f>+D8*D7</f>
        <v>595.2380952380953</v>
      </c>
    </row>
    <row r="10" spans="1:4" x14ac:dyDescent="0.25">
      <c r="A10" s="262"/>
      <c r="B10" s="262"/>
      <c r="C10" s="262"/>
      <c r="D10" s="262"/>
    </row>
    <row r="11" spans="1:4" ht="15.75" thickBot="1" x14ac:dyDescent="0.3">
      <c r="A11" s="11"/>
      <c r="B11" s="11"/>
      <c r="C11" s="11"/>
      <c r="D11" s="11"/>
    </row>
    <row r="12" spans="1:4" x14ac:dyDescent="0.25">
      <c r="A12" s="450" t="s">
        <v>28</v>
      </c>
      <c r="B12" s="451"/>
      <c r="C12" s="451"/>
      <c r="D12" s="452"/>
    </row>
    <row r="13" spans="1:4" ht="15.75" thickBot="1" x14ac:dyDescent="0.3">
      <c r="A13" s="259" t="s">
        <v>29</v>
      </c>
      <c r="B13" s="464" t="s">
        <v>281</v>
      </c>
      <c r="C13" s="465"/>
      <c r="D13" s="466"/>
    </row>
  </sheetData>
  <mergeCells count="4">
    <mergeCell ref="A2:D2"/>
    <mergeCell ref="A4:D4"/>
    <mergeCell ref="A12:D12"/>
    <mergeCell ref="B13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8BC2-156D-4D52-B71A-9E622A0CD38F}">
  <dimension ref="B1:P165"/>
  <sheetViews>
    <sheetView topLeftCell="A96" zoomScaleNormal="100" workbookViewId="0">
      <selection activeCell="C36" sqref="C36:D36"/>
    </sheetView>
  </sheetViews>
  <sheetFormatPr baseColWidth="10" defaultRowHeight="15" x14ac:dyDescent="0.25"/>
  <cols>
    <col min="1" max="1" width="11.42578125" style="11"/>
    <col min="2" max="2" width="63.5703125" style="1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4" style="11" bestFit="1" customWidth="1"/>
    <col min="11" max="11" width="21.140625" style="1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2500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 t="s">
        <v>51</v>
      </c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11.65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36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63</v>
      </c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66</v>
      </c>
      <c r="J13" s="25"/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68</v>
      </c>
      <c r="J14" s="25"/>
    </row>
    <row r="15" spans="2:11" x14ac:dyDescent="0.25">
      <c r="B15" s="23"/>
      <c r="C15" s="21"/>
      <c r="D15" s="22"/>
      <c r="E15" s="23"/>
      <c r="F15" s="24"/>
      <c r="G15" s="25"/>
      <c r="I15" s="23" t="s">
        <v>69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8" t="s">
        <v>70</v>
      </c>
      <c r="J16" s="25"/>
    </row>
    <row r="17" spans="2:16" ht="15.75" thickBot="1" x14ac:dyDescent="0.3">
      <c r="B17" s="45" t="s">
        <v>71</v>
      </c>
      <c r="C17" s="447"/>
      <c r="D17" s="448"/>
      <c r="E17" s="46" t="s">
        <v>72</v>
      </c>
      <c r="F17" s="447"/>
      <c r="G17" s="449"/>
      <c r="I17" s="28" t="s">
        <v>73</v>
      </c>
      <c r="J17" s="320">
        <f>'REGUL WINCKERT'!G11</f>
        <v>2504.7619047619046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75</v>
      </c>
      <c r="J18" s="47">
        <f>+'REGUL WINCKERT'!H11</f>
        <v>0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3" t="s">
        <v>79</v>
      </c>
      <c r="J19" s="370">
        <v>0.31940000000000002</v>
      </c>
    </row>
    <row r="20" spans="2:16" s="56" customFormat="1" x14ac:dyDescent="0.25">
      <c r="B20" s="19" t="s">
        <v>11</v>
      </c>
      <c r="C20" s="57"/>
      <c r="D20" s="58"/>
      <c r="E20" s="26">
        <f>J3</f>
        <v>2500</v>
      </c>
      <c r="F20" s="59"/>
      <c r="G20" s="60"/>
      <c r="H20" s="11"/>
      <c r="I20" s="61" t="s">
        <v>80</v>
      </c>
      <c r="J20" s="62">
        <v>5.6000000000000001E-2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 t="s">
        <v>256</v>
      </c>
      <c r="C21" s="64"/>
      <c r="D21" s="65"/>
      <c r="E21" s="66">
        <v>600</v>
      </c>
      <c r="F21" s="67"/>
      <c r="G21" s="68"/>
      <c r="I21" s="23" t="s">
        <v>81</v>
      </c>
      <c r="J21" s="72">
        <v>20</v>
      </c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/>
      <c r="D22" s="69">
        <f>E20/J5</f>
        <v>17.006802721088434</v>
      </c>
      <c r="E22" s="66">
        <f>-D22*C22</f>
        <v>0</v>
      </c>
      <c r="F22" s="67"/>
      <c r="G22" s="68"/>
      <c r="I22" s="23" t="s">
        <v>83</v>
      </c>
      <c r="J22" s="72">
        <v>22</v>
      </c>
      <c r="K22" s="11"/>
      <c r="L22" s="11"/>
      <c r="M22" s="11"/>
      <c r="N22" s="11"/>
      <c r="O22" s="11"/>
      <c r="P22" s="11"/>
    </row>
    <row r="23" spans="2:16" s="56" customFormat="1" x14ac:dyDescent="0.25">
      <c r="B23" s="63"/>
      <c r="C23" s="64"/>
      <c r="D23" s="65"/>
      <c r="E23" s="66"/>
      <c r="F23" s="67"/>
      <c r="G23" s="68"/>
      <c r="I23" s="23" t="s">
        <v>84</v>
      </c>
      <c r="K23" s="11"/>
      <c r="L23" s="11"/>
      <c r="M23" s="11"/>
      <c r="N23" s="11"/>
      <c r="O23" s="11"/>
      <c r="P23" s="11"/>
    </row>
    <row r="24" spans="2:16" ht="15.75" thickBot="1" x14ac:dyDescent="0.3">
      <c r="B24" s="23" t="s">
        <v>63</v>
      </c>
      <c r="C24" s="24">
        <f>J12</f>
        <v>0</v>
      </c>
      <c r="D24" s="71">
        <f>IF($J$4&gt;=151.67,$J$3/151.67*1.25,0)</f>
        <v>20.603942770488565</v>
      </c>
      <c r="E24" s="72">
        <f>D24*C24</f>
        <v>0</v>
      </c>
      <c r="F24" s="73"/>
      <c r="G24" s="74"/>
      <c r="I24" s="40" t="s">
        <v>85</v>
      </c>
      <c r="J24" s="70"/>
    </row>
    <row r="25" spans="2:16" ht="16.5" thickBot="1" x14ac:dyDescent="0.3">
      <c r="B25" s="23" t="s">
        <v>66</v>
      </c>
      <c r="C25" s="24">
        <f>J13</f>
        <v>0</v>
      </c>
      <c r="D25" s="71">
        <f>IF($J$4&gt;=151.67,$J$3/151.67*1.5,0)</f>
        <v>24.724731324586276</v>
      </c>
      <c r="E25" s="72">
        <f>D25*C25</f>
        <v>0</v>
      </c>
      <c r="F25" s="73"/>
      <c r="G25" s="76"/>
      <c r="I25" s="4" t="s">
        <v>86</v>
      </c>
      <c r="J25" s="75">
        <v>0.03</v>
      </c>
      <c r="K25" s="78"/>
    </row>
    <row r="26" spans="2:16" ht="15.75" thickBot="1" x14ac:dyDescent="0.3">
      <c r="B26" s="23" t="s">
        <v>68</v>
      </c>
      <c r="C26" s="24">
        <f>J14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79" t="s">
        <v>87</v>
      </c>
      <c r="J26" s="371">
        <v>1800</v>
      </c>
    </row>
    <row r="27" spans="2:16" x14ac:dyDescent="0.25">
      <c r="B27" s="23" t="s">
        <v>69</v>
      </c>
      <c r="C27" s="24">
        <f>J15</f>
        <v>0</v>
      </c>
      <c r="D27" s="24">
        <f>IF($J$4&lt;151.67,$E$20/151.67*1.1,0)</f>
        <v>0</v>
      </c>
      <c r="E27" s="72">
        <f t="shared" si="0"/>
        <v>0</v>
      </c>
      <c r="F27" s="73"/>
      <c r="G27" s="76"/>
    </row>
    <row r="28" spans="2:16" x14ac:dyDescent="0.25">
      <c r="B28" s="23"/>
      <c r="C28" s="24"/>
      <c r="D28" s="24"/>
      <c r="E28" s="72"/>
      <c r="F28" s="73"/>
      <c r="G28" s="76"/>
    </row>
    <row r="29" spans="2:16" ht="27" x14ac:dyDescent="0.25">
      <c r="B29" s="23" t="s">
        <v>88</v>
      </c>
      <c r="C29" s="81"/>
      <c r="D29" s="24"/>
      <c r="E29" s="72"/>
      <c r="F29" s="82"/>
      <c r="G29" s="83"/>
      <c r="I29" s="84"/>
      <c r="J29" s="84"/>
      <c r="K29" s="84"/>
      <c r="L29" s="84"/>
      <c r="M29" s="84"/>
      <c r="N29" s="84"/>
    </row>
    <row r="30" spans="2:16" ht="27" x14ac:dyDescent="0.25">
      <c r="B30" s="23" t="s">
        <v>89</v>
      </c>
      <c r="C30" s="81"/>
      <c r="D30" s="24"/>
      <c r="E30" s="72"/>
      <c r="F30" s="82"/>
      <c r="G30" s="83"/>
      <c r="I30" s="84"/>
      <c r="J30" s="84"/>
      <c r="K30" s="84"/>
      <c r="L30" s="84"/>
      <c r="M30" s="84"/>
      <c r="N30" s="84"/>
    </row>
    <row r="31" spans="2:16" ht="27" x14ac:dyDescent="0.25">
      <c r="B31" s="23"/>
      <c r="C31" s="85"/>
      <c r="D31" s="86"/>
      <c r="E31" s="87"/>
      <c r="F31" s="88"/>
      <c r="G31" s="89"/>
      <c r="I31" s="84"/>
      <c r="J31" s="84"/>
      <c r="K31" s="84"/>
      <c r="L31" s="84"/>
      <c r="M31" s="84"/>
      <c r="N31" s="84"/>
    </row>
    <row r="32" spans="2:16" ht="27.75" thickBot="1" x14ac:dyDescent="0.3">
      <c r="B32" s="90" t="s">
        <v>90</v>
      </c>
      <c r="C32" s="431">
        <f>'Calcul maladie WINCKERT'!D8</f>
        <v>5</v>
      </c>
      <c r="D32" s="430">
        <f>'Calcul maladie WINCKERT'!D7</f>
        <v>119.04761904761905</v>
      </c>
      <c r="E32" s="93">
        <f>D32*-C32</f>
        <v>-595.2380952380953</v>
      </c>
      <c r="F32" s="94"/>
      <c r="G32" s="95"/>
      <c r="I32" s="84"/>
      <c r="J32" s="84"/>
      <c r="K32" s="84"/>
      <c r="L32" s="84"/>
      <c r="M32" s="84"/>
      <c r="N32" s="84"/>
    </row>
    <row r="33" spans="2:14" ht="27" x14ac:dyDescent="0.25">
      <c r="B33" s="96" t="s">
        <v>91</v>
      </c>
      <c r="C33" s="97"/>
      <c r="D33" s="98"/>
      <c r="E33" s="99"/>
      <c r="F33" s="100"/>
      <c r="G33" s="101"/>
      <c r="I33" s="84"/>
      <c r="J33" s="84"/>
      <c r="K33" s="84"/>
      <c r="L33" s="84"/>
      <c r="M33" s="84"/>
      <c r="N33" s="84"/>
    </row>
    <row r="34" spans="2:14" ht="27" x14ac:dyDescent="0.25">
      <c r="B34" s="90" t="s">
        <v>28</v>
      </c>
      <c r="C34" s="97"/>
      <c r="D34" s="98"/>
      <c r="E34" s="99"/>
      <c r="F34" s="100"/>
      <c r="G34" s="101"/>
      <c r="I34" s="84"/>
      <c r="J34" s="84"/>
      <c r="K34" s="84"/>
      <c r="L34" s="84"/>
      <c r="M34" s="84"/>
      <c r="N34" s="84"/>
    </row>
    <row r="35" spans="2:14" ht="27" x14ac:dyDescent="0.25">
      <c r="B35" s="96"/>
      <c r="C35" s="97"/>
      <c r="D35" s="98"/>
      <c r="E35" s="99"/>
      <c r="F35" s="100"/>
      <c r="G35" s="101"/>
      <c r="I35" s="84"/>
      <c r="J35" s="84"/>
      <c r="K35" s="84"/>
      <c r="L35" s="84"/>
      <c r="M35" s="84"/>
      <c r="N35" s="84"/>
    </row>
    <row r="36" spans="2:14" ht="27.75" thickBot="1" x14ac:dyDescent="0.3">
      <c r="B36" s="102" t="s">
        <v>92</v>
      </c>
      <c r="C36" s="97"/>
      <c r="D36" s="98"/>
      <c r="E36" s="103">
        <f>C36*D36</f>
        <v>0</v>
      </c>
      <c r="F36" s="100"/>
      <c r="G36" s="101"/>
      <c r="I36" s="84"/>
      <c r="J36" s="84"/>
      <c r="K36" s="84"/>
      <c r="L36" s="84"/>
      <c r="M36" s="84"/>
      <c r="N36" s="84"/>
    </row>
    <row r="37" spans="2:14" ht="28.5" thickTop="1" thickBot="1" x14ac:dyDescent="0.3">
      <c r="B37" s="104" t="s">
        <v>93</v>
      </c>
      <c r="C37" s="105"/>
      <c r="D37" s="106"/>
      <c r="E37" s="107">
        <f>SUM(E20:E36)</f>
        <v>2504.7619047619046</v>
      </c>
      <c r="F37" s="100"/>
      <c r="G37" s="101"/>
      <c r="I37" s="84"/>
      <c r="J37" s="84"/>
      <c r="K37" s="84"/>
      <c r="L37" s="84"/>
      <c r="M37" s="84"/>
      <c r="N37" s="84"/>
    </row>
    <row r="38" spans="2:14" ht="27.75" thickBot="1" x14ac:dyDescent="0.3">
      <c r="B38" s="108"/>
      <c r="C38" s="109"/>
      <c r="D38" s="110"/>
      <c r="E38" s="110"/>
      <c r="F38" s="111"/>
      <c r="G38" s="112"/>
      <c r="I38" s="84"/>
      <c r="J38" s="84"/>
      <c r="K38" s="84"/>
      <c r="L38" s="84"/>
      <c r="M38" s="84"/>
      <c r="N38" s="84"/>
    </row>
    <row r="39" spans="2:14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  <c r="I39" s="84"/>
      <c r="J39" s="84"/>
      <c r="K39" s="84"/>
      <c r="L39" s="84"/>
      <c r="M39" s="84"/>
      <c r="N39" s="84"/>
    </row>
    <row r="40" spans="2:14" ht="27" x14ac:dyDescent="0.25">
      <c r="B40" s="116" t="s">
        <v>99</v>
      </c>
      <c r="C40" s="117"/>
      <c r="D40" s="118"/>
      <c r="E40" s="118"/>
      <c r="F40" s="119"/>
      <c r="G40" s="120"/>
      <c r="I40" s="84"/>
      <c r="J40" s="84"/>
      <c r="K40" s="84"/>
      <c r="L40" s="84"/>
      <c r="M40" s="84"/>
      <c r="N40" s="84"/>
    </row>
    <row r="41" spans="2:14" ht="27" x14ac:dyDescent="0.25">
      <c r="B41" s="121" t="s">
        <v>100</v>
      </c>
      <c r="C41" s="97">
        <f>$E$37</f>
        <v>2504.7619047619046</v>
      </c>
      <c r="D41" s="122"/>
      <c r="E41" s="123"/>
      <c r="F41" s="124">
        <v>7.0000000000000007E-2</v>
      </c>
      <c r="G41" s="325">
        <f>F41*C41</f>
        <v>175.33333333333334</v>
      </c>
      <c r="I41" s="84"/>
      <c r="J41" s="84"/>
      <c r="K41" s="84"/>
      <c r="L41" s="84"/>
      <c r="M41" s="84"/>
      <c r="N41" s="84"/>
    </row>
    <row r="42" spans="2:14" ht="27" x14ac:dyDescent="0.25">
      <c r="B42" s="121" t="s">
        <v>101</v>
      </c>
      <c r="C42" s="97">
        <f>$J$17</f>
        <v>2504.7619047619046</v>
      </c>
      <c r="D42" s="126"/>
      <c r="E42" s="127"/>
      <c r="F42" s="128">
        <f>J24</f>
        <v>0</v>
      </c>
      <c r="G42" s="125">
        <f>F42*C42</f>
        <v>0</v>
      </c>
      <c r="I42" s="84"/>
      <c r="J42" s="84"/>
      <c r="K42" s="84"/>
      <c r="L42" s="84"/>
      <c r="M42" s="84"/>
      <c r="N42" s="84"/>
    </row>
    <row r="43" spans="2:14" ht="27" x14ac:dyDescent="0.25">
      <c r="B43" s="121" t="s">
        <v>102</v>
      </c>
      <c r="C43" s="97">
        <f>$J$18</f>
        <v>0</v>
      </c>
      <c r="D43" s="126"/>
      <c r="E43" s="127"/>
      <c r="F43" s="128"/>
      <c r="G43" s="125">
        <f>F43*C43</f>
        <v>0</v>
      </c>
      <c r="I43" s="84"/>
      <c r="J43" s="84"/>
      <c r="K43" s="84"/>
      <c r="L43" s="84"/>
      <c r="M43" s="84"/>
      <c r="N43" s="84"/>
    </row>
    <row r="44" spans="2:14" ht="27" x14ac:dyDescent="0.25">
      <c r="B44" s="121" t="s">
        <v>103</v>
      </c>
      <c r="C44" s="97">
        <v>3864</v>
      </c>
      <c r="D44" s="126">
        <v>0.01</v>
      </c>
      <c r="E44" s="127">
        <f>+D44*C44</f>
        <v>38.64</v>
      </c>
      <c r="F44" s="128">
        <v>0.01</v>
      </c>
      <c r="G44" s="125">
        <f>+F44*C44</f>
        <v>38.64</v>
      </c>
      <c r="I44" s="84"/>
      <c r="J44" s="84"/>
      <c r="K44" s="84"/>
      <c r="L44" s="84"/>
      <c r="M44" s="84"/>
      <c r="N44" s="84"/>
    </row>
    <row r="45" spans="2:14" ht="27" x14ac:dyDescent="0.25">
      <c r="B45" s="129" t="s">
        <v>104</v>
      </c>
      <c r="C45" s="97">
        <f>J17+J18</f>
        <v>2504.7619047619046</v>
      </c>
      <c r="E45" s="97"/>
      <c r="F45" s="130">
        <f>J7</f>
        <v>3.5999999999999997E-2</v>
      </c>
      <c r="G45" s="125">
        <f>F45*C45</f>
        <v>90.171428571428564</v>
      </c>
      <c r="I45" s="84"/>
      <c r="J45" s="84"/>
      <c r="K45" s="84"/>
      <c r="L45" s="84"/>
      <c r="M45" s="84"/>
      <c r="N45" s="84"/>
    </row>
    <row r="46" spans="2:14" ht="27" x14ac:dyDescent="0.25">
      <c r="B46" s="116" t="s">
        <v>105</v>
      </c>
      <c r="C46" s="117"/>
      <c r="D46" s="118"/>
      <c r="E46" s="118"/>
      <c r="F46" s="119"/>
      <c r="G46" s="120"/>
      <c r="I46" s="84"/>
      <c r="J46" s="84"/>
      <c r="K46" s="84"/>
      <c r="L46" s="84"/>
      <c r="M46" s="84"/>
      <c r="N46" s="84"/>
    </row>
    <row r="47" spans="2:14" ht="27" x14ac:dyDescent="0.25">
      <c r="B47" s="121" t="s">
        <v>106</v>
      </c>
      <c r="C47" s="97">
        <f>$J$17</f>
        <v>2504.7619047619046</v>
      </c>
      <c r="D47" s="126">
        <v>6.9000000000000006E-2</v>
      </c>
      <c r="E47" s="127">
        <f>D47*C47</f>
        <v>172.82857142857142</v>
      </c>
      <c r="F47" s="128">
        <v>8.5500000000000007E-2</v>
      </c>
      <c r="G47" s="125">
        <f>F47*C47</f>
        <v>214.15714285714287</v>
      </c>
      <c r="I47" s="84"/>
      <c r="J47" s="84"/>
      <c r="K47" s="84"/>
      <c r="L47" s="84"/>
      <c r="M47" s="84"/>
      <c r="N47" s="84"/>
    </row>
    <row r="48" spans="2:14" ht="27" x14ac:dyDescent="0.25">
      <c r="B48" s="121" t="s">
        <v>107</v>
      </c>
      <c r="C48" s="97">
        <f>$E$37</f>
        <v>2504.7619047619046</v>
      </c>
      <c r="D48" s="126">
        <v>4.0000000000000001E-3</v>
      </c>
      <c r="E48" s="127">
        <f t="shared" ref="E48:E51" si="1">D48*C48</f>
        <v>10.019047619047619</v>
      </c>
      <c r="F48" s="128">
        <v>2.0199999999999999E-2</v>
      </c>
      <c r="G48" s="125">
        <f t="shared" ref="G48:G51" si="2">F48*C48</f>
        <v>50.596190476190472</v>
      </c>
      <c r="I48" s="84"/>
      <c r="J48" s="84"/>
      <c r="K48" s="84"/>
      <c r="L48" s="84"/>
      <c r="M48" s="84"/>
      <c r="N48" s="84"/>
    </row>
    <row r="49" spans="2:14" ht="27" x14ac:dyDescent="0.25">
      <c r="B49" s="121" t="s">
        <v>108</v>
      </c>
      <c r="C49" s="97">
        <f>$J$17</f>
        <v>2504.7619047619046</v>
      </c>
      <c r="D49" s="126">
        <v>4.0099999999999997E-2</v>
      </c>
      <c r="E49" s="127">
        <f t="shared" si="1"/>
        <v>100.44095238095237</v>
      </c>
      <c r="F49" s="128">
        <v>6.0100000000000001E-2</v>
      </c>
      <c r="G49" s="125">
        <f t="shared" si="2"/>
        <v>150.53619047619046</v>
      </c>
      <c r="I49" s="84"/>
      <c r="J49" s="84"/>
      <c r="K49" s="84"/>
      <c r="L49" s="84"/>
      <c r="M49" s="84"/>
      <c r="N49" s="84"/>
    </row>
    <row r="50" spans="2:14" ht="27" x14ac:dyDescent="0.25">
      <c r="B50" s="121" t="s">
        <v>109</v>
      </c>
      <c r="C50" s="97">
        <f>+J18</f>
        <v>0</v>
      </c>
      <c r="D50" s="126">
        <v>9.7199999999999995E-2</v>
      </c>
      <c r="E50" s="127">
        <f t="shared" si="1"/>
        <v>0</v>
      </c>
      <c r="F50" s="128">
        <v>0.1457</v>
      </c>
      <c r="G50" s="125">
        <f t="shared" si="2"/>
        <v>0</v>
      </c>
      <c r="I50" s="84"/>
      <c r="J50" s="84"/>
      <c r="K50" s="84"/>
      <c r="L50" s="84"/>
      <c r="M50" s="84"/>
      <c r="N50" s="84"/>
    </row>
    <row r="51" spans="2:14" ht="27" x14ac:dyDescent="0.25">
      <c r="B51" s="121" t="s">
        <v>110</v>
      </c>
      <c r="C51" s="97"/>
      <c r="D51" s="126">
        <v>1.4E-3</v>
      </c>
      <c r="E51" s="127">
        <f t="shared" si="1"/>
        <v>0</v>
      </c>
      <c r="F51" s="128">
        <v>2.0999999999999999E-3</v>
      </c>
      <c r="G51" s="125">
        <f t="shared" si="2"/>
        <v>0</v>
      </c>
      <c r="I51" s="84"/>
      <c r="J51" s="84"/>
      <c r="K51" s="84"/>
      <c r="L51" s="84"/>
      <c r="M51" s="84"/>
      <c r="N51" s="84"/>
    </row>
    <row r="52" spans="2:14" x14ac:dyDescent="0.25">
      <c r="B52" s="121" t="s">
        <v>111</v>
      </c>
      <c r="C52" s="97"/>
      <c r="D52" s="126"/>
      <c r="E52" s="127"/>
      <c r="F52" s="128"/>
      <c r="G52" s="125"/>
    </row>
    <row r="53" spans="2:14" x14ac:dyDescent="0.25">
      <c r="B53" s="116" t="s">
        <v>112</v>
      </c>
      <c r="C53" s="97">
        <f>$E$37</f>
        <v>2504.7619047619046</v>
      </c>
      <c r="D53" s="131"/>
      <c r="E53" s="97"/>
      <c r="F53" s="128">
        <v>3.4500000000000003E-2</v>
      </c>
      <c r="G53" s="324">
        <f>F53*C53</f>
        <v>86.414285714285711</v>
      </c>
    </row>
    <row r="54" spans="2:14" x14ac:dyDescent="0.25">
      <c r="B54" s="116" t="s">
        <v>113</v>
      </c>
      <c r="C54" s="97"/>
      <c r="D54" s="131"/>
      <c r="E54" s="97"/>
      <c r="F54" s="133"/>
      <c r="G54" s="125"/>
    </row>
    <row r="55" spans="2:14" x14ac:dyDescent="0.25">
      <c r="B55" s="121" t="s">
        <v>114</v>
      </c>
      <c r="C55" s="97">
        <f>E37</f>
        <v>2504.7619047619046</v>
      </c>
      <c r="D55" s="131"/>
      <c r="E55" s="97"/>
      <c r="F55" s="134">
        <v>4.2500000000000003E-2</v>
      </c>
      <c r="G55" s="125">
        <f t="shared" ref="G55" si="3">F55*C55</f>
        <v>106.45238095238095</v>
      </c>
    </row>
    <row r="56" spans="2:14" x14ac:dyDescent="0.25">
      <c r="B56" s="121" t="s">
        <v>115</v>
      </c>
      <c r="C56" s="97"/>
      <c r="D56" s="135">
        <v>2.4000000000000001E-4</v>
      </c>
      <c r="E56" s="136">
        <f>D56*C56</f>
        <v>0</v>
      </c>
      <c r="F56" s="133">
        <v>3.6000000000000002E-4</v>
      </c>
      <c r="G56" s="137">
        <f>C56*F56</f>
        <v>0</v>
      </c>
    </row>
    <row r="57" spans="2:14" x14ac:dyDescent="0.25">
      <c r="B57" s="116" t="s">
        <v>116</v>
      </c>
      <c r="C57" s="97"/>
      <c r="D57" s="131"/>
      <c r="E57" s="97"/>
      <c r="F57" s="133"/>
      <c r="G57" s="125">
        <f>E103</f>
        <v>40.827619047619052</v>
      </c>
    </row>
    <row r="58" spans="2:14" x14ac:dyDescent="0.25">
      <c r="B58" s="129"/>
      <c r="C58" s="97"/>
      <c r="D58" s="97"/>
      <c r="E58" s="97"/>
      <c r="F58" s="97"/>
      <c r="G58" s="138"/>
    </row>
    <row r="59" spans="2:14" ht="25.5" x14ac:dyDescent="0.25">
      <c r="B59" s="139" t="s">
        <v>117</v>
      </c>
      <c r="C59" s="97"/>
      <c r="D59" s="97"/>
      <c r="E59" s="97"/>
      <c r="F59" s="97"/>
      <c r="G59" s="138"/>
    </row>
    <row r="60" spans="2:14" x14ac:dyDescent="0.25">
      <c r="B60" s="129"/>
      <c r="C60" s="97"/>
      <c r="D60" s="135"/>
      <c r="E60" s="97"/>
      <c r="F60" s="140"/>
      <c r="G60" s="125"/>
    </row>
    <row r="61" spans="2:14" x14ac:dyDescent="0.25">
      <c r="B61" s="129" t="s">
        <v>118</v>
      </c>
      <c r="C61" s="97">
        <f>(E37-E24-E25-E26-E27)*0.9825+G42+G43+G44</f>
        <v>2499.5685714285714</v>
      </c>
      <c r="D61" s="126">
        <v>6.8000000000000005E-2</v>
      </c>
      <c r="E61" s="127">
        <f>D61*C61</f>
        <v>169.97066285714288</v>
      </c>
      <c r="F61" s="128"/>
      <c r="G61" s="125"/>
    </row>
    <row r="62" spans="2:14" x14ac:dyDescent="0.25">
      <c r="B62" s="129" t="s">
        <v>119</v>
      </c>
      <c r="C62" s="97">
        <f>C61</f>
        <v>2499.5685714285714</v>
      </c>
      <c r="D62" s="126">
        <v>2.9000000000000001E-2</v>
      </c>
      <c r="E62" s="127">
        <f>D62*C62</f>
        <v>72.487488571428571</v>
      </c>
      <c r="F62" s="128"/>
      <c r="G62" s="125"/>
    </row>
    <row r="63" spans="2:14" ht="25.5" x14ac:dyDescent="0.25">
      <c r="B63" s="141" t="s">
        <v>120</v>
      </c>
      <c r="C63" s="97">
        <f>(E24+E25+E26+E27)*0.9825</f>
        <v>0</v>
      </c>
      <c r="D63" s="126">
        <v>9.7000000000000003E-2</v>
      </c>
      <c r="E63" s="127">
        <f>D63*C63</f>
        <v>0</v>
      </c>
      <c r="F63" s="128"/>
      <c r="G63" s="125"/>
    </row>
    <row r="64" spans="2:14" x14ac:dyDescent="0.25">
      <c r="B64" s="141" t="s">
        <v>121</v>
      </c>
      <c r="C64" s="126"/>
      <c r="D64" s="126"/>
      <c r="E64" s="127"/>
      <c r="F64" s="128"/>
      <c r="G64" s="138">
        <f>-I124</f>
        <v>0</v>
      </c>
    </row>
    <row r="65" spans="2:7" ht="32.25" customHeight="1" x14ac:dyDescent="0.25">
      <c r="B65" s="141" t="s">
        <v>122</v>
      </c>
      <c r="C65" s="142">
        <f>E24+E25+E26+E27</f>
        <v>0</v>
      </c>
      <c r="D65" s="126">
        <v>-0.11310000000000001</v>
      </c>
      <c r="E65" s="127">
        <f>D65*C65</f>
        <v>0</v>
      </c>
      <c r="F65" s="128"/>
      <c r="G65" s="125"/>
    </row>
    <row r="66" spans="2:7" ht="21.75" customHeight="1" thickBot="1" x14ac:dyDescent="0.3">
      <c r="B66" s="143" t="s">
        <v>123</v>
      </c>
      <c r="C66" s="144">
        <f>IF(AND(J4=151.67,J6&lt;20),C24+C25,0)</f>
        <v>0</v>
      </c>
      <c r="D66" s="145"/>
      <c r="E66" s="146"/>
      <c r="F66" s="147">
        <v>-1.5</v>
      </c>
      <c r="G66" s="148">
        <f>F66*C66</f>
        <v>0</v>
      </c>
    </row>
    <row r="67" spans="2:7" ht="15.75" thickBot="1" x14ac:dyDescent="0.3">
      <c r="B67" s="149" t="s">
        <v>124</v>
      </c>
      <c r="C67" s="150"/>
      <c r="D67" s="151"/>
      <c r="E67" s="152">
        <f>SUM(E41:E66)</f>
        <v>564.38672285714279</v>
      </c>
      <c r="F67" s="153"/>
      <c r="G67" s="154">
        <f>SUM(G41:G66)</f>
        <v>953.12857142857138</v>
      </c>
    </row>
    <row r="68" spans="2:7" x14ac:dyDescent="0.25">
      <c r="B68" s="155"/>
      <c r="C68" s="156"/>
      <c r="D68" s="157"/>
      <c r="E68" s="158"/>
      <c r="F68" s="159"/>
      <c r="G68" s="160"/>
    </row>
    <row r="69" spans="2:7" x14ac:dyDescent="0.25">
      <c r="B69" s="121" t="s">
        <v>125</v>
      </c>
      <c r="C69" s="127"/>
      <c r="D69" s="161"/>
      <c r="E69" s="162"/>
      <c r="F69" s="163"/>
      <c r="G69" s="164"/>
    </row>
    <row r="70" spans="2:7" x14ac:dyDescent="0.25">
      <c r="B70" s="121" t="s">
        <v>126</v>
      </c>
      <c r="C70" s="127"/>
      <c r="D70" s="161"/>
      <c r="E70" s="162"/>
      <c r="F70" s="163"/>
      <c r="G70" s="164"/>
    </row>
    <row r="71" spans="2:7" x14ac:dyDescent="0.25">
      <c r="B71" s="121" t="s">
        <v>127</v>
      </c>
      <c r="C71" s="127"/>
      <c r="D71" s="161"/>
      <c r="E71" s="127"/>
      <c r="F71" s="163"/>
      <c r="G71" s="164"/>
    </row>
    <row r="72" spans="2:7" ht="15.75" customHeight="1" x14ac:dyDescent="0.25">
      <c r="B72" s="165" t="s">
        <v>128</v>
      </c>
      <c r="C72" s="127"/>
      <c r="D72" s="161"/>
      <c r="E72" s="166"/>
      <c r="F72" s="163"/>
      <c r="G72" s="164"/>
    </row>
    <row r="73" spans="2:7" x14ac:dyDescent="0.25">
      <c r="B73" s="167" t="s">
        <v>255</v>
      </c>
      <c r="C73" s="366"/>
      <c r="D73" s="372">
        <v>0.5</v>
      </c>
      <c r="E73" s="169">
        <f>C73*D73</f>
        <v>0</v>
      </c>
      <c r="F73" s="170"/>
      <c r="G73" s="164"/>
    </row>
    <row r="74" spans="2:7" x14ac:dyDescent="0.25">
      <c r="B74" s="171" t="s">
        <v>218</v>
      </c>
      <c r="C74" s="127"/>
      <c r="D74" s="161"/>
      <c r="E74" s="172"/>
      <c r="F74" s="163"/>
      <c r="G74" s="164"/>
    </row>
    <row r="75" spans="2:7" ht="15.75" thickBot="1" x14ac:dyDescent="0.3">
      <c r="B75" s="143" t="s">
        <v>288</v>
      </c>
      <c r="C75" s="146"/>
      <c r="D75" s="173"/>
      <c r="E75" s="174"/>
      <c r="F75" s="175"/>
      <c r="G75" s="148">
        <f>+E37-E67</f>
        <v>1940.3751819047618</v>
      </c>
    </row>
    <row r="76" spans="2:7" ht="15.75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1940.3751819047618</v>
      </c>
    </row>
    <row r="77" spans="2:7" ht="28.5" x14ac:dyDescent="0.25">
      <c r="B77" s="178" t="s">
        <v>131</v>
      </c>
      <c r="C77" s="179"/>
      <c r="D77" s="180"/>
      <c r="E77" s="181"/>
      <c r="F77" s="182"/>
      <c r="G77" s="183">
        <f>E110</f>
        <v>36.407334285714285</v>
      </c>
    </row>
    <row r="78" spans="2:7" x14ac:dyDescent="0.25">
      <c r="B78" s="384" t="s">
        <v>132</v>
      </c>
      <c r="C78" s="384" t="s">
        <v>133</v>
      </c>
      <c r="D78" s="384" t="s">
        <v>96</v>
      </c>
      <c r="E78" s="385" t="s">
        <v>134</v>
      </c>
      <c r="F78" s="385"/>
      <c r="G78" s="386" t="s">
        <v>258</v>
      </c>
    </row>
    <row r="79" spans="2:7" x14ac:dyDescent="0.25">
      <c r="B79" s="387" t="s">
        <v>259</v>
      </c>
      <c r="C79" s="388"/>
      <c r="D79" s="389"/>
      <c r="E79" s="390">
        <f>E37+G44+E62-E67</f>
        <v>2051.5026704761904</v>
      </c>
      <c r="F79" s="391"/>
      <c r="G79" s="392"/>
    </row>
    <row r="80" spans="2:7" x14ac:dyDescent="0.25">
      <c r="B80" s="387" t="s">
        <v>260</v>
      </c>
      <c r="C80" s="393">
        <f>E79</f>
        <v>2051.5026704761904</v>
      </c>
      <c r="D80" s="394">
        <v>5.6000000000000001E-2</v>
      </c>
      <c r="E80" s="390">
        <f>D80*C80</f>
        <v>114.88414954666666</v>
      </c>
      <c r="F80" s="391"/>
      <c r="G80" s="392"/>
    </row>
    <row r="81" spans="2:7" x14ac:dyDescent="0.25">
      <c r="B81" s="387" t="s">
        <v>261</v>
      </c>
      <c r="C81" s="388"/>
      <c r="D81" s="390"/>
      <c r="E81" s="389"/>
      <c r="F81" s="391"/>
      <c r="G81" s="392"/>
    </row>
    <row r="82" spans="2:7" x14ac:dyDescent="0.25">
      <c r="B82" s="387"/>
      <c r="C82" s="388"/>
      <c r="D82" s="389"/>
      <c r="E82" s="389"/>
      <c r="F82" s="391"/>
      <c r="G82" s="395"/>
    </row>
    <row r="83" spans="2:7" x14ac:dyDescent="0.25">
      <c r="B83" s="396" t="s">
        <v>262</v>
      </c>
      <c r="C83" s="389"/>
      <c r="D83" s="389"/>
      <c r="E83" s="390">
        <f>G76-E80</f>
        <v>1825.4910323580953</v>
      </c>
      <c r="F83" s="391"/>
      <c r="G83" s="392"/>
    </row>
    <row r="84" spans="2:7" x14ac:dyDescent="0.25">
      <c r="B84" s="387" t="s">
        <v>263</v>
      </c>
      <c r="C84" s="389"/>
      <c r="D84" s="389"/>
      <c r="E84" s="390">
        <f>E118</f>
        <v>195.37142857142857</v>
      </c>
      <c r="F84" s="391"/>
      <c r="G84" s="392"/>
    </row>
    <row r="85" spans="2:7" x14ac:dyDescent="0.25">
      <c r="B85" s="387" t="s">
        <v>264</v>
      </c>
      <c r="C85" s="397"/>
      <c r="D85" s="389"/>
      <c r="E85" s="390">
        <f>E37+G67</f>
        <v>3457.890476190476</v>
      </c>
      <c r="F85" s="391"/>
      <c r="G85" s="392"/>
    </row>
    <row r="86" spans="2:7" ht="15.75" thickBot="1" x14ac:dyDescent="0.3">
      <c r="B86" s="398" t="s">
        <v>138</v>
      </c>
      <c r="C86" s="187"/>
      <c r="D86" s="187"/>
      <c r="E86" s="187"/>
      <c r="F86" s="399"/>
      <c r="G86" s="400"/>
    </row>
    <row r="87" spans="2:7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2:7" s="189" customFormat="1" ht="15.75" thickBot="1" x14ac:dyDescent="0.3">
      <c r="B90" s="453" t="s">
        <v>116</v>
      </c>
      <c r="C90" s="454"/>
      <c r="D90" s="11"/>
      <c r="E90" s="11"/>
    </row>
    <row r="91" spans="2:7" s="189" customFormat="1" x14ac:dyDescent="0.25">
      <c r="B91" s="190"/>
      <c r="C91" s="191"/>
      <c r="D91" s="455">
        <f>+E37</f>
        <v>2504.7619047619046</v>
      </c>
      <c r="E91" s="192"/>
    </row>
    <row r="92" spans="2:7" s="189" customFormat="1" x14ac:dyDescent="0.25">
      <c r="B92" s="193" t="s">
        <v>139</v>
      </c>
      <c r="C92" s="194">
        <f>IF(J6&gt;=11,J8,0)</f>
        <v>0</v>
      </c>
      <c r="D92" s="456"/>
      <c r="E92" s="195">
        <f>C92*$D$91</f>
        <v>0</v>
      </c>
    </row>
    <row r="93" spans="2:7" s="189" customFormat="1" x14ac:dyDescent="0.25">
      <c r="B93" s="193" t="s">
        <v>140</v>
      </c>
      <c r="C93" s="194">
        <f>IF(J6&lt;50,0%,0.5%)</f>
        <v>0</v>
      </c>
      <c r="D93" s="456"/>
      <c r="E93" s="195">
        <f t="shared" ref="E93:E98" si="4">C93*$D$91</f>
        <v>0</v>
      </c>
    </row>
    <row r="94" spans="2:7" s="189" customFormat="1" x14ac:dyDescent="0.25">
      <c r="B94" s="193" t="s">
        <v>141</v>
      </c>
      <c r="C94" s="194"/>
      <c r="D94" s="456"/>
      <c r="E94" s="195">
        <f t="shared" si="4"/>
        <v>0</v>
      </c>
    </row>
    <row r="95" spans="2:7" s="189" customFormat="1" x14ac:dyDescent="0.25">
      <c r="B95" s="193" t="s">
        <v>142</v>
      </c>
      <c r="C95" s="194">
        <v>3.0000000000000001E-3</v>
      </c>
      <c r="D95" s="456"/>
      <c r="E95" s="195">
        <f t="shared" si="4"/>
        <v>7.5142857142857142</v>
      </c>
    </row>
    <row r="96" spans="2:7" s="189" customFormat="1" x14ac:dyDescent="0.25">
      <c r="B96" s="193" t="s">
        <v>143</v>
      </c>
      <c r="C96" s="194">
        <v>6.7999999999999996E-3</v>
      </c>
      <c r="D96" s="456"/>
      <c r="E96" s="195">
        <f t="shared" si="4"/>
        <v>17.032380952380951</v>
      </c>
    </row>
    <row r="97" spans="2:5" s="189" customFormat="1" x14ac:dyDescent="0.25">
      <c r="B97" s="193" t="s">
        <v>144</v>
      </c>
      <c r="C97" s="194">
        <f>IF(J6&lt;11,0.55%,1%)</f>
        <v>5.5000000000000005E-3</v>
      </c>
      <c r="D97" s="456"/>
      <c r="E97" s="195">
        <f t="shared" si="4"/>
        <v>13.776190476190477</v>
      </c>
    </row>
    <row r="98" spans="2:5" s="189" customFormat="1" x14ac:dyDescent="0.25">
      <c r="B98" s="193"/>
      <c r="C98" s="194">
        <f>IF(J6&lt;=50,0,0.45%)</f>
        <v>0</v>
      </c>
      <c r="D98" s="456"/>
      <c r="E98" s="195">
        <f t="shared" si="4"/>
        <v>0</v>
      </c>
    </row>
    <row r="99" spans="2:5" s="189" customFormat="1" x14ac:dyDescent="0.25">
      <c r="B99" s="23"/>
      <c r="C99" s="24"/>
      <c r="D99" s="24"/>
      <c r="E99" s="25"/>
    </row>
    <row r="100" spans="2:5" s="189" customFormat="1" x14ac:dyDescent="0.25">
      <c r="B100" s="23" t="s">
        <v>145</v>
      </c>
      <c r="C100" s="196">
        <f>IF(J6&gt;=11,+G42+G43+G44,0)</f>
        <v>0</v>
      </c>
      <c r="D100" s="197">
        <v>0.08</v>
      </c>
      <c r="E100" s="198">
        <f>D100*C100</f>
        <v>0</v>
      </c>
    </row>
    <row r="101" spans="2:5" s="189" customFormat="1" ht="15.75" thickBot="1" x14ac:dyDescent="0.3">
      <c r="B101" s="40" t="s">
        <v>146</v>
      </c>
      <c r="C101" s="199">
        <f>IF(J6&lt;50,J17,0)</f>
        <v>2504.7619047619046</v>
      </c>
      <c r="D101" s="200">
        <v>1E-3</v>
      </c>
      <c r="E101" s="201">
        <f>D101*C101</f>
        <v>2.5047619047619047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ht="15.75" thickBot="1" x14ac:dyDescent="0.3">
      <c r="B103" s="202" t="s">
        <v>147</v>
      </c>
      <c r="C103" s="203"/>
      <c r="D103" s="203"/>
      <c r="E103" s="204">
        <f>SUM(E92:E101)</f>
        <v>40.827619047619052</v>
      </c>
    </row>
    <row r="104" spans="2:5" s="189" customFormat="1" ht="15.75" thickBot="1" x14ac:dyDescent="0.3">
      <c r="B104" s="11"/>
      <c r="C104" s="11"/>
      <c r="D104" s="11"/>
      <c r="E104" s="11"/>
    </row>
    <row r="105" spans="2:5" s="189" customFormat="1" thickBot="1" x14ac:dyDescent="0.3">
      <c r="B105" s="457" t="s">
        <v>148</v>
      </c>
      <c r="C105" s="458"/>
      <c r="D105" s="458"/>
      <c r="E105" s="459"/>
    </row>
    <row r="106" spans="2:5" s="189" customFormat="1" x14ac:dyDescent="0.25">
      <c r="B106" s="205" t="s">
        <v>149</v>
      </c>
      <c r="C106" s="206">
        <f>E37</f>
        <v>2504.7619047619046</v>
      </c>
      <c r="D106" s="207">
        <v>2.4E-2</v>
      </c>
      <c r="E106" s="208">
        <f>D106*C106</f>
        <v>60.114285714285714</v>
      </c>
    </row>
    <row r="107" spans="2:5" s="189" customFormat="1" x14ac:dyDescent="0.25">
      <c r="B107" s="209" t="s">
        <v>17</v>
      </c>
      <c r="C107" s="206">
        <f>C106</f>
        <v>2504.7619047619046</v>
      </c>
      <c r="D107" s="210">
        <v>7.4999999999999997E-3</v>
      </c>
      <c r="E107" s="211">
        <f t="shared" ref="E107:E108" si="5">D107*C107</f>
        <v>18.785714285714285</v>
      </c>
    </row>
    <row r="108" spans="2:5" s="189" customFormat="1" x14ac:dyDescent="0.25">
      <c r="B108" s="209" t="s">
        <v>150</v>
      </c>
      <c r="C108" s="206">
        <f>C61+C63</f>
        <v>2499.5685714285714</v>
      </c>
      <c r="D108" s="210">
        <v>-1.7000000000000001E-2</v>
      </c>
      <c r="E108" s="211">
        <f t="shared" si="5"/>
        <v>-42.492665714285721</v>
      </c>
    </row>
    <row r="109" spans="2:5" s="189" customFormat="1" x14ac:dyDescent="0.25">
      <c r="B109" s="184"/>
      <c r="C109" s="212"/>
      <c r="D109" s="213"/>
      <c r="E109" s="214"/>
    </row>
    <row r="110" spans="2:5" s="189" customFormat="1" ht="15.75" thickBot="1" x14ac:dyDescent="0.3">
      <c r="B110" s="215" t="s">
        <v>151</v>
      </c>
      <c r="C110" s="216"/>
      <c r="D110" s="217"/>
      <c r="E110" s="218">
        <f>SUM(E106:E109)</f>
        <v>36.407334285714285</v>
      </c>
    </row>
    <row r="111" spans="2:5" s="189" customFormat="1" ht="12.75" x14ac:dyDescent="0.25"/>
    <row r="112" spans="2:5" s="189" customFormat="1" ht="13.5" thickBot="1" x14ac:dyDescent="0.3"/>
    <row r="113" spans="2:9" s="189" customFormat="1" thickBot="1" x14ac:dyDescent="0.3">
      <c r="B113" s="457" t="s">
        <v>152</v>
      </c>
      <c r="C113" s="458"/>
      <c r="D113" s="458"/>
      <c r="E113" s="459"/>
    </row>
    <row r="114" spans="2:9" s="189" customFormat="1" ht="15.75" customHeight="1" x14ac:dyDescent="0.25">
      <c r="B114" s="219" t="s">
        <v>153</v>
      </c>
      <c r="C114" s="220"/>
      <c r="D114" s="220"/>
      <c r="E114" s="221">
        <f>I124</f>
        <v>0</v>
      </c>
    </row>
    <row r="115" spans="2:9" s="189" customFormat="1" ht="15.75" customHeight="1" x14ac:dyDescent="0.25">
      <c r="B115" s="222" t="s">
        <v>154</v>
      </c>
      <c r="C115" s="223">
        <f>C66</f>
        <v>0</v>
      </c>
      <c r="D115" s="224">
        <v>1.5</v>
      </c>
      <c r="E115" s="225">
        <f>D115*C115</f>
        <v>0</v>
      </c>
    </row>
    <row r="116" spans="2:9" s="189" customFormat="1" ht="15.75" customHeight="1" x14ac:dyDescent="0.25">
      <c r="B116" s="222" t="s">
        <v>155</v>
      </c>
      <c r="C116" s="226">
        <f>C41</f>
        <v>2504.7619047619046</v>
      </c>
      <c r="D116" s="210">
        <v>1.7999999999999999E-2</v>
      </c>
      <c r="E116" s="225">
        <f>D116*C116</f>
        <v>45.085714285714282</v>
      </c>
    </row>
    <row r="117" spans="2:9" s="189" customFormat="1" ht="15.75" customHeight="1" x14ac:dyDescent="0.25">
      <c r="B117" s="222" t="s">
        <v>156</v>
      </c>
      <c r="C117" s="226">
        <f>C116</f>
        <v>2504.7619047619046</v>
      </c>
      <c r="D117" s="210">
        <v>0.06</v>
      </c>
      <c r="E117" s="225">
        <f>D117*C117</f>
        <v>150.28571428571428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195.37142857142857</v>
      </c>
    </row>
    <row r="121" spans="2:9" ht="15.75" hidden="1" thickBot="1" x14ac:dyDescent="0.3">
      <c r="B121" s="230" t="s">
        <v>158</v>
      </c>
      <c r="C121" s="231">
        <f>J19</f>
        <v>0.31940000000000002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0" t="s">
        <v>168</v>
      </c>
      <c r="C127" s="461"/>
      <c r="D127" s="461"/>
      <c r="E127" s="461"/>
    </row>
    <row r="128" spans="2:9" hidden="1" x14ac:dyDescent="0.25"/>
    <row r="129" spans="2:6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6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6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6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6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6" ht="15.75" hidden="1" thickBot="1" x14ac:dyDescent="0.3">
      <c r="B134" s="250" t="s">
        <v>178</v>
      </c>
      <c r="C134" s="2"/>
      <c r="D134" s="462" t="s">
        <v>179</v>
      </c>
      <c r="E134" s="462"/>
      <c r="F134" s="463"/>
    </row>
    <row r="135" spans="2:6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6" hidden="1" x14ac:dyDescent="0.25"/>
    <row r="137" spans="2:6" ht="18.75" customHeight="1" x14ac:dyDescent="0.25">
      <c r="B137" s="9"/>
      <c r="C137" s="254"/>
      <c r="D137" s="255"/>
      <c r="E137" s="9"/>
      <c r="F137" s="9"/>
    </row>
    <row r="138" spans="2:6" ht="18.75" hidden="1" x14ac:dyDescent="0.25">
      <c r="B138" s="460" t="s">
        <v>9</v>
      </c>
      <c r="C138" s="461"/>
      <c r="D138" s="461"/>
      <c r="E138" s="461"/>
    </row>
    <row r="139" spans="2:6" hidden="1" x14ac:dyDescent="0.25"/>
    <row r="140" spans="2:6" hidden="1" x14ac:dyDescent="0.25">
      <c r="B140" s="450" t="s">
        <v>10</v>
      </c>
      <c r="C140" s="451"/>
      <c r="D140" s="451"/>
      <c r="E140" s="452"/>
    </row>
    <row r="141" spans="2:6" hidden="1" x14ac:dyDescent="0.25">
      <c r="B141" s="256" t="s">
        <v>11</v>
      </c>
      <c r="C141" s="257"/>
      <c r="D141" s="257"/>
      <c r="E141" s="271">
        <v>3000</v>
      </c>
    </row>
    <row r="142" spans="2:6" hidden="1" x14ac:dyDescent="0.25">
      <c r="B142" s="256" t="s">
        <v>12</v>
      </c>
      <c r="C142" s="257"/>
      <c r="D142" s="257"/>
      <c r="E142" s="258">
        <v>28</v>
      </c>
    </row>
    <row r="143" spans="2:6" hidden="1" x14ac:dyDescent="0.25">
      <c r="B143" s="256" t="s">
        <v>13</v>
      </c>
      <c r="C143" s="257"/>
      <c r="D143" s="257"/>
      <c r="E143" s="275">
        <f>+E141/E142</f>
        <v>107.14285714285714</v>
      </c>
    </row>
    <row r="144" spans="2:6" hidden="1" x14ac:dyDescent="0.25">
      <c r="B144" s="256" t="s">
        <v>14</v>
      </c>
      <c r="C144" s="257"/>
      <c r="D144" s="257"/>
      <c r="E144" s="272">
        <v>21</v>
      </c>
    </row>
    <row r="145" spans="2:5" ht="16.5" hidden="1" thickTop="1" thickBot="1" x14ac:dyDescent="0.3">
      <c r="B145" s="259" t="s">
        <v>15</v>
      </c>
      <c r="C145" s="260"/>
      <c r="D145" s="261"/>
      <c r="E145" s="276">
        <f>E143*E144</f>
        <v>2250</v>
      </c>
    </row>
    <row r="146" spans="2:5" hidden="1" x14ac:dyDescent="0.25">
      <c r="B146" s="262"/>
      <c r="C146" s="262"/>
      <c r="D146" s="262"/>
      <c r="E146" s="262"/>
    </row>
    <row r="147" spans="2:5" ht="15.75" hidden="1" thickBot="1" x14ac:dyDescent="0.3">
      <c r="B147" s="457" t="s">
        <v>16</v>
      </c>
      <c r="C147" s="458"/>
      <c r="D147" s="458"/>
      <c r="E147" s="459"/>
    </row>
    <row r="148" spans="2:5" hidden="1" x14ac:dyDescent="0.25">
      <c r="B148" s="263" t="s">
        <v>17</v>
      </c>
      <c r="C148" s="264"/>
      <c r="D148" s="265" t="s">
        <v>18</v>
      </c>
      <c r="E148" s="266" t="s">
        <v>19</v>
      </c>
    </row>
    <row r="149" spans="2:5" hidden="1" x14ac:dyDescent="0.25">
      <c r="B149" s="209" t="s">
        <v>20</v>
      </c>
      <c r="C149" s="273">
        <v>44197</v>
      </c>
      <c r="D149" s="274">
        <v>5850</v>
      </c>
      <c r="E149" s="277">
        <f>1.8*1603.12</f>
        <v>2885.616</v>
      </c>
    </row>
    <row r="150" spans="2:5" hidden="1" x14ac:dyDescent="0.25">
      <c r="B150" s="209" t="s">
        <v>21</v>
      </c>
      <c r="C150" s="273">
        <v>44531</v>
      </c>
      <c r="D150" s="274">
        <v>3000</v>
      </c>
      <c r="E150" s="277">
        <f t="shared" ref="E150:E151" si="9">1.8*1603.12</f>
        <v>2885.616</v>
      </c>
    </row>
    <row r="151" spans="2:5" hidden="1" x14ac:dyDescent="0.25">
      <c r="B151" s="209" t="s">
        <v>22</v>
      </c>
      <c r="C151" s="273">
        <v>44501</v>
      </c>
      <c r="D151" s="274">
        <v>2900</v>
      </c>
      <c r="E151" s="277">
        <f t="shared" si="9"/>
        <v>2885.616</v>
      </c>
    </row>
    <row r="152" spans="2:5" hidden="1" x14ac:dyDescent="0.25">
      <c r="B152" s="209" t="s">
        <v>23</v>
      </c>
      <c r="C152" s="267"/>
      <c r="D152" s="267"/>
      <c r="E152" s="211">
        <f>SUM(E149:E151)</f>
        <v>8656.848</v>
      </c>
    </row>
    <row r="153" spans="2:5" hidden="1" x14ac:dyDescent="0.25">
      <c r="B153" s="209" t="s">
        <v>24</v>
      </c>
      <c r="C153" s="267"/>
      <c r="D153" s="267"/>
      <c r="E153" s="211">
        <f>E152/91.25*0.5</f>
        <v>47.434783561643833</v>
      </c>
    </row>
    <row r="154" spans="2:5" hidden="1" x14ac:dyDescent="0.25">
      <c r="B154" s="209" t="s">
        <v>181</v>
      </c>
      <c r="C154" s="267"/>
      <c r="D154" s="279" t="s">
        <v>182</v>
      </c>
      <c r="E154" s="268">
        <f>E144-3</f>
        <v>18</v>
      </c>
    </row>
    <row r="155" spans="2:5" hidden="1" x14ac:dyDescent="0.25">
      <c r="B155" s="209" t="s">
        <v>25</v>
      </c>
      <c r="C155" s="267"/>
      <c r="D155" s="267"/>
      <c r="E155" s="283">
        <f>E154*E153</f>
        <v>853.82610410958898</v>
      </c>
    </row>
    <row r="156" spans="2:5" hidden="1" x14ac:dyDescent="0.25">
      <c r="B156" s="209" t="s">
        <v>26</v>
      </c>
      <c r="C156" s="267"/>
      <c r="D156" s="267"/>
      <c r="E156" s="211">
        <f>E155*6.7%</f>
        <v>57.206348975342465</v>
      </c>
    </row>
    <row r="157" spans="2:5" ht="15.75" hidden="1" thickBot="1" x14ac:dyDescent="0.3">
      <c r="B157" s="269" t="s">
        <v>27</v>
      </c>
      <c r="C157" s="270"/>
      <c r="D157" s="270"/>
      <c r="E157" s="278">
        <f>E155-E156</f>
        <v>796.61975513424647</v>
      </c>
    </row>
    <row r="158" spans="2:5" hidden="1" x14ac:dyDescent="0.25"/>
    <row r="159" spans="2:5" hidden="1" x14ac:dyDescent="0.25">
      <c r="B159" s="450" t="s">
        <v>28</v>
      </c>
      <c r="C159" s="451"/>
      <c r="D159" s="451"/>
      <c r="E159" s="452"/>
    </row>
    <row r="160" spans="2:5" hidden="1" x14ac:dyDescent="0.25">
      <c r="B160" s="256" t="s">
        <v>29</v>
      </c>
      <c r="C160" s="257"/>
      <c r="D160" s="257"/>
      <c r="E160" s="280">
        <f>E144-7</f>
        <v>14</v>
      </c>
    </row>
    <row r="161" spans="2:5" hidden="1" x14ac:dyDescent="0.25">
      <c r="B161" s="256" t="s">
        <v>30</v>
      </c>
      <c r="C161" s="257"/>
      <c r="D161" s="257"/>
      <c r="E161" s="258">
        <f>E143*0.9</f>
        <v>96.428571428571431</v>
      </c>
    </row>
    <row r="162" spans="2:5" ht="16.5" hidden="1" thickTop="1" thickBot="1" x14ac:dyDescent="0.3">
      <c r="B162" s="256" t="s">
        <v>31</v>
      </c>
      <c r="C162" s="257"/>
      <c r="D162" s="257"/>
      <c r="E162" s="276">
        <f>E160*E161</f>
        <v>1350</v>
      </c>
    </row>
    <row r="163" spans="2:5" hidden="1" x14ac:dyDescent="0.25">
      <c r="B163" s="209" t="s">
        <v>32</v>
      </c>
      <c r="C163" s="257"/>
      <c r="D163" s="257"/>
      <c r="E163" s="281">
        <f>E153</f>
        <v>47.434783561643833</v>
      </c>
    </row>
    <row r="164" spans="2:5" ht="16.5" hidden="1" thickTop="1" thickBot="1" x14ac:dyDescent="0.3">
      <c r="B164" s="259" t="s">
        <v>33</v>
      </c>
      <c r="C164" s="284">
        <f>E160</f>
        <v>14</v>
      </c>
      <c r="D164" s="282">
        <f>E163</f>
        <v>47.434783561643833</v>
      </c>
      <c r="E164" s="276">
        <f>D164*C164</f>
        <v>664.08696986301368</v>
      </c>
    </row>
    <row r="165" spans="2:5" hidden="1" x14ac:dyDescent="0.25"/>
  </sheetData>
  <mergeCells count="12">
    <mergeCell ref="C17:D17"/>
    <mergeCell ref="F17:G1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2DD1-0DD4-4075-8D7E-9A7B17175858}">
  <dimension ref="D1:E22"/>
  <sheetViews>
    <sheetView workbookViewId="0">
      <selection activeCell="D1" sqref="D1:E22"/>
    </sheetView>
  </sheetViews>
  <sheetFormatPr baseColWidth="10" defaultRowHeight="15" x14ac:dyDescent="0.25"/>
  <sheetData>
    <row r="1" spans="4:5" x14ac:dyDescent="0.25">
      <c r="D1" t="s">
        <v>3</v>
      </c>
      <c r="E1">
        <v>1</v>
      </c>
    </row>
    <row r="2" spans="4:5" x14ac:dyDescent="0.25">
      <c r="D2" t="s">
        <v>4</v>
      </c>
      <c r="E2">
        <v>2</v>
      </c>
    </row>
    <row r="3" spans="4:5" x14ac:dyDescent="0.25">
      <c r="D3" t="s">
        <v>5</v>
      </c>
      <c r="E3">
        <v>5</v>
      </c>
    </row>
    <row r="4" spans="4:5" x14ac:dyDescent="0.25">
      <c r="D4" t="s">
        <v>6</v>
      </c>
      <c r="E4">
        <v>6</v>
      </c>
    </row>
    <row r="5" spans="4:5" x14ac:dyDescent="0.25">
      <c r="D5" t="s">
        <v>7</v>
      </c>
      <c r="E5">
        <v>7</v>
      </c>
    </row>
    <row r="6" spans="4:5" x14ac:dyDescent="0.25">
      <c r="D6" t="s">
        <v>3</v>
      </c>
      <c r="E6">
        <v>8</v>
      </c>
    </row>
    <row r="7" spans="4:5" x14ac:dyDescent="0.25">
      <c r="D7" t="s">
        <v>4</v>
      </c>
      <c r="E7">
        <v>9</v>
      </c>
    </row>
    <row r="8" spans="4:5" x14ac:dyDescent="0.25">
      <c r="D8" t="s">
        <v>5</v>
      </c>
      <c r="E8">
        <v>12</v>
      </c>
    </row>
    <row r="9" spans="4:5" x14ac:dyDescent="0.25">
      <c r="D9" t="s">
        <v>6</v>
      </c>
      <c r="E9">
        <v>13</v>
      </c>
    </row>
    <row r="10" spans="4:5" x14ac:dyDescent="0.25">
      <c r="D10" t="s">
        <v>7</v>
      </c>
      <c r="E10">
        <v>14</v>
      </c>
    </row>
    <row r="11" spans="4:5" x14ac:dyDescent="0.25">
      <c r="D11" t="s">
        <v>3</v>
      </c>
      <c r="E11">
        <v>15</v>
      </c>
    </row>
    <row r="12" spans="4:5" x14ac:dyDescent="0.25">
      <c r="D12" t="s">
        <v>4</v>
      </c>
      <c r="E12">
        <v>16</v>
      </c>
    </row>
    <row r="13" spans="4:5" x14ac:dyDescent="0.25">
      <c r="D13" t="s">
        <v>5</v>
      </c>
      <c r="E13">
        <v>19</v>
      </c>
    </row>
    <row r="14" spans="4:5" x14ac:dyDescent="0.25">
      <c r="D14" t="s">
        <v>6</v>
      </c>
      <c r="E14">
        <v>20</v>
      </c>
    </row>
    <row r="15" spans="4:5" x14ac:dyDescent="0.25">
      <c r="D15" t="s">
        <v>7</v>
      </c>
      <c r="E15">
        <v>21</v>
      </c>
    </row>
    <row r="16" spans="4:5" x14ac:dyDescent="0.25">
      <c r="D16" t="s">
        <v>3</v>
      </c>
      <c r="E16">
        <v>22</v>
      </c>
    </row>
    <row r="17" spans="4:5" x14ac:dyDescent="0.25">
      <c r="D17" t="s">
        <v>4</v>
      </c>
      <c r="E17">
        <v>23</v>
      </c>
    </row>
    <row r="18" spans="4:5" x14ac:dyDescent="0.25">
      <c r="D18" t="s">
        <v>5</v>
      </c>
      <c r="E18">
        <v>26</v>
      </c>
    </row>
    <row r="19" spans="4:5" x14ac:dyDescent="0.25">
      <c r="D19" t="s">
        <v>6</v>
      </c>
      <c r="E19">
        <v>27</v>
      </c>
    </row>
    <row r="20" spans="4:5" x14ac:dyDescent="0.25">
      <c r="D20" t="s">
        <v>7</v>
      </c>
      <c r="E20">
        <v>28</v>
      </c>
    </row>
    <row r="21" spans="4:5" x14ac:dyDescent="0.25">
      <c r="D21" t="s">
        <v>3</v>
      </c>
      <c r="E21">
        <v>29</v>
      </c>
    </row>
    <row r="22" spans="4:5" x14ac:dyDescent="0.25">
      <c r="D22" t="s">
        <v>4</v>
      </c>
      <c r="E22">
        <v>30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CALCULS DIVERS</vt:lpstr>
      <vt:lpstr>REGUL DUMONT</vt:lpstr>
      <vt:lpstr>Bulletin DUMONT</vt:lpstr>
      <vt:lpstr>REGUL LAMBERT</vt:lpstr>
      <vt:lpstr>Bulletin LAMBERT</vt:lpstr>
      <vt:lpstr>REGUL SALVI</vt:lpstr>
      <vt:lpstr>Bulletin SALVI</vt:lpstr>
      <vt:lpstr>REGUL SMITH</vt:lpstr>
      <vt:lpstr>Bulletin SMITH</vt:lpstr>
      <vt:lpstr>REGUL WINCKERT</vt:lpstr>
      <vt:lpstr>Calcul maladie WINCKERT</vt:lpstr>
      <vt:lpstr>Bulletin WINCKERT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dcterms:created xsi:type="dcterms:W3CDTF">2019-05-13T15:16:04Z</dcterms:created>
  <dcterms:modified xsi:type="dcterms:W3CDTF">2024-06-26T14:20:26Z</dcterms:modified>
</cp:coreProperties>
</file>