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EMP\Desktop\foad paie 2020\PAIE N5\20-PREMIER CAS DE PREPARATION A EXAMEN\"/>
    </mc:Choice>
  </mc:AlternateContent>
  <xr:revisionPtr revIDLastSave="0" documentId="13_ncr:1_{8D4297E5-6007-4594-A296-EC852695738C}" xr6:coauthVersionLast="47" xr6:coauthVersionMax="47" xr10:uidLastSave="{00000000-0000-0000-0000-000000000000}"/>
  <bookViews>
    <workbookView xWindow="49080" yWindow="-660" windowWidth="29040" windowHeight="15840" tabRatio="944" activeTab="10" xr2:uid="{00000000-000D-0000-FFFF-FFFF00000000}"/>
  </bookViews>
  <sheets>
    <sheet name="SALARIES" sheetId="1" r:id="rId1"/>
    <sheet name="CONDITIONS PARTICULIERES" sheetId="2" r:id="rId2"/>
    <sheet name="SALAIRES" sheetId="3" r:id="rId3"/>
    <sheet name="CALENDRIER DU MOIS DE MAI" sheetId="4" r:id="rId4"/>
    <sheet name="MAQUETTE DE BULLETIN (2)" sheetId="18" r:id="rId5"/>
    <sheet name="DUMAINE BULLETIN" sheetId="12" r:id="rId6"/>
    <sheet name="Feuil1" sheetId="11" state="hidden" r:id="rId7"/>
    <sheet name="VALETTE BULLETIN" sheetId="14" r:id="rId8"/>
    <sheet name="HERMAN BULLETIN" sheetId="15" r:id="rId9"/>
    <sheet name="DUMOULINS BULLETIN" sheetId="16" r:id="rId10"/>
    <sheet name="LAMBERT BULLETIN" sheetId="17" r:id="rId11"/>
    <sheet name="REGULARISATION" sheetId="13"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4" l="1"/>
  <c r="B37" i="12"/>
  <c r="D127" i="12"/>
  <c r="D128" i="12" s="1"/>
  <c r="D129" i="12" s="1"/>
  <c r="D126" i="12"/>
  <c r="D126" i="15"/>
  <c r="D127" i="15"/>
  <c r="D128" i="15"/>
  <c r="D129" i="15"/>
  <c r="D125" i="15"/>
  <c r="D125" i="16"/>
  <c r="B65" i="15"/>
  <c r="C94" i="17" l="1"/>
  <c r="B102" i="17"/>
  <c r="D102" i="17" s="1"/>
  <c r="C85" i="17"/>
  <c r="D126" i="16"/>
  <c r="D127" i="16" s="1"/>
  <c r="D128" i="16" s="1"/>
  <c r="D129" i="16" s="1"/>
  <c r="E125" i="16"/>
  <c r="D116" i="16"/>
  <c r="B116" i="16"/>
  <c r="C94" i="16"/>
  <c r="C85" i="16"/>
  <c r="C85" i="15"/>
  <c r="B115" i="14"/>
  <c r="D115" i="14" s="1"/>
  <c r="F69" i="14"/>
  <c r="C85" i="14"/>
  <c r="E126" i="16" l="1"/>
  <c r="E127" i="16" l="1"/>
  <c r="E128" i="16" l="1"/>
  <c r="E129" i="16" l="1"/>
  <c r="C85" i="12" l="1"/>
  <c r="E169" i="18"/>
  <c r="D127" i="18"/>
  <c r="B113" i="18"/>
  <c r="D113" i="18" s="1"/>
  <c r="B111" i="18"/>
  <c r="D111" i="18" s="1"/>
  <c r="B110" i="18"/>
  <c r="D110" i="18" s="1"/>
  <c r="D109" i="18"/>
  <c r="D108" i="18"/>
  <c r="D107" i="18"/>
  <c r="D106" i="18"/>
  <c r="B106" i="18"/>
  <c r="D105" i="18"/>
  <c r="B105" i="18"/>
  <c r="C94" i="18"/>
  <c r="D83" i="18"/>
  <c r="B72" i="18"/>
  <c r="F71" i="18"/>
  <c r="F68" i="18"/>
  <c r="F67" i="18"/>
  <c r="D67" i="18"/>
  <c r="F66" i="18"/>
  <c r="D66" i="18"/>
  <c r="F62" i="18"/>
  <c r="E61" i="18"/>
  <c r="F60" i="18"/>
  <c r="E59" i="18"/>
  <c r="E58" i="18"/>
  <c r="C58" i="18"/>
  <c r="C41" i="18"/>
  <c r="D41" i="18"/>
  <c r="J29" i="18"/>
  <c r="J28" i="18"/>
  <c r="F67" i="13"/>
  <c r="F68" i="13"/>
  <c r="F69" i="13"/>
  <c r="F70" i="13"/>
  <c r="F71" i="13"/>
  <c r="F72" i="13"/>
  <c r="F73" i="13"/>
  <c r="F74" i="13"/>
  <c r="F75" i="13"/>
  <c r="F76" i="13"/>
  <c r="F77" i="13"/>
  <c r="F66" i="13"/>
  <c r="B37" i="14"/>
  <c r="C37" i="14"/>
  <c r="E57" i="12"/>
  <c r="E57" i="14"/>
  <c r="E57" i="15"/>
  <c r="E57" i="16"/>
  <c r="E57" i="17"/>
  <c r="B70" i="17"/>
  <c r="F56" i="17"/>
  <c r="B53" i="17"/>
  <c r="F53" i="17" s="1"/>
  <c r="F51" i="17"/>
  <c r="B51" i="17"/>
  <c r="D51" i="17" s="1"/>
  <c r="E49" i="17"/>
  <c r="F48" i="17"/>
  <c r="D48" i="17"/>
  <c r="B46" i="17"/>
  <c r="F46" i="17" s="1"/>
  <c r="E45" i="17"/>
  <c r="C37" i="17"/>
  <c r="D37" i="17" s="1"/>
  <c r="B37" i="17"/>
  <c r="D27" i="17"/>
  <c r="C25" i="17"/>
  <c r="D25" i="17" s="1"/>
  <c r="C24" i="17"/>
  <c r="D24" i="17" s="1"/>
  <c r="D22" i="17"/>
  <c r="D21" i="17"/>
  <c r="C20" i="17"/>
  <c r="F60" i="16"/>
  <c r="B60" i="16"/>
  <c r="D60" i="16" s="1"/>
  <c r="F56" i="16"/>
  <c r="F55" i="16"/>
  <c r="B55" i="16"/>
  <c r="D55" i="16" s="1"/>
  <c r="F54" i="16"/>
  <c r="D54" i="16"/>
  <c r="B54" i="16"/>
  <c r="E49" i="16"/>
  <c r="F48" i="16"/>
  <c r="D48" i="16"/>
  <c r="B47" i="16"/>
  <c r="E45" i="16"/>
  <c r="C37" i="16"/>
  <c r="D37" i="16" s="1"/>
  <c r="B37" i="16"/>
  <c r="D27" i="16"/>
  <c r="D22" i="16"/>
  <c r="D21" i="16"/>
  <c r="E125" i="15"/>
  <c r="E126" i="15" s="1"/>
  <c r="B116" i="15"/>
  <c r="D116" i="15" s="1"/>
  <c r="B102" i="15"/>
  <c r="C94" i="15"/>
  <c r="F56" i="15"/>
  <c r="B53" i="15"/>
  <c r="F53" i="15" s="1"/>
  <c r="B51" i="15"/>
  <c r="D51" i="15" s="1"/>
  <c r="E49" i="15"/>
  <c r="F46" i="15"/>
  <c r="E45" i="15"/>
  <c r="C37" i="15"/>
  <c r="B37" i="15"/>
  <c r="D27" i="15"/>
  <c r="C25" i="15"/>
  <c r="D25" i="15" s="1"/>
  <c r="C24" i="15"/>
  <c r="D24" i="15" s="1"/>
  <c r="B67" i="15" s="1"/>
  <c r="D67" i="15" s="1"/>
  <c r="D22" i="15"/>
  <c r="D21" i="15"/>
  <c r="C20" i="15"/>
  <c r="C37" i="12"/>
  <c r="D37" i="12"/>
  <c r="C93" i="14"/>
  <c r="F56" i="14"/>
  <c r="E49" i="14"/>
  <c r="F48" i="14"/>
  <c r="D48" i="14"/>
  <c r="E45" i="14"/>
  <c r="D27" i="14"/>
  <c r="C25" i="14"/>
  <c r="D25" i="14" s="1"/>
  <c r="C24" i="14"/>
  <c r="D24" i="14" s="1"/>
  <c r="D22" i="14"/>
  <c r="D21" i="14"/>
  <c r="C20" i="14"/>
  <c r="E125" i="12"/>
  <c r="E126" i="12" s="1"/>
  <c r="E85" i="13"/>
  <c r="E86" i="13" s="1"/>
  <c r="C85" i="13"/>
  <c r="C67" i="13"/>
  <c r="C68" i="13" s="1"/>
  <c r="C69" i="13" s="1"/>
  <c r="C70" i="13" s="1"/>
  <c r="C71" i="13" s="1"/>
  <c r="C72" i="13" s="1"/>
  <c r="C73" i="13" s="1"/>
  <c r="C74" i="13" s="1"/>
  <c r="C75" i="13" s="1"/>
  <c r="C76" i="13" s="1"/>
  <c r="C77" i="13" s="1"/>
  <c r="E66" i="13"/>
  <c r="E67" i="13" s="1"/>
  <c r="E68" i="13" s="1"/>
  <c r="E69" i="13" s="1"/>
  <c r="C66" i="13"/>
  <c r="F58" i="13"/>
  <c r="D58" i="13"/>
  <c r="F57" i="13"/>
  <c r="D57" i="13"/>
  <c r="F56" i="13"/>
  <c r="D56" i="13"/>
  <c r="F55" i="13"/>
  <c r="D55" i="13"/>
  <c r="F54" i="13"/>
  <c r="D54" i="13"/>
  <c r="F53" i="13"/>
  <c r="D53" i="13"/>
  <c r="F52" i="13"/>
  <c r="D52" i="13"/>
  <c r="F51" i="13"/>
  <c r="D51" i="13"/>
  <c r="F50" i="13"/>
  <c r="D50" i="13"/>
  <c r="F49" i="13"/>
  <c r="D49" i="13"/>
  <c r="F48" i="13"/>
  <c r="D48" i="13"/>
  <c r="F47" i="13"/>
  <c r="G47" i="13" s="1"/>
  <c r="D47" i="13"/>
  <c r="C47" i="13"/>
  <c r="C48" i="13" s="1"/>
  <c r="F41" i="13"/>
  <c r="D41" i="13"/>
  <c r="F40" i="13"/>
  <c r="D40" i="13"/>
  <c r="F39" i="13"/>
  <c r="D39" i="13"/>
  <c r="F38" i="13"/>
  <c r="D38" i="13"/>
  <c r="F37" i="13"/>
  <c r="D37" i="13"/>
  <c r="F36" i="13"/>
  <c r="D36" i="13"/>
  <c r="F35" i="13"/>
  <c r="D35" i="13"/>
  <c r="F34" i="13"/>
  <c r="D34" i="13"/>
  <c r="F33" i="13"/>
  <c r="D33" i="13"/>
  <c r="F32" i="13"/>
  <c r="D32" i="13"/>
  <c r="F31" i="13"/>
  <c r="D31" i="13"/>
  <c r="F30" i="13"/>
  <c r="G30" i="13" s="1"/>
  <c r="G31" i="13" s="1"/>
  <c r="G32" i="13" s="1"/>
  <c r="G33" i="13" s="1"/>
  <c r="G34" i="13" s="1"/>
  <c r="G35" i="13" s="1"/>
  <c r="G36" i="13" s="1"/>
  <c r="G37" i="13" s="1"/>
  <c r="G38" i="13" s="1"/>
  <c r="G39" i="13" s="1"/>
  <c r="G40" i="13" s="1"/>
  <c r="G41" i="13" s="1"/>
  <c r="D30" i="13"/>
  <c r="C30" i="13"/>
  <c r="C31" i="13" s="1"/>
  <c r="D22" i="13"/>
  <c r="D21" i="13"/>
  <c r="D20" i="13"/>
  <c r="D19" i="13"/>
  <c r="D18" i="13"/>
  <c r="D17" i="13"/>
  <c r="D16" i="13"/>
  <c r="D15" i="13"/>
  <c r="D14" i="13"/>
  <c r="D13" i="13"/>
  <c r="D12" i="13"/>
  <c r="D11" i="13"/>
  <c r="E11" i="13" s="1"/>
  <c r="E12" i="13" s="1"/>
  <c r="E13" i="13" s="1"/>
  <c r="E14" i="13" s="1"/>
  <c r="E15" i="13" s="1"/>
  <c r="E16" i="13" s="1"/>
  <c r="E17" i="13" s="1"/>
  <c r="E18" i="13" s="1"/>
  <c r="E19" i="13" s="1"/>
  <c r="E20" i="13" s="1"/>
  <c r="E21" i="13" s="1"/>
  <c r="E22" i="13" s="1"/>
  <c r="C11" i="13"/>
  <c r="F11" i="13" s="1"/>
  <c r="G11" i="13" s="1"/>
  <c r="H11" i="13" s="1"/>
  <c r="D48" i="12"/>
  <c r="F48" i="12"/>
  <c r="B116" i="12"/>
  <c r="D116" i="12" s="1"/>
  <c r="C94" i="12"/>
  <c r="B60" i="12"/>
  <c r="F60" i="12" s="1"/>
  <c r="F56" i="12"/>
  <c r="B55" i="12"/>
  <c r="F55" i="12" s="1"/>
  <c r="B54" i="12"/>
  <c r="D54" i="12" s="1"/>
  <c r="E49" i="12"/>
  <c r="B47" i="12"/>
  <c r="E45" i="12"/>
  <c r="D27" i="12"/>
  <c r="C25" i="12"/>
  <c r="D25" i="12" s="1"/>
  <c r="C24" i="12"/>
  <c r="D24" i="12" s="1"/>
  <c r="D22" i="12"/>
  <c r="D21" i="12"/>
  <c r="C20" i="12"/>
  <c r="D102" i="15" l="1"/>
  <c r="B107" i="15"/>
  <c r="C40" i="18"/>
  <c r="D40" i="18" s="1"/>
  <c r="D53" i="17"/>
  <c r="D37" i="14"/>
  <c r="D41" i="14" s="1"/>
  <c r="D41" i="17"/>
  <c r="B67" i="17"/>
  <c r="D67" i="17" s="1"/>
  <c r="B68" i="17"/>
  <c r="D68" i="17" s="1"/>
  <c r="D37" i="15"/>
  <c r="D41" i="15" s="1"/>
  <c r="F51" i="15"/>
  <c r="E127" i="15"/>
  <c r="D53" i="15"/>
  <c r="B67" i="14"/>
  <c r="D67" i="14" s="1"/>
  <c r="E127" i="12"/>
  <c r="C12" i="13"/>
  <c r="C32" i="13"/>
  <c r="H31" i="13"/>
  <c r="I31" i="13" s="1"/>
  <c r="I66" i="13"/>
  <c r="G66" i="13"/>
  <c r="H66" i="13" s="1"/>
  <c r="E70" i="13"/>
  <c r="G85" i="13"/>
  <c r="H85" i="13" s="1"/>
  <c r="C86" i="13"/>
  <c r="G48" i="13"/>
  <c r="G49" i="13" s="1"/>
  <c r="G50" i="13" s="1"/>
  <c r="G51" i="13" s="1"/>
  <c r="G52" i="13" s="1"/>
  <c r="G53" i="13" s="1"/>
  <c r="G54" i="13" s="1"/>
  <c r="G55" i="13" s="1"/>
  <c r="G56" i="13" s="1"/>
  <c r="G57" i="13" s="1"/>
  <c r="G58" i="13" s="1"/>
  <c r="E87" i="13"/>
  <c r="C49" i="13"/>
  <c r="H48" i="13"/>
  <c r="I48" i="13" s="1"/>
  <c r="J48" i="13" s="1"/>
  <c r="K48" i="13" s="1"/>
  <c r="H30" i="13"/>
  <c r="I30" i="13" s="1"/>
  <c r="J30" i="13" s="1"/>
  <c r="K30" i="13" s="1"/>
  <c r="H47" i="13"/>
  <c r="I47" i="13" s="1"/>
  <c r="J47" i="13" s="1"/>
  <c r="K47" i="13" s="1"/>
  <c r="F85" i="13"/>
  <c r="F54" i="12"/>
  <c r="B68" i="12"/>
  <c r="D68" i="12" s="1"/>
  <c r="B67" i="12"/>
  <c r="D67" i="12" s="1"/>
  <c r="D41" i="12"/>
  <c r="D55" i="12"/>
  <c r="D60" i="12"/>
  <c r="B116" i="14" l="1"/>
  <c r="B106" i="14"/>
  <c r="B107" i="14" s="1"/>
  <c r="D107" i="14" s="1"/>
  <c r="B93" i="14"/>
  <c r="D93" i="14" s="1"/>
  <c r="B107" i="12"/>
  <c r="B108" i="12" s="1"/>
  <c r="B94" i="12"/>
  <c r="B117" i="12"/>
  <c r="B94" i="17"/>
  <c r="D94" i="17" s="1"/>
  <c r="D104" i="17" s="1"/>
  <c r="B110" i="17"/>
  <c r="D110" i="17" s="1"/>
  <c r="B117" i="15"/>
  <c r="B108" i="15"/>
  <c r="D108" i="15" s="1"/>
  <c r="B128" i="15"/>
  <c r="B94" i="15"/>
  <c r="B49" i="12"/>
  <c r="D79" i="18"/>
  <c r="D95" i="18"/>
  <c r="F95" i="18" s="1"/>
  <c r="B78" i="18"/>
  <c r="D53" i="18"/>
  <c r="B59" i="14"/>
  <c r="F59" i="14" s="1"/>
  <c r="B52" i="14"/>
  <c r="F52" i="14" s="1"/>
  <c r="B57" i="14"/>
  <c r="F57" i="14" s="1"/>
  <c r="B45" i="14"/>
  <c r="F45" i="14" s="1"/>
  <c r="B49" i="14"/>
  <c r="F49" i="14" s="1"/>
  <c r="I25" i="14"/>
  <c r="B60" i="14" s="1"/>
  <c r="I24" i="14"/>
  <c r="B55" i="14" s="1"/>
  <c r="B65" i="17"/>
  <c r="D65" i="17" s="1"/>
  <c r="F59" i="17"/>
  <c r="B52" i="17"/>
  <c r="F52" i="17" s="1"/>
  <c r="B49" i="17"/>
  <c r="F49" i="17" s="1"/>
  <c r="B57" i="17"/>
  <c r="F57" i="17" s="1"/>
  <c r="F71" i="17" s="1"/>
  <c r="I25" i="17"/>
  <c r="B60" i="17" s="1"/>
  <c r="D60" i="17" s="1"/>
  <c r="I24" i="17"/>
  <c r="B55" i="17" s="1"/>
  <c r="D55" i="17" s="1"/>
  <c r="B45" i="17"/>
  <c r="F45" i="17" s="1"/>
  <c r="I23" i="17"/>
  <c r="B54" i="17" s="1"/>
  <c r="F55" i="17"/>
  <c r="B109" i="17"/>
  <c r="D109" i="17" s="1"/>
  <c r="D106" i="17"/>
  <c r="F61" i="17" s="1"/>
  <c r="B60" i="15"/>
  <c r="F60" i="15" s="1"/>
  <c r="D65" i="15"/>
  <c r="B125" i="15"/>
  <c r="C125" i="15" s="1"/>
  <c r="F125" i="15" s="1"/>
  <c r="B55" i="15"/>
  <c r="D55" i="15" s="1"/>
  <c r="B47" i="15"/>
  <c r="B127" i="15"/>
  <c r="B49" i="15"/>
  <c r="F49" i="15" s="1"/>
  <c r="B126" i="15"/>
  <c r="B59" i="15"/>
  <c r="F59" i="15" s="1"/>
  <c r="B45" i="15"/>
  <c r="F45" i="15" s="1"/>
  <c r="B52" i="15"/>
  <c r="D52" i="15" s="1"/>
  <c r="B57" i="15"/>
  <c r="F57" i="15" s="1"/>
  <c r="B129" i="15"/>
  <c r="E128" i="15"/>
  <c r="D107" i="15"/>
  <c r="D94" i="15"/>
  <c r="D104" i="15" s="1"/>
  <c r="F61" i="15" s="1"/>
  <c r="B54" i="15"/>
  <c r="B126" i="12"/>
  <c r="B65" i="12"/>
  <c r="B127" i="12"/>
  <c r="B129" i="12"/>
  <c r="B125" i="12"/>
  <c r="C125" i="12" s="1"/>
  <c r="F125" i="12" s="1"/>
  <c r="B128" i="12"/>
  <c r="B46" i="14"/>
  <c r="F46" i="14" s="1"/>
  <c r="B53" i="14"/>
  <c r="B51" i="14"/>
  <c r="B101" i="14"/>
  <c r="D101" i="14" s="1"/>
  <c r="D106" i="14"/>
  <c r="E128" i="12"/>
  <c r="G69" i="13"/>
  <c r="I69" i="13"/>
  <c r="J31" i="13"/>
  <c r="K31" i="13" s="1"/>
  <c r="G67" i="13"/>
  <c r="H67" i="13" s="1"/>
  <c r="I67" i="13"/>
  <c r="C87" i="13"/>
  <c r="G86" i="13"/>
  <c r="H86" i="13" s="1"/>
  <c r="I68" i="13"/>
  <c r="G68" i="13"/>
  <c r="C33" i="13"/>
  <c r="H32" i="13"/>
  <c r="I32" i="13" s="1"/>
  <c r="J32" i="13" s="1"/>
  <c r="K32" i="13" s="1"/>
  <c r="E88" i="13"/>
  <c r="F87" i="13"/>
  <c r="E71" i="13"/>
  <c r="C50" i="13"/>
  <c r="H49" i="13"/>
  <c r="I49" i="13" s="1"/>
  <c r="J49" i="13" s="1"/>
  <c r="K49" i="13" s="1"/>
  <c r="F86" i="13"/>
  <c r="F12" i="13"/>
  <c r="G12" i="13" s="1"/>
  <c r="H12" i="13" s="1"/>
  <c r="C13" i="13"/>
  <c r="B59" i="12"/>
  <c r="I22" i="12"/>
  <c r="B57" i="12"/>
  <c r="F57" i="12" s="1"/>
  <c r="B52" i="12"/>
  <c r="F59" i="12"/>
  <c r="B45" i="12"/>
  <c r="F45" i="12" s="1"/>
  <c r="B117" i="14" l="1"/>
  <c r="D117" i="14" s="1"/>
  <c r="D116" i="14"/>
  <c r="D118" i="14" s="1"/>
  <c r="D88" i="14" s="1"/>
  <c r="F88" i="14" s="1"/>
  <c r="B65" i="14"/>
  <c r="B66" i="14" s="1"/>
  <c r="F52" i="15"/>
  <c r="D60" i="15"/>
  <c r="B128" i="18"/>
  <c r="D128" i="18" s="1"/>
  <c r="D78" i="18"/>
  <c r="B153" i="18"/>
  <c r="B154" i="18" s="1"/>
  <c r="B155" i="18" s="1"/>
  <c r="B119" i="18"/>
  <c r="B70" i="18"/>
  <c r="F70" i="18" s="1"/>
  <c r="B63" i="18"/>
  <c r="B61" i="18"/>
  <c r="F61" i="18" s="1"/>
  <c r="B59" i="18"/>
  <c r="F59" i="18" s="1"/>
  <c r="J33" i="18"/>
  <c r="B160" i="18" s="1"/>
  <c r="D160" i="18" s="1"/>
  <c r="B147" i="18"/>
  <c r="B138" i="18"/>
  <c r="C104" i="18"/>
  <c r="B64" i="18"/>
  <c r="B58" i="18"/>
  <c r="B169" i="18"/>
  <c r="C169" i="18" s="1"/>
  <c r="F169" i="18" s="1"/>
  <c r="G169" i="18" s="1"/>
  <c r="H169" i="18" s="1"/>
  <c r="D146" i="18" s="1"/>
  <c r="B129" i="18"/>
  <c r="B69" i="18"/>
  <c r="F69" i="18" s="1"/>
  <c r="B65" i="18"/>
  <c r="B114" i="18"/>
  <c r="D114" i="18" s="1"/>
  <c r="D116" i="18" s="1"/>
  <c r="B57" i="18"/>
  <c r="F57" i="18" s="1"/>
  <c r="H68" i="13"/>
  <c r="D52" i="17"/>
  <c r="D65" i="14"/>
  <c r="D52" i="14"/>
  <c r="F55" i="14"/>
  <c r="D55" i="14"/>
  <c r="D60" i="14"/>
  <c r="F60" i="14"/>
  <c r="B54" i="14"/>
  <c r="F60" i="17"/>
  <c r="B47" i="17"/>
  <c r="B66" i="17"/>
  <c r="D66" i="17" s="1"/>
  <c r="F54" i="17"/>
  <c r="D54" i="17"/>
  <c r="B66" i="15"/>
  <c r="B109" i="15" s="1"/>
  <c r="D109" i="15" s="1"/>
  <c r="D111" i="15" s="1"/>
  <c r="F81" i="15" s="1"/>
  <c r="F55" i="15"/>
  <c r="C126" i="15"/>
  <c r="F126" i="15" s="1"/>
  <c r="G125" i="15"/>
  <c r="H125" i="15" s="1"/>
  <c r="D54" i="15"/>
  <c r="F54" i="15"/>
  <c r="B118" i="15"/>
  <c r="D118" i="15" s="1"/>
  <c r="D117" i="15"/>
  <c r="D66" i="15"/>
  <c r="D71" i="15" s="1"/>
  <c r="F79" i="15" s="1"/>
  <c r="E129" i="15"/>
  <c r="C126" i="12"/>
  <c r="F126" i="12" s="1"/>
  <c r="G125" i="12"/>
  <c r="H125" i="12" s="1"/>
  <c r="D53" i="14"/>
  <c r="F53" i="14"/>
  <c r="D51" i="14"/>
  <c r="F51" i="14"/>
  <c r="D103" i="14"/>
  <c r="F61" i="14" s="1"/>
  <c r="E129" i="12"/>
  <c r="H69" i="13"/>
  <c r="C51" i="13"/>
  <c r="H50" i="13"/>
  <c r="I50" i="13" s="1"/>
  <c r="J50" i="13" s="1"/>
  <c r="K50" i="13" s="1"/>
  <c r="F13" i="13"/>
  <c r="G13" i="13" s="1"/>
  <c r="H13" i="13" s="1"/>
  <c r="C14" i="13"/>
  <c r="E89" i="13"/>
  <c r="F88" i="13"/>
  <c r="I70" i="13"/>
  <c r="G70" i="13"/>
  <c r="H70" i="13" s="1"/>
  <c r="E72" i="13"/>
  <c r="C34" i="13"/>
  <c r="H33" i="13"/>
  <c r="I33" i="13" s="1"/>
  <c r="J33" i="13" s="1"/>
  <c r="K33" i="13" s="1"/>
  <c r="C88" i="13"/>
  <c r="G87" i="13"/>
  <c r="H87" i="13" s="1"/>
  <c r="B51" i="12"/>
  <c r="B46" i="12"/>
  <c r="B53" i="12"/>
  <c r="B102" i="12"/>
  <c r="D102" i="12" s="1"/>
  <c r="F49" i="12"/>
  <c r="B66" i="12" s="1"/>
  <c r="D65" i="12"/>
  <c r="F52" i="12"/>
  <c r="D52" i="12"/>
  <c r="D108" i="12"/>
  <c r="D94" i="12"/>
  <c r="D107" i="12"/>
  <c r="B108" i="14" l="1"/>
  <c r="D108" i="14" s="1"/>
  <c r="D110" i="14" s="1"/>
  <c r="F81" i="14" s="1"/>
  <c r="D66" i="14"/>
  <c r="F80" i="15"/>
  <c r="D84" i="15"/>
  <c r="B156" i="18"/>
  <c r="D155" i="18"/>
  <c r="F65" i="18"/>
  <c r="D65" i="18"/>
  <c r="B130" i="18"/>
  <c r="D130" i="18" s="1"/>
  <c r="D129" i="18"/>
  <c r="D131" i="18" s="1"/>
  <c r="D119" i="18"/>
  <c r="B120" i="18"/>
  <c r="D120" i="18" s="1"/>
  <c r="F58" i="18"/>
  <c r="D58" i="18"/>
  <c r="D147" i="18"/>
  <c r="B148" i="18"/>
  <c r="D148" i="18" s="1"/>
  <c r="D149" i="18" s="1"/>
  <c r="F63" i="18"/>
  <c r="D63" i="18"/>
  <c r="D138" i="18"/>
  <c r="B139" i="18"/>
  <c r="D139" i="18" s="1"/>
  <c r="D64" i="18"/>
  <c r="F64" i="18"/>
  <c r="B111" i="17"/>
  <c r="D111" i="17" s="1"/>
  <c r="D113" i="17" s="1"/>
  <c r="F54" i="14"/>
  <c r="D54" i="14"/>
  <c r="D71" i="17"/>
  <c r="G126" i="15"/>
  <c r="H126" i="15" s="1"/>
  <c r="C127" i="15"/>
  <c r="F127" i="15" s="1"/>
  <c r="C127" i="12"/>
  <c r="F127" i="12" s="1"/>
  <c r="G126" i="12"/>
  <c r="H126" i="12" s="1"/>
  <c r="D104" i="12"/>
  <c r="F61" i="12" s="1"/>
  <c r="C35" i="13"/>
  <c r="H34" i="13"/>
  <c r="I34" i="13" s="1"/>
  <c r="J34" i="13" s="1"/>
  <c r="K34" i="13" s="1"/>
  <c r="G71" i="13"/>
  <c r="H71" i="13" s="1"/>
  <c r="I71" i="13"/>
  <c r="E73" i="13"/>
  <c r="C52" i="13"/>
  <c r="H51" i="13"/>
  <c r="I51" i="13" s="1"/>
  <c r="J51" i="13" s="1"/>
  <c r="K51" i="13" s="1"/>
  <c r="G88" i="13"/>
  <c r="H88" i="13" s="1"/>
  <c r="C89" i="13"/>
  <c r="E90" i="13"/>
  <c r="F89" i="13"/>
  <c r="F14" i="13"/>
  <c r="G14" i="13" s="1"/>
  <c r="H14" i="13" s="1"/>
  <c r="C15" i="13"/>
  <c r="F53" i="12"/>
  <c r="D53" i="12"/>
  <c r="F51" i="12"/>
  <c r="D51" i="12"/>
  <c r="D117" i="12"/>
  <c r="B118" i="12"/>
  <c r="D118" i="12" s="1"/>
  <c r="B109" i="12"/>
  <c r="D109" i="12" s="1"/>
  <c r="D111" i="12" s="1"/>
  <c r="F81" i="12" s="1"/>
  <c r="D66" i="12"/>
  <c r="D71" i="14" l="1"/>
  <c r="F80" i="14"/>
  <c r="F79" i="14"/>
  <c r="F80" i="17"/>
  <c r="F79" i="17"/>
  <c r="D84" i="17"/>
  <c r="B85" i="17" s="1"/>
  <c r="D85" i="17" s="1"/>
  <c r="D87" i="17" s="1"/>
  <c r="B85" i="15"/>
  <c r="D85" i="15" s="1"/>
  <c r="F85" i="15" s="1"/>
  <c r="F84" i="15"/>
  <c r="D84" i="14"/>
  <c r="D71" i="12"/>
  <c r="F79" i="12" s="1"/>
  <c r="B76" i="18"/>
  <c r="B157" i="18"/>
  <c r="D156" i="18"/>
  <c r="C128" i="15"/>
  <c r="F128" i="15" s="1"/>
  <c r="G127" i="15"/>
  <c r="H127" i="15" s="1"/>
  <c r="C128" i="12"/>
  <c r="F128" i="12" s="1"/>
  <c r="G127" i="12"/>
  <c r="H127" i="12" s="1"/>
  <c r="C53" i="13"/>
  <c r="H52" i="13"/>
  <c r="I52" i="13" s="1"/>
  <c r="J52" i="13" s="1"/>
  <c r="K52" i="13" s="1"/>
  <c r="F15" i="13"/>
  <c r="G15" i="13" s="1"/>
  <c r="H15" i="13" s="1"/>
  <c r="C16" i="13"/>
  <c r="I72" i="13"/>
  <c r="G72" i="13"/>
  <c r="H72" i="13" s="1"/>
  <c r="E91" i="13"/>
  <c r="F90" i="13"/>
  <c r="G89" i="13"/>
  <c r="H89" i="13" s="1"/>
  <c r="C90" i="13"/>
  <c r="E74" i="13"/>
  <c r="C36" i="13"/>
  <c r="H35" i="13"/>
  <c r="I35" i="13" s="1"/>
  <c r="J35" i="13" s="1"/>
  <c r="K35" i="13" s="1"/>
  <c r="D87" i="15" l="1"/>
  <c r="F87" i="15" s="1"/>
  <c r="B85" i="14"/>
  <c r="D85" i="14" s="1"/>
  <c r="F84" i="14"/>
  <c r="F80" i="12"/>
  <c r="D84" i="12"/>
  <c r="B158" i="18"/>
  <c r="D158" i="18" s="1"/>
  <c r="D157" i="18"/>
  <c r="D159" i="18" s="1"/>
  <c r="D162" i="18" s="1"/>
  <c r="F72" i="18" s="1"/>
  <c r="F81" i="18" s="1"/>
  <c r="D99" i="18" s="1"/>
  <c r="B121" i="18"/>
  <c r="D121" i="18" s="1"/>
  <c r="D123" i="18" s="1"/>
  <c r="B77" i="18"/>
  <c r="D76" i="18"/>
  <c r="C129" i="15"/>
  <c r="G128" i="15"/>
  <c r="H128" i="15" s="1"/>
  <c r="C129" i="12"/>
  <c r="G128" i="12"/>
  <c r="H128" i="12" s="1"/>
  <c r="E75" i="13"/>
  <c r="E92" i="13"/>
  <c r="F91" i="13"/>
  <c r="G73" i="13"/>
  <c r="H73" i="13" s="1"/>
  <c r="I73" i="13"/>
  <c r="F16" i="13"/>
  <c r="G16" i="13" s="1"/>
  <c r="H16" i="13" s="1"/>
  <c r="C17" i="13"/>
  <c r="C91" i="13"/>
  <c r="G90" i="13"/>
  <c r="H90" i="13" s="1"/>
  <c r="C37" i="13"/>
  <c r="H36" i="13"/>
  <c r="I36" i="13" s="1"/>
  <c r="J36" i="13" s="1"/>
  <c r="K36" i="13" s="1"/>
  <c r="C54" i="13"/>
  <c r="H53" i="13"/>
  <c r="I53" i="13" s="1"/>
  <c r="J53" i="13" s="1"/>
  <c r="K53" i="13" s="1"/>
  <c r="B85" i="12" l="1"/>
  <c r="D85" i="12" s="1"/>
  <c r="F85" i="12" s="1"/>
  <c r="F84" i="12"/>
  <c r="F129" i="15"/>
  <c r="G129" i="15" s="1"/>
  <c r="H129" i="15" s="1"/>
  <c r="I26" i="15" s="1"/>
  <c r="F85" i="14"/>
  <c r="D87" i="14"/>
  <c r="F87" i="14" s="1"/>
  <c r="D87" i="12"/>
  <c r="F87" i="12" s="1"/>
  <c r="F129" i="12"/>
  <c r="G129" i="12" s="1"/>
  <c r="H129" i="12" s="1"/>
  <c r="I26" i="12" s="1"/>
  <c r="D77" i="18"/>
  <c r="B140" i="18"/>
  <c r="D140" i="18" s="1"/>
  <c r="D142" i="18" s="1"/>
  <c r="F91" i="18" s="1"/>
  <c r="D81" i="18"/>
  <c r="C38" i="13"/>
  <c r="H37" i="13"/>
  <c r="I37" i="13" s="1"/>
  <c r="J37" i="13" s="1"/>
  <c r="K37" i="13" s="1"/>
  <c r="E93" i="13"/>
  <c r="F92" i="13"/>
  <c r="F17" i="13"/>
  <c r="G17" i="13" s="1"/>
  <c r="H17" i="13" s="1"/>
  <c r="C18" i="13"/>
  <c r="I74" i="13"/>
  <c r="G74" i="13"/>
  <c r="H74" i="13" s="1"/>
  <c r="C55" i="13"/>
  <c r="H54" i="13"/>
  <c r="I54" i="13" s="1"/>
  <c r="J54" i="13" s="1"/>
  <c r="K54" i="13" s="1"/>
  <c r="C92" i="13"/>
  <c r="G91" i="13"/>
  <c r="H91" i="13" s="1"/>
  <c r="E76" i="13"/>
  <c r="F90" i="18" l="1"/>
  <c r="F89" i="18"/>
  <c r="D93" i="18"/>
  <c r="F71" i="14"/>
  <c r="D89" i="14" s="1"/>
  <c r="F89" i="14" s="1"/>
  <c r="F69" i="15"/>
  <c r="F71" i="15" s="1"/>
  <c r="D89" i="15" s="1"/>
  <c r="F89" i="15" s="1"/>
  <c r="D115" i="15"/>
  <c r="D119" i="15" s="1"/>
  <c r="D88" i="15" s="1"/>
  <c r="F88" i="15" s="1"/>
  <c r="D115" i="12"/>
  <c r="D119" i="12" s="1"/>
  <c r="D88" i="12" s="1"/>
  <c r="F88" i="12" s="1"/>
  <c r="F69" i="12"/>
  <c r="F71" i="12" s="1"/>
  <c r="D89" i="12" s="1"/>
  <c r="F89" i="12" s="1"/>
  <c r="G92" i="13"/>
  <c r="H92" i="13" s="1"/>
  <c r="C93" i="13"/>
  <c r="E94" i="13"/>
  <c r="F93" i="13"/>
  <c r="G75" i="13"/>
  <c r="H75" i="13" s="1"/>
  <c r="I75" i="13"/>
  <c r="C19" i="13"/>
  <c r="F18" i="13"/>
  <c r="G18" i="13" s="1"/>
  <c r="H18" i="13" s="1"/>
  <c r="E77" i="13"/>
  <c r="G77" i="13" s="1"/>
  <c r="G76" i="13"/>
  <c r="H76" i="13" s="1"/>
  <c r="C56" i="13"/>
  <c r="H55" i="13"/>
  <c r="I55" i="13" s="1"/>
  <c r="J55" i="13" s="1"/>
  <c r="K55" i="13" s="1"/>
  <c r="C39" i="13"/>
  <c r="H38" i="13"/>
  <c r="I38" i="13" s="1"/>
  <c r="J38" i="13" s="1"/>
  <c r="K38" i="13" s="1"/>
  <c r="B94" i="18" l="1"/>
  <c r="D94" i="18" s="1"/>
  <c r="F93" i="18"/>
  <c r="C57" i="13"/>
  <c r="H56" i="13"/>
  <c r="I56" i="13" s="1"/>
  <c r="J56" i="13" s="1"/>
  <c r="K56" i="13" s="1"/>
  <c r="C20" i="13"/>
  <c r="F19" i="13"/>
  <c r="G19" i="13" s="1"/>
  <c r="H19" i="13" s="1"/>
  <c r="E95" i="13"/>
  <c r="G93" i="13"/>
  <c r="H93" i="13" s="1"/>
  <c r="C94" i="13"/>
  <c r="C40" i="13"/>
  <c r="H39" i="13"/>
  <c r="I39" i="13" s="1"/>
  <c r="J39" i="13" s="1"/>
  <c r="K39" i="13" s="1"/>
  <c r="H77" i="13"/>
  <c r="F94" i="18" l="1"/>
  <c r="D97" i="18"/>
  <c r="C95" i="13"/>
  <c r="G94" i="13"/>
  <c r="H94" i="13" s="1"/>
  <c r="C21" i="13"/>
  <c r="F20" i="13"/>
  <c r="G20" i="13" s="1"/>
  <c r="H20" i="13" s="1"/>
  <c r="F94" i="13"/>
  <c r="C41" i="13"/>
  <c r="H41" i="13" s="1"/>
  <c r="I41" i="13" s="1"/>
  <c r="H40" i="13"/>
  <c r="I40" i="13" s="1"/>
  <c r="J40" i="13" s="1"/>
  <c r="K40" i="13" s="1"/>
  <c r="E96" i="13"/>
  <c r="F95" i="13"/>
  <c r="C58" i="13"/>
  <c r="H58" i="13" s="1"/>
  <c r="I58" i="13" s="1"/>
  <c r="H57" i="13"/>
  <c r="I57" i="13" s="1"/>
  <c r="J57" i="13" s="1"/>
  <c r="K57" i="13" s="1"/>
  <c r="J41" i="13" l="1"/>
  <c r="K41" i="13" s="1"/>
  <c r="F21" i="13"/>
  <c r="G21" i="13" s="1"/>
  <c r="H21" i="13" s="1"/>
  <c r="C22" i="13"/>
  <c r="F22" i="13" s="1"/>
  <c r="G22" i="13" s="1"/>
  <c r="H22" i="13" s="1"/>
  <c r="J58" i="13"/>
  <c r="K58" i="13" s="1"/>
  <c r="C96" i="13"/>
  <c r="G96" i="13" s="1"/>
  <c r="G95" i="13"/>
  <c r="H95" i="13" s="1"/>
  <c r="H96" i="13" l="1"/>
  <c r="F96" i="13"/>
  <c r="D20" i="16" l="1"/>
  <c r="B125" i="16" s="1"/>
  <c r="B126" i="16" s="1"/>
  <c r="B127" i="16" s="1"/>
  <c r="B128" i="16" s="1"/>
  <c r="C25" i="16" l="1"/>
  <c r="D25" i="16" s="1"/>
  <c r="C125" i="16"/>
  <c r="B39" i="16"/>
  <c r="D39" i="16" s="1"/>
  <c r="C24" i="16"/>
  <c r="D24" i="16" s="1"/>
  <c r="B40" i="16" l="1"/>
  <c r="D40" i="16"/>
  <c r="D41" i="16" s="1"/>
  <c r="F125" i="16"/>
  <c r="G125" i="16" s="1"/>
  <c r="H125" i="16" s="1"/>
  <c r="I26" i="16"/>
  <c r="B67" i="16"/>
  <c r="D67" i="16" s="1"/>
  <c r="B45" i="16" l="1"/>
  <c r="F45" i="16" s="1"/>
  <c r="B49" i="16"/>
  <c r="F49" i="16" s="1"/>
  <c r="B57" i="16"/>
  <c r="F57" i="16" s="1"/>
  <c r="C126" i="16"/>
  <c r="B129" i="16"/>
  <c r="B94" i="16"/>
  <c r="D94" i="16" s="1"/>
  <c r="B59" i="16"/>
  <c r="F59" i="16" s="1"/>
  <c r="I22" i="16"/>
  <c r="B102" i="16" s="1"/>
  <c r="B52" i="16"/>
  <c r="D52" i="16" s="1"/>
  <c r="B65" i="16"/>
  <c r="B66" i="16" s="1"/>
  <c r="B109" i="16" s="1"/>
  <c r="D109" i="16" s="1"/>
  <c r="B53" i="16" l="1"/>
  <c r="D53" i="16" s="1"/>
  <c r="F52" i="16"/>
  <c r="D65" i="16"/>
  <c r="B46" i="16"/>
  <c r="B107" i="16"/>
  <c r="D102" i="16"/>
  <c r="D104" i="16" s="1"/>
  <c r="F61" i="16" s="1"/>
  <c r="B51" i="16"/>
  <c r="D51" i="16" s="1"/>
  <c r="C127" i="16"/>
  <c r="F126" i="16"/>
  <c r="G126" i="16" s="1"/>
  <c r="H126" i="16" s="1"/>
  <c r="F81" i="16"/>
  <c r="D66" i="16"/>
  <c r="F53" i="16"/>
  <c r="F51" i="16" l="1"/>
  <c r="D107" i="16"/>
  <c r="B117" i="16"/>
  <c r="B108" i="16"/>
  <c r="D108" i="16" s="1"/>
  <c r="C128" i="16"/>
  <c r="C129" i="16" s="1"/>
  <c r="F127" i="16"/>
  <c r="G127" i="16" s="1"/>
  <c r="H127" i="16" s="1"/>
  <c r="D71" i="16"/>
  <c r="F80" i="16" l="1"/>
  <c r="F79" i="16"/>
  <c r="D84" i="16"/>
  <c r="B118" i="16"/>
  <c r="D118" i="16" s="1"/>
  <c r="D117" i="16"/>
  <c r="F129" i="16"/>
  <c r="G129" i="16" s="1"/>
  <c r="F128" i="16"/>
  <c r="G128" i="16" s="1"/>
  <c r="H128" i="16" s="1"/>
  <c r="D111" i="16"/>
  <c r="H129" i="16" l="1"/>
  <c r="F69" i="16" s="1"/>
  <c r="F71" i="16" s="1"/>
  <c r="D89" i="16" s="1"/>
  <c r="D115" i="16"/>
  <c r="D119" i="16" s="1"/>
  <c r="B85" i="16"/>
  <c r="D85" i="16" s="1"/>
  <c r="D87" i="16" s="1"/>
  <c r="D89" i="17" l="1"/>
</calcChain>
</file>

<file path=xl/sharedStrings.xml><?xml version="1.0" encoding="utf-8"?>
<sst xmlns="http://schemas.openxmlformats.org/spreadsheetml/2006/main" count="1107" uniqueCount="298">
  <si>
    <t>DUMAINE</t>
  </si>
  <si>
    <t>VALETTE</t>
  </si>
  <si>
    <t>HERMAN</t>
  </si>
  <si>
    <t>DUMOULIN</t>
  </si>
  <si>
    <t>LAMBERT</t>
  </si>
  <si>
    <t>Entrée dans la société</t>
  </si>
  <si>
    <t>Contrat</t>
  </si>
  <si>
    <t>CDI</t>
  </si>
  <si>
    <t>CDD</t>
  </si>
  <si>
    <t>Durée hebdomadaire</t>
  </si>
  <si>
    <t>Statut</t>
  </si>
  <si>
    <t>Non-cadre</t>
  </si>
  <si>
    <t>Cadre</t>
  </si>
  <si>
    <t>Gérant</t>
  </si>
  <si>
    <t>Salaire de base</t>
  </si>
  <si>
    <t>Sortie de la société</t>
  </si>
  <si>
    <t>Fiches résumées des salariés</t>
  </si>
  <si>
    <t>CONDITIONS PARTICULIERES</t>
  </si>
  <si>
    <t>Prime d'ancienneté</t>
  </si>
  <si>
    <t>Changement de taux</t>
  </si>
  <si>
    <t>Assiette de calcul</t>
  </si>
  <si>
    <t>Salaire de base minimum de la catégorie</t>
  </si>
  <si>
    <t>Taux</t>
  </si>
  <si>
    <t>Pas de prime</t>
  </si>
  <si>
    <t>&gt; 10 ans</t>
  </si>
  <si>
    <t>Salaire minimum de la catégorie du salarié</t>
  </si>
  <si>
    <t>SMIC</t>
  </si>
  <si>
    <t>SALAIRES</t>
  </si>
  <si>
    <t>Horaires</t>
  </si>
  <si>
    <t>7 h / jour
lundi à vendredi</t>
  </si>
  <si>
    <t>Fériés</t>
  </si>
  <si>
    <t>Chomés et payés</t>
  </si>
  <si>
    <t>Absences</t>
  </si>
  <si>
    <t>Heures supplémentaires à 150%</t>
  </si>
  <si>
    <t>Salaire brut</t>
  </si>
  <si>
    <t>SANTE</t>
  </si>
  <si>
    <t xml:space="preserve">Complémentaire santé </t>
  </si>
  <si>
    <t xml:space="preserve">Accident du travail - Maladies professionnelles </t>
  </si>
  <si>
    <t>Retraite</t>
  </si>
  <si>
    <t>Total de cotisations et contributions</t>
  </si>
  <si>
    <t>NET A PAYER AVANT IMPOT SUR LE REVENU</t>
  </si>
  <si>
    <t>dont évolution de la rémunération liée à la suppression des cotisations chômage et maladie</t>
  </si>
  <si>
    <t>IMPOT SUR LE REVENU</t>
  </si>
  <si>
    <t>Bases</t>
  </si>
  <si>
    <t>Assiettes</t>
  </si>
  <si>
    <t>Retenues
salariales</t>
  </si>
  <si>
    <t>Retenues
patronales</t>
  </si>
  <si>
    <t>1,50% sur TA cadres uniquement</t>
  </si>
  <si>
    <t>Prévoyance patronale</t>
  </si>
  <si>
    <t>Mutuelle salariale</t>
  </si>
  <si>
    <t>Mutuelle patronale</t>
  </si>
  <si>
    <t>Prévoyances et mutuelles</t>
  </si>
  <si>
    <t>Taux de prélèvement à la source</t>
  </si>
  <si>
    <t>Personnes assurées par mutuelle</t>
  </si>
  <si>
    <t>2 conjoints</t>
  </si>
  <si>
    <t>dispensé</t>
  </si>
  <si>
    <t>2 conjoints
 + 1 enfant</t>
  </si>
  <si>
    <t>20 € conjoint et 10 € / enfant</t>
  </si>
  <si>
    <t>24 € conjoint et 12 € / enfant</t>
  </si>
  <si>
    <t>Mois suivant date anniversaire de la date d'embauche</t>
  </si>
  <si>
    <t>ICCP</t>
  </si>
  <si>
    <t xml:space="preserve">Autres contributions dues par l'employeur </t>
  </si>
  <si>
    <t xml:space="preserve">Sécurité sociale plafonnée </t>
  </si>
  <si>
    <t xml:space="preserve">Assurance chômage </t>
  </si>
  <si>
    <t>Sécurité sociale déplafonnée</t>
  </si>
  <si>
    <t>Complémentaire Tranche 1</t>
  </si>
  <si>
    <t>Férié chomé et payé</t>
  </si>
  <si>
    <t>Dialogue social : 0,016%</t>
  </si>
  <si>
    <t>Solidarité autonomie : 0,30%</t>
  </si>
  <si>
    <t>Apprentissage : 0,68%</t>
  </si>
  <si>
    <t>Fnal 0,10% sur TA</t>
  </si>
  <si>
    <t>AU TOTAL</t>
  </si>
  <si>
    <t xml:space="preserve"> Rubrique dont évolution de la rémunération liée à la suppression des cotisations chômage et maladie</t>
  </si>
  <si>
    <t>Assurance chômage</t>
  </si>
  <si>
    <t>Maladie</t>
  </si>
  <si>
    <t>CSG CRDS</t>
  </si>
  <si>
    <t>Rubrique d'évolution</t>
  </si>
  <si>
    <t>Réduction générale de cotisation</t>
  </si>
  <si>
    <t>Abattement sur heures supplémentaires</t>
  </si>
  <si>
    <t>Allègement dû à la réduction d'allocation familiale</t>
  </si>
  <si>
    <t>Allègement dû à la réduction de cotisation maladie</t>
  </si>
  <si>
    <t>Allègement total</t>
  </si>
  <si>
    <t xml:space="preserve"> Rubrique Allègement de cotisations employeur</t>
  </si>
  <si>
    <t>5 à 10 ans</t>
  </si>
  <si>
    <t>Ancienneté &lt;  5 ans</t>
  </si>
  <si>
    <t>jeudi</t>
  </si>
  <si>
    <t>vendredi</t>
  </si>
  <si>
    <t>lundi</t>
  </si>
  <si>
    <t>mardi</t>
  </si>
  <si>
    <t>mercredi</t>
  </si>
  <si>
    <t>MOIS</t>
  </si>
  <si>
    <t>Calendrier de travail du mois de mai</t>
  </si>
  <si>
    <t>BULLETIN DE SALAIRE</t>
  </si>
  <si>
    <t>Employeur</t>
  </si>
  <si>
    <t>Salarié</t>
  </si>
  <si>
    <t>Nom :</t>
  </si>
  <si>
    <t>Adresse  :</t>
  </si>
  <si>
    <t>Prénom :</t>
  </si>
  <si>
    <t>Complément :</t>
  </si>
  <si>
    <t>N° de S.S. :</t>
  </si>
  <si>
    <t>Adresse :</t>
  </si>
  <si>
    <t>Code postal :</t>
  </si>
  <si>
    <t>Ville :</t>
  </si>
  <si>
    <t>CP/ Ville</t>
  </si>
  <si>
    <t>N° SIRET :</t>
  </si>
  <si>
    <t>Emploi :</t>
  </si>
  <si>
    <t>Code NAF(APE) :</t>
  </si>
  <si>
    <t>Contrat :</t>
  </si>
  <si>
    <t>Site d'emploi :</t>
  </si>
  <si>
    <t>Position :</t>
  </si>
  <si>
    <t>Effectif :</t>
  </si>
  <si>
    <t>Embauche :</t>
  </si>
  <si>
    <t>Convention collective :</t>
  </si>
  <si>
    <t>Horaire mensualisé :</t>
  </si>
  <si>
    <t>Autre :</t>
  </si>
  <si>
    <t>Période du :</t>
  </si>
  <si>
    <t>Au :</t>
  </si>
  <si>
    <t>Eléments de revenu brut</t>
  </si>
  <si>
    <t>Nombre/Base</t>
  </si>
  <si>
    <t>Taux/Val unitaire</t>
  </si>
  <si>
    <t>Montants</t>
  </si>
  <si>
    <t xml:space="preserve">Taux de cotisation patronale de maladie </t>
  </si>
  <si>
    <t xml:space="preserve">Taux de cotisation patronale d'allocations familiales </t>
  </si>
  <si>
    <t>Avantage en nature</t>
  </si>
  <si>
    <t>Taux d'accident du travail</t>
  </si>
  <si>
    <t xml:space="preserve">Tranche 1  </t>
  </si>
  <si>
    <t>Tranche 2</t>
  </si>
  <si>
    <t>Heures supplémentaires à 125%</t>
  </si>
  <si>
    <t>Assiette de cotisations equilibre technique CET</t>
  </si>
  <si>
    <t>Assiette de cotisation APEC</t>
  </si>
  <si>
    <t>Réduction générale de cotisations patronales</t>
  </si>
  <si>
    <t>Bonification travail férié ou week end</t>
  </si>
  <si>
    <t>Assiette de prime ancienneté</t>
  </si>
  <si>
    <t>Taux de prime d'ancienneté</t>
  </si>
  <si>
    <t>Indemnité pour congés payés</t>
  </si>
  <si>
    <t>Retenue sur congés payés</t>
  </si>
  <si>
    <t>Assiette prévoyance salariale</t>
  </si>
  <si>
    <t>Retenue absence arrêt de travail</t>
  </si>
  <si>
    <t>Assiette prevoyance patronale</t>
  </si>
  <si>
    <t xml:space="preserve">IJSS </t>
  </si>
  <si>
    <t>Maintien de salaire</t>
  </si>
  <si>
    <t>Indemnité de précarité</t>
  </si>
  <si>
    <t>Cotisations et contributions sociales</t>
  </si>
  <si>
    <t>Sécurité sociale - Maladie - Maternité - Invalidité décès</t>
  </si>
  <si>
    <t>Complémentaire incapacité invalidité décès Tranche 1</t>
  </si>
  <si>
    <t>Complémentaire incapacité invalidité décès Tranche 2</t>
  </si>
  <si>
    <r>
      <t>Complémentaire Tranche 2</t>
    </r>
    <r>
      <rPr>
        <sz val="11"/>
        <color rgb="FFFF0000"/>
        <rFont val="Trebuchet MS"/>
        <family val="2"/>
      </rPr>
      <t xml:space="preserve"> </t>
    </r>
  </si>
  <si>
    <t>Contribution équilibre technique CET</t>
  </si>
  <si>
    <t>Retraite Supplémentaire</t>
  </si>
  <si>
    <t xml:space="preserve"> Famille </t>
  </si>
  <si>
    <t xml:space="preserve">Chômage </t>
  </si>
  <si>
    <t>APEC (Cadres)</t>
  </si>
  <si>
    <t>Cotisations statutaires ou prévues par la convnetion collective</t>
  </si>
  <si>
    <t>CSG déductible de l'impôt sur le revenu</t>
  </si>
  <si>
    <t>CSG CRDS non-déductible de l'impôt sur le revenu</t>
  </si>
  <si>
    <t>CSG/CRDS non-déductibles de l'impôt sur le revenu sur heures supplémentaires</t>
  </si>
  <si>
    <t>Acompte</t>
  </si>
  <si>
    <t>Saisie sur salaires</t>
  </si>
  <si>
    <t>Titres repas</t>
  </si>
  <si>
    <t>Montant</t>
  </si>
  <si>
    <t>Salaires bruts</t>
  </si>
  <si>
    <t>Dans votre intérêt et pour vous aider à faire valoir vos droits, conserver ce bulletin de paie sans limitation de durée</t>
  </si>
  <si>
    <t>versement mobilité :</t>
  </si>
  <si>
    <t>Formation :0,55%</t>
  </si>
  <si>
    <t>Construction : 0,45%</t>
  </si>
  <si>
    <t>Regularisation mensuelle progressive des plafonds de sécurité sociale</t>
  </si>
  <si>
    <t>Plafond de sécurité sociale</t>
  </si>
  <si>
    <t>Cumuls bruts</t>
  </si>
  <si>
    <t>Plafonds</t>
  </si>
  <si>
    <t>Plafonds 
cumulés</t>
  </si>
  <si>
    <t>TA/T1 
cumulées</t>
  </si>
  <si>
    <t>TA/T1
du mois</t>
  </si>
  <si>
    <t>TB/T2
 du mois</t>
  </si>
  <si>
    <t>Regularisation mensuelle progressive des cotisations de maladie</t>
  </si>
  <si>
    <t>Assiette 
 7%</t>
  </si>
  <si>
    <t>smics</t>
  </si>
  <si>
    <t>2,5 SMIC</t>
  </si>
  <si>
    <t>CUMUL 2,5 SMIC</t>
  </si>
  <si>
    <t xml:space="preserve">Complément
6% </t>
  </si>
  <si>
    <t>Assiette cumulé
6%</t>
  </si>
  <si>
    <t>Assiette 6%
du mois</t>
  </si>
  <si>
    <t>Patronale
maladie</t>
  </si>
  <si>
    <t>JANVIER</t>
  </si>
  <si>
    <t>FÉVRIER</t>
  </si>
  <si>
    <t>MARS</t>
  </si>
  <si>
    <t>AVRIL</t>
  </si>
  <si>
    <t>MAI</t>
  </si>
  <si>
    <t>JUIN</t>
  </si>
  <si>
    <t>JUILLET</t>
  </si>
  <si>
    <t>AOÛT</t>
  </si>
  <si>
    <t>SEPTEMBRE</t>
  </si>
  <si>
    <t>OCTOBRE</t>
  </si>
  <si>
    <t>NOVEMBRE</t>
  </si>
  <si>
    <t>DÉCEMBRE</t>
  </si>
  <si>
    <t>Regularisation mensuelle progressive des cotisations d'allocations familiales</t>
  </si>
  <si>
    <t>Assiette 
 3,45%</t>
  </si>
  <si>
    <t>3,5 SMIC</t>
  </si>
  <si>
    <t>CUMUL 3,5 SMIC</t>
  </si>
  <si>
    <t xml:space="preserve">Complément
1,8% </t>
  </si>
  <si>
    <t>Assiette cumulée
1,8%</t>
  </si>
  <si>
    <t>Assiette 1,8%
du mois</t>
  </si>
  <si>
    <t>ALLEGEMENT GENERAL DE COTISATIONS = ALLEGEMENT FILLON</t>
  </si>
  <si>
    <t>coeff maximum cumulé</t>
  </si>
  <si>
    <t>BRUTS</t>
  </si>
  <si>
    <t>CUMULS</t>
  </si>
  <si>
    <t>SMICS
 CUMULES</t>
  </si>
  <si>
    <t>COEF ALLEGT
CUMULES</t>
  </si>
  <si>
    <t>ALLEGT 
CUMULES</t>
  </si>
  <si>
    <t>ALLEGT 
DU MOIS</t>
  </si>
  <si>
    <t>Remarque</t>
  </si>
  <si>
    <t>janvier</t>
  </si>
  <si>
    <t>février</t>
  </si>
  <si>
    <t>mars</t>
  </si>
  <si>
    <t>avril</t>
  </si>
  <si>
    <t>mai</t>
  </si>
  <si>
    <t>juin</t>
  </si>
  <si>
    <t>juillet</t>
  </si>
  <si>
    <t>août</t>
  </si>
  <si>
    <t>septembre</t>
  </si>
  <si>
    <t>octobre</t>
  </si>
  <si>
    <t>novembre</t>
  </si>
  <si>
    <t>décembre</t>
  </si>
  <si>
    <t>Regularisation mensuelle progressive de la cotisation CET</t>
  </si>
  <si>
    <t>CET à payer</t>
  </si>
  <si>
    <t>CET 
cumulées</t>
  </si>
  <si>
    <t>CET 
du mois</t>
  </si>
  <si>
    <t>ALLEGEMENT GENERAL DE COTISATIONS</t>
  </si>
  <si>
    <t>REDUCTION GENERALE DU MOIS</t>
  </si>
  <si>
    <t>01/09/N-6</t>
  </si>
  <si>
    <t>01/09/N-12</t>
  </si>
  <si>
    <t>01/04/N-4</t>
  </si>
  <si>
    <t>01/01/N-1</t>
  </si>
  <si>
    <t>01/01/N-25</t>
  </si>
  <si>
    <t>Dialogue social</t>
  </si>
  <si>
    <t>ENONCE</t>
  </si>
  <si>
    <t>2 200.00 €</t>
  </si>
  <si>
    <t>2 200.00 €</t>
  </si>
  <si>
    <t>Effectif</t>
  </si>
  <si>
    <t>8 salariés</t>
  </si>
  <si>
    <t>Taux de prévoyance patronale</t>
  </si>
  <si>
    <t>Taux de mutuelle salariale</t>
  </si>
  <si>
    <t>Taux de mutuelle patronale</t>
  </si>
  <si>
    <t>Taux d’accident du travail</t>
  </si>
  <si>
    <t>SAISIE DES VARIABLES</t>
  </si>
  <si>
    <t>S1</t>
  </si>
  <si>
    <t>Horaire mensuel</t>
  </si>
  <si>
    <t>Nombre d'heures travaillées durant le mois pour absence</t>
  </si>
  <si>
    <t>Taux accident du travail</t>
  </si>
  <si>
    <t>Taux de la prime de mobilité</t>
  </si>
  <si>
    <t>SMIC horaire</t>
  </si>
  <si>
    <t>Heures d'absences</t>
  </si>
  <si>
    <t>Heures complémentaires à 110%</t>
  </si>
  <si>
    <t>Heures complémentaires à 125%</t>
  </si>
  <si>
    <t>Statut salarié</t>
  </si>
  <si>
    <t>Coefficient de réduction de cotisations patronales</t>
  </si>
  <si>
    <t>Prime de rendement</t>
  </si>
  <si>
    <t>Indemnités dimanches</t>
  </si>
  <si>
    <t>Taux de prévoyance salariale</t>
  </si>
  <si>
    <t>Retenues pour congés payés</t>
  </si>
  <si>
    <t>Indemnité de congés payés</t>
  </si>
  <si>
    <t>13ème mois</t>
  </si>
  <si>
    <t>Taux salarial</t>
  </si>
  <si>
    <t>Part salarié</t>
  </si>
  <si>
    <t>Part employeur</t>
  </si>
  <si>
    <t>Complémentaires santé</t>
  </si>
  <si>
    <r>
      <t>Complémentaire Tranche 2</t>
    </r>
    <r>
      <rPr>
        <sz val="11"/>
        <color rgb="FFFF0000"/>
        <rFont val="Times New Roman"/>
        <family val="1"/>
      </rPr>
      <t xml:space="preserve"> </t>
    </r>
  </si>
  <si>
    <t>COTISATIONS STATUTAIRES OU PREVUES PAR LA CONVENTION COLLECTIVE</t>
  </si>
  <si>
    <t>Exonération, écrètement et allègements</t>
  </si>
  <si>
    <t>Déplacement</t>
  </si>
  <si>
    <t>Cumul annuel</t>
  </si>
  <si>
    <t>Montant net imposable</t>
  </si>
  <si>
    <t>Impot sur le revenu prélevé à la source</t>
  </si>
  <si>
    <t>Montant des heures compl/suppl exonérées</t>
  </si>
  <si>
    <t>NET A PAYER AU SALARIE</t>
  </si>
  <si>
    <t>Allègement de cotisations employeurs</t>
  </si>
  <si>
    <t>Total versé par l'employeur</t>
  </si>
  <si>
    <t>versement transport :</t>
  </si>
  <si>
    <t>FNAL : 0,50%</t>
  </si>
  <si>
    <t>Formation</t>
  </si>
  <si>
    <t>Forfait social</t>
  </si>
  <si>
    <t>FNAL 0,10%</t>
  </si>
  <si>
    <t>CSG CRDS 1,70% * 98,25%</t>
  </si>
  <si>
    <t xml:space="preserve">Réduction générale de cotisations patronales </t>
  </si>
  <si>
    <t>Allègement de cotisation maladie employeur</t>
  </si>
  <si>
    <t xml:space="preserve">Allègement de cotisation allocations familiales  </t>
  </si>
  <si>
    <t>FNAL</t>
  </si>
  <si>
    <t>Versement transport</t>
  </si>
  <si>
    <t>Contribution solidarité</t>
  </si>
  <si>
    <t>Taxe apprentissage</t>
  </si>
  <si>
    <t>Total</t>
  </si>
  <si>
    <t>Autres contributions dues par l'employeur</t>
  </si>
  <si>
    <t xml:space="preserve">ALLEGEMENT GENERAL DE COTISATIONS </t>
  </si>
  <si>
    <t>négatif donc 0</t>
  </si>
  <si>
    <t>Net social</t>
  </si>
  <si>
    <t>NET SOCIAL</t>
  </si>
  <si>
    <t>TAUX ACCIDENT DU TRAVAIL</t>
  </si>
  <si>
    <t xml:space="preserve">Construction : </t>
  </si>
  <si>
    <t>Construction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</si>
</sst>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4" formatCode="_-* #,##0.00\ &quot;€&quot;_-;\-* #,##0.00\ &quot;€&quot;_-;_-* &quot;-&quot;??\ &quot;€&quot;_-;_-@_-"/>
    <numFmt numFmtId="43" formatCode="_-* #,##0.00_-;\-* #,##0.00_-;_-* &quot;-&quot;??_-;_-@_-"/>
    <numFmt numFmtId="164" formatCode="_-* #,##0\ &quot;€&quot;_-;\-* #,##0\ &quot;€&quot;_-;_-* &quot;-&quot;??\ &quot;€&quot;_-;_-@_-"/>
    <numFmt numFmtId="165" formatCode="0.000%"/>
    <numFmt numFmtId="166" formatCode="#,##0.00\ &quot;€&quot;"/>
    <numFmt numFmtId="167" formatCode="dddd\-dd\-mmm"/>
    <numFmt numFmtId="168" formatCode="_-* #,##0.00\ [$€-40C]_-;\-* #,##0.00\ [$€-40C]_-;_-* &quot;-&quot;??\ [$€-40C]_-;_-@_-"/>
    <numFmt numFmtId="169" formatCode="0.00000%"/>
    <numFmt numFmtId="170" formatCode="d/m;@"/>
    <numFmt numFmtId="171" formatCode="#,##0.00\ [$€-40C];[Red]\-#,##0.00\ [$€-40C]"/>
    <numFmt numFmtId="172" formatCode="0.0%"/>
    <numFmt numFmtId="173" formatCode="0.000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sz val="8"/>
      <name val="Calibri"/>
      <family val="2"/>
      <scheme val="minor"/>
    </font>
    <font>
      <sz val="10"/>
      <color theme="1"/>
      <name val="Trebuchet MS"/>
      <family val="2"/>
    </font>
    <font>
      <b/>
      <sz val="10"/>
      <color theme="1"/>
      <name val="Trebuchet MS"/>
      <family val="2"/>
    </font>
    <font>
      <b/>
      <sz val="10"/>
      <color rgb="FF000000"/>
      <name val="Trebuchet MS"/>
      <family val="2"/>
    </font>
    <font>
      <sz val="10"/>
      <name val="Arial"/>
      <family val="2"/>
    </font>
    <font>
      <b/>
      <sz val="11"/>
      <name val="Trebuchet MS"/>
      <family val="2"/>
    </font>
    <font>
      <sz val="11"/>
      <color theme="1"/>
      <name val="Trebuchet MS"/>
      <family val="2"/>
    </font>
    <font>
      <b/>
      <sz val="10"/>
      <name val="Trebuchet MS"/>
      <family val="2"/>
    </font>
    <font>
      <sz val="10"/>
      <name val="Trebuchet MS"/>
      <family val="2"/>
    </font>
    <font>
      <b/>
      <sz val="11"/>
      <color theme="1"/>
      <name val="Trebuchet MS"/>
      <family val="2"/>
    </font>
    <font>
      <sz val="11"/>
      <name val="Trebuchet MS"/>
      <family val="2"/>
    </font>
    <font>
      <b/>
      <sz val="11"/>
      <color rgb="FF000000"/>
      <name val="Trebuchet MS"/>
      <family val="2"/>
    </font>
    <font>
      <sz val="11"/>
      <color rgb="FF000000"/>
      <name val="Trebuchet MS"/>
      <family val="2"/>
    </font>
    <font>
      <sz val="11"/>
      <color rgb="FFFF0000"/>
      <name val="Trebuchet MS"/>
      <family val="2"/>
    </font>
    <font>
      <b/>
      <sz val="11"/>
      <color rgb="FFFF0000"/>
      <name val="Trebuchet MS"/>
      <family val="2"/>
    </font>
    <font>
      <b/>
      <sz val="8"/>
      <name val="Trebuchet MS"/>
      <family val="2"/>
    </font>
    <font>
      <sz val="8"/>
      <name val="Trebuchet MS"/>
      <family val="2"/>
    </font>
    <font>
      <b/>
      <sz val="14"/>
      <color rgb="FFFF0000"/>
      <name val="Trebuchet MS"/>
      <family val="2"/>
    </font>
    <font>
      <b/>
      <u/>
      <sz val="18"/>
      <color theme="1"/>
      <name val="Calibri"/>
      <family val="2"/>
      <scheme val="minor"/>
    </font>
    <font>
      <b/>
      <sz val="11"/>
      <color theme="4"/>
      <name val="Calibri"/>
      <family val="2"/>
      <scheme val="minor"/>
    </font>
    <font>
      <u/>
      <sz val="18"/>
      <color theme="1"/>
      <name val="Calibri"/>
      <family val="2"/>
      <scheme val="minor"/>
    </font>
    <font>
      <b/>
      <sz val="16"/>
      <color theme="1"/>
      <name val="Calibri"/>
      <family val="2"/>
      <scheme val="minor"/>
    </font>
    <font>
      <b/>
      <sz val="11"/>
      <color rgb="FFFF0000"/>
      <name val="Calibri"/>
      <family val="2"/>
      <scheme val="minor"/>
    </font>
    <font>
      <sz val="10"/>
      <color theme="1"/>
      <name val="Times New Roman"/>
      <family val="1"/>
    </font>
    <font>
      <b/>
      <sz val="10"/>
      <color rgb="FFFF0000"/>
      <name val="Times New Roman"/>
      <family val="1"/>
    </font>
    <font>
      <b/>
      <sz val="11"/>
      <name val="Arial"/>
      <family val="2"/>
    </font>
    <font>
      <sz val="11"/>
      <color theme="1"/>
      <name val="Times New Roman"/>
      <family val="1"/>
    </font>
    <font>
      <b/>
      <sz val="18"/>
      <color rgb="FFFF0000"/>
      <name val="Times New Roman"/>
      <family val="1"/>
    </font>
    <font>
      <b/>
      <sz val="10"/>
      <name val="Arial"/>
      <family val="2"/>
    </font>
    <font>
      <b/>
      <sz val="11"/>
      <color theme="1"/>
      <name val="Times New Roman"/>
      <family val="1"/>
    </font>
    <font>
      <sz val="11"/>
      <name val="Times New Roman"/>
      <family val="1"/>
    </font>
    <font>
      <b/>
      <sz val="10"/>
      <color theme="1"/>
      <name val="Times New Roman"/>
      <family val="1"/>
    </font>
    <font>
      <sz val="11"/>
      <color rgb="FFFF0000"/>
      <name val="Times New Roman"/>
      <family val="1"/>
    </font>
    <font>
      <b/>
      <sz val="22"/>
      <color rgb="FFFF0000"/>
      <name val="Times New Roman"/>
      <family val="1"/>
    </font>
    <font>
      <b/>
      <sz val="11"/>
      <color rgb="FF000000"/>
      <name val="Times New Roman"/>
      <family val="1"/>
    </font>
    <font>
      <sz val="11"/>
      <color rgb="FF000000"/>
      <name val="Times New Roman"/>
      <family val="1"/>
    </font>
    <font>
      <b/>
      <sz val="10"/>
      <color rgb="FF000000"/>
      <name val="Times New Roman"/>
      <family val="1"/>
    </font>
    <font>
      <b/>
      <sz val="11"/>
      <color rgb="FFFF0000"/>
      <name val="Times New Roman"/>
      <family val="1"/>
    </font>
    <font>
      <b/>
      <sz val="11"/>
      <name val="Times New Roman"/>
      <family val="1"/>
    </font>
    <font>
      <b/>
      <sz val="8"/>
      <name val="Times New Roman"/>
      <family val="1"/>
    </font>
    <font>
      <sz val="8"/>
      <name val="Times New Roman"/>
      <family val="1"/>
    </font>
    <font>
      <b/>
      <sz val="14"/>
      <color rgb="FFFF0000"/>
      <name val="Times New Roman"/>
      <family val="1"/>
    </font>
    <font>
      <sz val="10"/>
      <color rgb="FF000000"/>
      <name val="Trebuchet MS"/>
      <family val="2"/>
    </font>
    <font>
      <b/>
      <sz val="9"/>
      <name val="Arial"/>
      <family val="2"/>
    </font>
  </fonts>
  <fills count="1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48118533890809E-2"/>
        <bgColor indexed="64"/>
      </patternFill>
    </fill>
    <fill>
      <patternFill patternType="solid">
        <fgColor theme="2"/>
        <bgColor indexed="64"/>
      </patternFill>
    </fill>
    <fill>
      <patternFill patternType="solid">
        <fgColor theme="5" tint="0.79998168889431442"/>
        <bgColor indexed="64"/>
      </patternFill>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64"/>
      </left>
      <right/>
      <top style="medium">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medium">
        <color rgb="FF000000"/>
      </bottom>
      <diagonal/>
    </border>
    <border>
      <left style="thick">
        <color indexed="64"/>
      </left>
      <right style="thick">
        <color indexed="64"/>
      </right>
      <top style="thick">
        <color indexed="64"/>
      </top>
      <bottom style="thick">
        <color indexed="64"/>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indexed="64"/>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bottom style="thin">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cellStyleXfs>
  <cellXfs count="589">
    <xf numFmtId="0" fontId="0" fillId="0" borderId="0" xfId="0"/>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vertical="center"/>
    </xf>
    <xf numFmtId="0" fontId="0" fillId="0" borderId="0" xfId="0" applyAlignment="1">
      <alignment horizontal="left"/>
    </xf>
    <xf numFmtId="0" fontId="0" fillId="0" borderId="1" xfId="0" applyBorder="1" applyAlignment="1">
      <alignment horizontal="lef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5" xfId="0" applyBorder="1"/>
    <xf numFmtId="0" fontId="0" fillId="0" borderId="6" xfId="0" applyBorder="1"/>
    <xf numFmtId="0" fontId="3" fillId="0" borderId="0" xfId="0" applyFont="1" applyAlignment="1">
      <alignment horizontal="center"/>
    </xf>
    <xf numFmtId="0" fontId="0" fillId="0" borderId="1" xfId="0" applyBorder="1" applyAlignment="1">
      <alignment vertical="center"/>
    </xf>
    <xf numFmtId="0" fontId="0" fillId="0" borderId="4" xfId="0" applyBorder="1" applyAlignment="1">
      <alignment vertical="center"/>
    </xf>
    <xf numFmtId="164" fontId="0" fillId="0" borderId="5" xfId="1" applyNumberFormat="1" applyFont="1" applyBorder="1" applyAlignment="1">
      <alignment horizontal="center" vertical="center"/>
    </xf>
    <xf numFmtId="164" fontId="0" fillId="0" borderId="6" xfId="1" applyNumberFormat="1" applyFont="1" applyBorder="1" applyAlignment="1">
      <alignment horizontal="center" vertical="center"/>
    </xf>
    <xf numFmtId="164" fontId="0" fillId="0" borderId="6" xfId="1" applyNumberFormat="1"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6" xfId="0" applyBorder="1" applyAlignment="1">
      <alignment vertical="center"/>
    </xf>
    <xf numFmtId="9" fontId="0" fillId="0" borderId="6" xfId="0" applyNumberFormat="1" applyBorder="1" applyAlignment="1">
      <alignment horizontal="center" vertical="center"/>
    </xf>
    <xf numFmtId="9" fontId="0" fillId="0" borderId="9" xfId="0" applyNumberFormat="1" applyBorder="1" applyAlignment="1">
      <alignment horizontal="center" vertical="center"/>
    </xf>
    <xf numFmtId="0" fontId="5" fillId="0" borderId="10" xfId="0" applyFont="1" applyBorder="1" applyAlignment="1">
      <alignment vertical="center"/>
    </xf>
    <xf numFmtId="0" fontId="0" fillId="0" borderId="11" xfId="0" applyBorder="1" applyAlignme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10" fontId="0" fillId="0" borderId="8" xfId="0" applyNumberFormat="1" applyBorder="1" applyAlignment="1">
      <alignment horizontal="center" vertical="center"/>
    </xf>
    <xf numFmtId="9" fontId="0" fillId="0" borderId="8"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0" fillId="0" borderId="20" xfId="0" applyBorder="1" applyAlignment="1">
      <alignment vertical="center" wrapText="1"/>
    </xf>
    <xf numFmtId="10" fontId="0" fillId="0" borderId="11" xfId="2" applyNumberFormat="1"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0" fillId="0" borderId="3" xfId="0" applyBorder="1" applyAlignment="1">
      <alignment vertical="center"/>
    </xf>
    <xf numFmtId="0" fontId="0" fillId="0" borderId="0" xfId="0" applyAlignment="1">
      <alignment horizontal="center"/>
    </xf>
    <xf numFmtId="167" fontId="0" fillId="3" borderId="4" xfId="0" applyNumberFormat="1" applyFill="1" applyBorder="1" applyAlignment="1">
      <alignment horizontal="left"/>
    </xf>
    <xf numFmtId="167" fontId="0" fillId="3" borderId="7" xfId="0" applyNumberFormat="1" applyFill="1" applyBorder="1" applyAlignment="1">
      <alignment horizontal="left"/>
    </xf>
    <xf numFmtId="0" fontId="0" fillId="0" borderId="8" xfId="0" applyBorder="1"/>
    <xf numFmtId="0" fontId="0" fillId="0" borderId="9" xfId="0" applyBorder="1" applyAlignment="1">
      <alignment horizontal="center" vertical="center"/>
    </xf>
    <xf numFmtId="0" fontId="7" fillId="2" borderId="12" xfId="0" applyFont="1" applyFill="1" applyBorder="1" applyAlignment="1">
      <alignment vertical="center" wrapText="1"/>
    </xf>
    <xf numFmtId="0" fontId="7" fillId="2" borderId="15" xfId="0" applyFont="1" applyFill="1" applyBorder="1" applyAlignment="1">
      <alignment vertical="center" wrapText="1"/>
    </xf>
    <xf numFmtId="0" fontId="7" fillId="2" borderId="23" xfId="0" applyFont="1" applyFill="1" applyBorder="1" applyAlignment="1">
      <alignment vertical="center" wrapText="1"/>
    </xf>
    <xf numFmtId="170" fontId="0" fillId="0" borderId="5" xfId="0" applyNumberFormat="1" applyBorder="1" applyAlignment="1">
      <alignment horizontal="center" vertical="center"/>
    </xf>
    <xf numFmtId="0" fontId="11" fillId="4" borderId="1" xfId="4" applyFont="1" applyFill="1" applyBorder="1" applyAlignment="1">
      <alignment horizontal="centerContinuous" vertical="center"/>
    </xf>
    <xf numFmtId="0" fontId="12" fillId="4" borderId="2" xfId="0" applyFont="1" applyFill="1" applyBorder="1" applyAlignment="1">
      <alignment horizontal="centerContinuous" vertical="center"/>
    </xf>
    <xf numFmtId="0" fontId="12" fillId="4" borderId="3" xfId="0" applyFont="1" applyFill="1" applyBorder="1" applyAlignment="1">
      <alignment horizontal="centerContinuous" vertical="center"/>
    </xf>
    <xf numFmtId="0" fontId="12" fillId="0" borderId="0" xfId="0" applyFont="1" applyAlignment="1">
      <alignment vertical="center"/>
    </xf>
    <xf numFmtId="0" fontId="13" fillId="0" borderId="4" xfId="4"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14" fontId="14" fillId="0" borderId="4" xfId="4" applyNumberFormat="1" applyFont="1" applyBorder="1" applyAlignment="1">
      <alignment vertical="center"/>
    </xf>
    <xf numFmtId="0" fontId="12" fillId="0" borderId="4" xfId="0" applyFont="1" applyBorder="1" applyAlignment="1">
      <alignment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1" fillId="4" borderId="4" xfId="4" applyFont="1" applyFill="1" applyBorder="1" applyAlignment="1">
      <alignment horizontal="centerContinuous" vertical="center"/>
    </xf>
    <xf numFmtId="0" fontId="12" fillId="4" borderId="5" xfId="0" applyFont="1" applyFill="1" applyBorder="1" applyAlignment="1">
      <alignment horizontal="centerContinuous" vertical="center"/>
    </xf>
    <xf numFmtId="0" fontId="12" fillId="4" borderId="6" xfId="0" applyFont="1" applyFill="1" applyBorder="1" applyAlignment="1">
      <alignment horizontal="centerContinuous" vertical="center"/>
    </xf>
    <xf numFmtId="0" fontId="13" fillId="0" borderId="4" xfId="4" applyFont="1" applyBorder="1" applyAlignment="1">
      <alignment horizontal="center" vertical="center"/>
    </xf>
    <xf numFmtId="0" fontId="15" fillId="0" borderId="5" xfId="0" applyFont="1" applyBorder="1" applyAlignment="1">
      <alignment horizontal="center"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0" fontId="11" fillId="8" borderId="1" xfId="0" applyFont="1" applyFill="1" applyBorder="1" applyAlignment="1">
      <alignment vertical="center"/>
    </xf>
    <xf numFmtId="10" fontId="11" fillId="8" borderId="3" xfId="0" applyNumberFormat="1" applyFont="1" applyFill="1" applyBorder="1" applyAlignment="1">
      <alignment vertical="center"/>
    </xf>
    <xf numFmtId="2" fontId="12" fillId="0" borderId="5" xfId="0" applyNumberFormat="1" applyFont="1" applyBorder="1" applyAlignment="1">
      <alignment vertical="center"/>
    </xf>
    <xf numFmtId="166" fontId="12" fillId="0" borderId="5" xfId="0" applyNumberFormat="1" applyFont="1" applyBorder="1" applyAlignment="1">
      <alignment horizontal="right" vertical="center"/>
    </xf>
    <xf numFmtId="44" fontId="12" fillId="3" borderId="5" xfId="1" applyFont="1" applyFill="1" applyBorder="1" applyAlignment="1">
      <alignment vertical="center"/>
    </xf>
    <xf numFmtId="44" fontId="12" fillId="7" borderId="6" xfId="1" applyFont="1" applyFill="1" applyBorder="1" applyAlignment="1">
      <alignment vertical="center"/>
    </xf>
    <xf numFmtId="0" fontId="16" fillId="0" borderId="0" xfId="0" applyFont="1" applyAlignment="1">
      <alignment vertical="center"/>
    </xf>
    <xf numFmtId="0" fontId="16" fillId="8" borderId="4" xfId="0" applyFont="1" applyFill="1" applyBorder="1" applyAlignment="1">
      <alignment vertical="center"/>
    </xf>
    <xf numFmtId="10" fontId="11" fillId="8" borderId="6" xfId="0" applyNumberFormat="1" applyFont="1" applyFill="1" applyBorder="1" applyAlignment="1">
      <alignment vertical="center"/>
    </xf>
    <xf numFmtId="44" fontId="12" fillId="0" borderId="5" xfId="1" applyFont="1" applyBorder="1" applyAlignment="1">
      <alignment vertical="center"/>
    </xf>
    <xf numFmtId="0" fontId="16" fillId="0" borderId="4" xfId="0" applyFont="1" applyBorder="1" applyAlignment="1">
      <alignment vertical="center"/>
    </xf>
    <xf numFmtId="10" fontId="16" fillId="0" borderId="6" xfId="0" applyNumberFormat="1" applyFont="1" applyBorder="1" applyAlignment="1">
      <alignment vertical="center"/>
    </xf>
    <xf numFmtId="2" fontId="12" fillId="3" borderId="5" xfId="0" applyNumberFormat="1" applyFont="1" applyFill="1" applyBorder="1" applyAlignment="1">
      <alignment vertical="center"/>
    </xf>
    <xf numFmtId="166" fontId="12" fillId="3" borderId="5" xfId="0" applyNumberFormat="1" applyFont="1" applyFill="1" applyBorder="1" applyAlignment="1">
      <alignment horizontal="right" vertical="center"/>
    </xf>
    <xf numFmtId="44" fontId="16" fillId="9" borderId="6" xfId="1" applyFont="1" applyFill="1" applyBorder="1" applyAlignment="1">
      <alignment vertical="center"/>
    </xf>
    <xf numFmtId="0" fontId="12" fillId="3" borderId="5" xfId="0" applyFont="1" applyFill="1" applyBorder="1" applyAlignment="1">
      <alignment vertical="center"/>
    </xf>
    <xf numFmtId="44" fontId="12" fillId="0" borderId="5" xfId="1" applyFont="1" applyBorder="1" applyAlignment="1">
      <alignment horizontal="right" vertical="center"/>
    </xf>
    <xf numFmtId="44" fontId="12" fillId="0" borderId="5" xfId="0" applyNumberFormat="1" applyFont="1" applyBorder="1" applyAlignment="1">
      <alignment vertical="center"/>
    </xf>
    <xf numFmtId="44" fontId="12" fillId="7" borderId="6" xfId="0" applyNumberFormat="1" applyFont="1" applyFill="1" applyBorder="1" applyAlignment="1">
      <alignment vertical="center"/>
    </xf>
    <xf numFmtId="166" fontId="12" fillId="3" borderId="5" xfId="0" applyNumberFormat="1" applyFont="1" applyFill="1" applyBorder="1" applyAlignment="1">
      <alignment vertical="center"/>
    </xf>
    <xf numFmtId="166" fontId="12" fillId="0" borderId="5" xfId="0" applyNumberFormat="1" applyFont="1" applyBorder="1" applyAlignment="1">
      <alignment vertical="center"/>
    </xf>
    <xf numFmtId="10" fontId="16" fillId="9" borderId="6" xfId="0" applyNumberFormat="1" applyFont="1" applyFill="1" applyBorder="1" applyAlignment="1">
      <alignment vertical="center"/>
    </xf>
    <xf numFmtId="0" fontId="12" fillId="0" borderId="5" xfId="0" applyFont="1" applyBorder="1" applyAlignment="1">
      <alignment horizontal="center" vertical="center"/>
    </xf>
    <xf numFmtId="44" fontId="12" fillId="0" borderId="5" xfId="1" applyFont="1" applyBorder="1" applyAlignment="1">
      <alignment horizontal="center" vertical="center"/>
    </xf>
    <xf numFmtId="8" fontId="12" fillId="0" borderId="5" xfId="0" applyNumberFormat="1" applyFont="1" applyBorder="1" applyAlignment="1">
      <alignment vertical="center"/>
    </xf>
    <xf numFmtId="168" fontId="12" fillId="7" borderId="5" xfId="0" applyNumberFormat="1" applyFont="1" applyFill="1" applyBorder="1" applyAlignment="1">
      <alignment vertical="center"/>
    </xf>
    <xf numFmtId="168" fontId="12" fillId="7" borderId="6" xfId="0" applyNumberFormat="1" applyFont="1" applyFill="1" applyBorder="1" applyAlignment="1">
      <alignment vertical="center"/>
    </xf>
    <xf numFmtId="0" fontId="12" fillId="3" borderId="5" xfId="0" applyFont="1" applyFill="1" applyBorder="1" applyAlignment="1">
      <alignment horizontal="center" vertical="center"/>
    </xf>
    <xf numFmtId="8" fontId="12" fillId="3" borderId="5" xfId="0" applyNumberFormat="1" applyFont="1" applyFill="1" applyBorder="1" applyAlignment="1">
      <alignment vertical="center"/>
    </xf>
    <xf numFmtId="44" fontId="16" fillId="3" borderId="5" xfId="1" applyFont="1" applyFill="1" applyBorder="1" applyAlignment="1">
      <alignment horizontal="right" vertical="center" wrapText="1"/>
    </xf>
    <xf numFmtId="9" fontId="7" fillId="3" borderId="5" xfId="0" applyNumberFormat="1" applyFont="1" applyFill="1" applyBorder="1" applyAlignment="1">
      <alignment vertical="center"/>
    </xf>
    <xf numFmtId="44" fontId="7" fillId="3" borderId="5" xfId="0" applyNumberFormat="1" applyFont="1" applyFill="1" applyBorder="1" applyAlignment="1">
      <alignment vertical="center"/>
    </xf>
    <xf numFmtId="43" fontId="16" fillId="3" borderId="5" xfId="3" applyFont="1" applyFill="1" applyBorder="1" applyAlignment="1">
      <alignment horizontal="right" vertical="center" wrapText="1"/>
    </xf>
    <xf numFmtId="9" fontId="7" fillId="7" borderId="5" xfId="0" applyNumberFormat="1" applyFont="1" applyFill="1" applyBorder="1" applyAlignment="1">
      <alignment vertical="center"/>
    </xf>
    <xf numFmtId="0" fontId="12" fillId="0" borderId="7" xfId="0" applyFont="1" applyBorder="1" applyAlignment="1">
      <alignment vertical="center"/>
    </xf>
    <xf numFmtId="10" fontId="11" fillId="9" borderId="9" xfId="0" applyNumberFormat="1" applyFont="1" applyFill="1" applyBorder="1" applyAlignment="1">
      <alignment vertical="center"/>
    </xf>
    <xf numFmtId="44" fontId="7" fillId="0" borderId="4" xfId="1" applyFont="1" applyBorder="1" applyAlignment="1">
      <alignment vertical="center"/>
    </xf>
    <xf numFmtId="44" fontId="16" fillId="2" borderId="5" xfId="1" applyFont="1" applyFill="1" applyBorder="1" applyAlignment="1">
      <alignment horizontal="right" vertical="center" wrapText="1"/>
    </xf>
    <xf numFmtId="9" fontId="7" fillId="0" borderId="5" xfId="0" applyNumberFormat="1" applyFont="1" applyBorder="1" applyAlignment="1">
      <alignment vertical="center"/>
    </xf>
    <xf numFmtId="44" fontId="7" fillId="0" borderId="5" xfId="0" applyNumberFormat="1" applyFont="1" applyBorder="1" applyAlignment="1">
      <alignment vertical="center"/>
    </xf>
    <xf numFmtId="0" fontId="17" fillId="2" borderId="4" xfId="0" applyFont="1" applyFill="1" applyBorder="1" applyAlignment="1">
      <alignment horizontal="left" vertical="center" wrapText="1" readingOrder="1"/>
    </xf>
    <xf numFmtId="0" fontId="16" fillId="2" borderId="5" xfId="0" applyFont="1" applyFill="1" applyBorder="1" applyAlignment="1">
      <alignment horizontal="right" vertical="center" wrapText="1"/>
    </xf>
    <xf numFmtId="0" fontId="18" fillId="2" borderId="5" xfId="0" applyFont="1" applyFill="1" applyBorder="1" applyAlignment="1">
      <alignment horizontal="left" vertical="center" wrapText="1" readingOrder="1"/>
    </xf>
    <xf numFmtId="0" fontId="17" fillId="4" borderId="4" xfId="0" applyFont="1" applyFill="1" applyBorder="1" applyAlignment="1">
      <alignment horizontal="left" vertical="center" wrapText="1" readingOrder="1"/>
    </xf>
    <xf numFmtId="0" fontId="17" fillId="4" borderId="5" xfId="0" applyFont="1" applyFill="1" applyBorder="1" applyAlignment="1">
      <alignment horizontal="center" vertical="center" wrapText="1" readingOrder="1"/>
    </xf>
    <xf numFmtId="0" fontId="17" fillId="4" borderId="6" xfId="0" applyFont="1" applyFill="1" applyBorder="1" applyAlignment="1">
      <alignment horizontal="center" vertical="center" wrapText="1" readingOrder="1"/>
    </xf>
    <xf numFmtId="0" fontId="17" fillId="10" borderId="4" xfId="0" applyFont="1" applyFill="1" applyBorder="1" applyAlignment="1">
      <alignment horizontal="left" vertical="center" wrapText="1" readingOrder="1"/>
    </xf>
    <xf numFmtId="0" fontId="16" fillId="10" borderId="5" xfId="0" applyFont="1" applyFill="1" applyBorder="1" applyAlignment="1">
      <alignment horizontal="center" vertical="center" wrapText="1"/>
    </xf>
    <xf numFmtId="0" fontId="17" fillId="10" borderId="5" xfId="0" applyFont="1" applyFill="1" applyBorder="1" applyAlignment="1">
      <alignment horizontal="center" vertical="center" wrapText="1" readingOrder="1"/>
    </xf>
    <xf numFmtId="0" fontId="17" fillId="10" borderId="6" xfId="0" applyFont="1" applyFill="1" applyBorder="1" applyAlignment="1">
      <alignment horizontal="center" vertical="center" wrapText="1" readingOrder="1"/>
    </xf>
    <xf numFmtId="0" fontId="16" fillId="9" borderId="4" xfId="0" applyFont="1" applyFill="1" applyBorder="1" applyAlignment="1">
      <alignment horizontal="left" vertical="center" wrapText="1" readingOrder="1"/>
    </xf>
    <xf numFmtId="44" fontId="19" fillId="9" borderId="5" xfId="1" applyFont="1" applyFill="1" applyBorder="1" applyAlignment="1">
      <alignment horizontal="right" vertical="center" wrapText="1"/>
    </xf>
    <xf numFmtId="0" fontId="19" fillId="9" borderId="5" xfId="0" applyFont="1" applyFill="1" applyBorder="1" applyAlignment="1">
      <alignment vertical="center" wrapText="1"/>
    </xf>
    <xf numFmtId="44" fontId="19" fillId="9" borderId="5" xfId="1" applyFont="1" applyFill="1" applyBorder="1" applyAlignment="1">
      <alignment vertical="center" wrapText="1"/>
    </xf>
    <xf numFmtId="165" fontId="20" fillId="9" borderId="5" xfId="1" applyNumberFormat="1" applyFont="1" applyFill="1" applyBorder="1" applyAlignment="1">
      <alignment horizontal="right" vertical="center" wrapText="1"/>
    </xf>
    <xf numFmtId="0" fontId="18" fillId="2" borderId="4" xfId="0" applyFont="1" applyFill="1" applyBorder="1" applyAlignment="1">
      <alignment horizontal="left" vertical="center" wrapText="1" readingOrder="1"/>
    </xf>
    <xf numFmtId="10" fontId="18" fillId="2" borderId="5" xfId="0" applyNumberFormat="1" applyFont="1" applyFill="1" applyBorder="1" applyAlignment="1">
      <alignment horizontal="center" vertical="center" wrapText="1" readingOrder="1"/>
    </xf>
    <xf numFmtId="44" fontId="18" fillId="2" borderId="5" xfId="1" applyFont="1" applyFill="1" applyBorder="1" applyAlignment="1">
      <alignment horizontal="right" vertical="center" wrapText="1" readingOrder="1"/>
    </xf>
    <xf numFmtId="165" fontId="20" fillId="2" borderId="5" xfId="1" applyNumberFormat="1" applyFont="1" applyFill="1" applyBorder="1" applyAlignment="1">
      <alignment horizontal="right" vertical="center" wrapText="1" readingOrder="1"/>
    </xf>
    <xf numFmtId="44" fontId="20" fillId="9" borderId="6" xfId="1" applyFont="1" applyFill="1" applyBorder="1" applyAlignment="1">
      <alignment horizontal="right" vertical="center" wrapText="1"/>
    </xf>
    <xf numFmtId="44" fontId="16" fillId="2" borderId="6" xfId="1" applyFont="1" applyFill="1" applyBorder="1" applyAlignment="1">
      <alignment horizontal="right" vertical="center" wrapText="1"/>
    </xf>
    <xf numFmtId="165" fontId="18" fillId="2" borderId="5" xfId="1" applyNumberFormat="1" applyFont="1" applyFill="1" applyBorder="1" applyAlignment="1">
      <alignment horizontal="right" vertical="center" wrapText="1" readingOrder="1"/>
    </xf>
    <xf numFmtId="0" fontId="17" fillId="0" borderId="4" xfId="0" applyFont="1" applyBorder="1" applyAlignment="1">
      <alignment horizontal="left" vertical="center" wrapText="1" readingOrder="1"/>
    </xf>
    <xf numFmtId="0" fontId="18" fillId="2" borderId="5" xfId="0" applyFont="1" applyFill="1" applyBorder="1" applyAlignment="1">
      <alignment horizontal="center" vertical="center" wrapText="1" readingOrder="1"/>
    </xf>
    <xf numFmtId="165" fontId="16" fillId="2" borderId="5" xfId="1" applyNumberFormat="1" applyFont="1" applyFill="1" applyBorder="1" applyAlignment="1">
      <alignment horizontal="right" vertical="center" wrapText="1"/>
    </xf>
    <xf numFmtId="0" fontId="17" fillId="10" borderId="5" xfId="0" applyFont="1" applyFill="1" applyBorder="1" applyAlignment="1">
      <alignment horizontal="left" vertical="center" wrapText="1" readingOrder="1"/>
    </xf>
    <xf numFmtId="0" fontId="17" fillId="10" borderId="6" xfId="0" applyFont="1" applyFill="1" applyBorder="1" applyAlignment="1">
      <alignment horizontal="left" vertical="center" wrapText="1" readingOrder="1"/>
    </xf>
    <xf numFmtId="165" fontId="18" fillId="2" borderId="5" xfId="0" applyNumberFormat="1" applyFont="1" applyFill="1" applyBorder="1" applyAlignment="1">
      <alignment horizontal="center" vertical="center" wrapText="1" readingOrder="1"/>
    </xf>
    <xf numFmtId="8" fontId="16" fillId="2" borderId="6" xfId="1" applyNumberFormat="1" applyFont="1" applyFill="1" applyBorder="1" applyAlignment="1">
      <alignment horizontal="right" vertical="center" wrapText="1"/>
    </xf>
    <xf numFmtId="0" fontId="9" fillId="10" borderId="4" xfId="0" applyFont="1" applyFill="1" applyBorder="1" applyAlignment="1">
      <alignment horizontal="left" vertical="center" wrapText="1" readingOrder="1"/>
    </xf>
    <xf numFmtId="165" fontId="18" fillId="2" borderId="5" xfId="0" applyNumberFormat="1" applyFont="1" applyFill="1" applyBorder="1" applyAlignment="1">
      <alignment horizontal="right" vertical="center" wrapText="1" readingOrder="1"/>
    </xf>
    <xf numFmtId="0" fontId="9" fillId="2" borderId="4" xfId="0" applyFont="1" applyFill="1" applyBorder="1" applyAlignment="1">
      <alignment horizontal="left" vertical="center" wrapText="1" readingOrder="1"/>
    </xf>
    <xf numFmtId="43" fontId="16" fillId="2" borderId="5" xfId="3" applyFont="1" applyFill="1" applyBorder="1" applyAlignment="1">
      <alignment horizontal="right" vertical="center" wrapText="1"/>
    </xf>
    <xf numFmtId="0" fontId="17" fillId="2" borderId="5" xfId="0" applyFont="1" applyFill="1" applyBorder="1" applyAlignment="1">
      <alignment horizontal="center" vertical="center" wrapText="1" readingOrder="1"/>
    </xf>
    <xf numFmtId="44" fontId="17" fillId="2" borderId="5" xfId="1" applyFont="1" applyFill="1" applyBorder="1" applyAlignment="1">
      <alignment horizontal="right" vertical="center" wrapText="1" readingOrder="1"/>
    </xf>
    <xf numFmtId="44" fontId="17" fillId="2" borderId="6" xfId="1" applyFont="1" applyFill="1" applyBorder="1" applyAlignment="1">
      <alignment horizontal="right" vertical="center" wrapText="1" readingOrder="1"/>
    </xf>
    <xf numFmtId="44" fontId="17" fillId="3" borderId="5" xfId="1" applyFont="1" applyFill="1" applyBorder="1" applyAlignment="1">
      <alignment horizontal="right" vertical="center" wrapText="1" readingOrder="1"/>
    </xf>
    <xf numFmtId="0" fontId="20" fillId="2" borderId="4" xfId="0" applyFont="1" applyFill="1" applyBorder="1" applyAlignment="1">
      <alignment horizontal="left" vertical="center" wrapText="1" readingOrder="1"/>
    </xf>
    <xf numFmtId="44" fontId="11" fillId="2" borderId="6" xfId="1" applyFont="1" applyFill="1" applyBorder="1" applyAlignment="1">
      <alignment horizontal="right" vertical="center" wrapText="1"/>
    </xf>
    <xf numFmtId="44" fontId="18" fillId="3" borderId="5" xfId="1" applyFont="1" applyFill="1" applyBorder="1" applyAlignment="1">
      <alignment horizontal="right" vertical="center" wrapText="1" readingOrder="1"/>
    </xf>
    <xf numFmtId="0" fontId="17" fillId="3" borderId="5" xfId="0" applyFont="1" applyFill="1" applyBorder="1" applyAlignment="1">
      <alignment horizontal="center" vertical="center" wrapText="1" readingOrder="1"/>
    </xf>
    <xf numFmtId="44" fontId="16" fillId="3" borderId="6" xfId="1" applyFont="1" applyFill="1" applyBorder="1" applyAlignment="1">
      <alignment horizontal="right" vertical="center" wrapText="1"/>
    </xf>
    <xf numFmtId="44" fontId="16" fillId="2" borderId="5" xfId="1" applyFont="1" applyFill="1" applyBorder="1" applyAlignment="1">
      <alignment horizontal="center" vertical="center" wrapText="1"/>
    </xf>
    <xf numFmtId="44" fontId="16" fillId="2" borderId="6" xfId="0" applyNumberFormat="1" applyFont="1" applyFill="1" applyBorder="1" applyAlignment="1">
      <alignment horizontal="right" vertical="center" wrapText="1"/>
    </xf>
    <xf numFmtId="44" fontId="16" fillId="2" borderId="5" xfId="1" applyFont="1" applyFill="1" applyBorder="1" applyAlignment="1">
      <alignment vertical="center" wrapText="1"/>
    </xf>
    <xf numFmtId="0" fontId="17" fillId="2" borderId="5" xfId="0" applyFont="1" applyFill="1" applyBorder="1" applyAlignment="1">
      <alignment horizontal="left" vertical="center" wrapText="1" readingOrder="1"/>
    </xf>
    <xf numFmtId="0" fontId="17" fillId="2" borderId="5" xfId="0" applyFont="1" applyFill="1" applyBorder="1" applyAlignment="1">
      <alignment horizontal="justify" vertical="center" wrapText="1" readingOrder="1"/>
    </xf>
    <xf numFmtId="0" fontId="21" fillId="0" borderId="7" xfId="4" applyFont="1" applyBorder="1" applyAlignment="1">
      <alignment horizontal="left" vertical="center"/>
    </xf>
    <xf numFmtId="0" fontId="22" fillId="0" borderId="8" xfId="4" applyFont="1" applyBorder="1" applyAlignment="1">
      <alignment horizontal="center" vertical="center"/>
    </xf>
    <xf numFmtId="44" fontId="11" fillId="2" borderId="9" xfId="0" applyNumberFormat="1" applyFont="1" applyFill="1" applyBorder="1" applyAlignment="1">
      <alignment horizontal="right" vertical="center" wrapText="1"/>
    </xf>
    <xf numFmtId="0" fontId="7" fillId="0" borderId="0" xfId="0" applyFont="1" applyAlignment="1">
      <alignment vertical="center"/>
    </xf>
    <xf numFmtId="0" fontId="15" fillId="0" borderId="0" xfId="0" applyFont="1" applyAlignment="1">
      <alignment vertical="center"/>
    </xf>
    <xf numFmtId="0" fontId="7" fillId="2" borderId="31" xfId="0" applyFont="1" applyFill="1" applyBorder="1" applyAlignment="1">
      <alignment vertical="center" wrapText="1"/>
    </xf>
    <xf numFmtId="168" fontId="15" fillId="0" borderId="32" xfId="0" applyNumberFormat="1" applyFont="1" applyBorder="1" applyAlignment="1">
      <alignment vertical="center"/>
    </xf>
    <xf numFmtId="10" fontId="15" fillId="0" borderId="32" xfId="0" applyNumberFormat="1" applyFont="1" applyBorder="1" applyAlignment="1">
      <alignment horizontal="center" vertical="center"/>
    </xf>
    <xf numFmtId="168" fontId="15" fillId="0" borderId="33" xfId="0" applyNumberFormat="1" applyFont="1" applyBorder="1" applyAlignment="1">
      <alignment vertical="center"/>
    </xf>
    <xf numFmtId="0" fontId="12" fillId="0" borderId="10" xfId="0" applyFont="1" applyBorder="1" applyAlignment="1">
      <alignment vertical="center"/>
    </xf>
    <xf numFmtId="0" fontId="12" fillId="0" borderId="26" xfId="0" applyFont="1" applyBorder="1" applyAlignment="1">
      <alignment vertical="center"/>
    </xf>
    <xf numFmtId="8" fontId="11" fillId="3" borderId="11" xfId="0" applyNumberFormat="1" applyFont="1" applyFill="1" applyBorder="1" applyAlignment="1">
      <alignment vertical="center"/>
    </xf>
    <xf numFmtId="0" fontId="12" fillId="0" borderId="15" xfId="0" applyFont="1" applyBorder="1" applyAlignment="1">
      <alignment vertical="center"/>
    </xf>
    <xf numFmtId="44" fontId="12" fillId="0" borderId="16" xfId="0" applyNumberFormat="1" applyFont="1" applyBorder="1" applyAlignment="1">
      <alignment vertical="center"/>
    </xf>
    <xf numFmtId="10" fontId="12" fillId="0" borderId="16" xfId="0" applyNumberFormat="1" applyFont="1" applyBorder="1" applyAlignment="1">
      <alignment vertical="center"/>
    </xf>
    <xf numFmtId="44" fontId="12" fillId="0" borderId="17" xfId="0" applyNumberFormat="1" applyFont="1" applyBorder="1" applyAlignment="1">
      <alignment vertical="center"/>
    </xf>
    <xf numFmtId="0" fontId="17" fillId="2" borderId="15" xfId="0" applyFont="1" applyFill="1" applyBorder="1" applyAlignment="1">
      <alignment horizontal="left" vertical="center" wrapText="1" readingOrder="1"/>
    </xf>
    <xf numFmtId="168" fontId="18" fillId="2" borderId="16" xfId="0" applyNumberFormat="1" applyFont="1" applyFill="1" applyBorder="1" applyAlignment="1">
      <alignment horizontal="right" vertical="center" wrapText="1" readingOrder="1"/>
    </xf>
    <xf numFmtId="10" fontId="18" fillId="2" borderId="16" xfId="0" applyNumberFormat="1" applyFont="1" applyFill="1" applyBorder="1" applyAlignment="1">
      <alignment horizontal="right" vertical="center" wrapText="1" readingOrder="1"/>
    </xf>
    <xf numFmtId="8" fontId="18" fillId="2" borderId="17" xfId="0" applyNumberFormat="1" applyFont="1" applyFill="1" applyBorder="1" applyAlignment="1">
      <alignment horizontal="right" vertical="center" wrapText="1" readingOrder="1"/>
    </xf>
    <xf numFmtId="0" fontId="15" fillId="0" borderId="23" xfId="0" applyFont="1" applyBorder="1" applyAlignment="1">
      <alignment vertical="center"/>
    </xf>
    <xf numFmtId="44" fontId="12" fillId="0" borderId="24" xfId="0" applyNumberFormat="1" applyFont="1" applyBorder="1" applyAlignment="1">
      <alignment vertical="center"/>
    </xf>
    <xf numFmtId="169" fontId="12" fillId="0" borderId="24" xfId="0" applyNumberFormat="1" applyFont="1" applyBorder="1" applyAlignment="1">
      <alignment vertical="center"/>
    </xf>
    <xf numFmtId="44" fontId="20" fillId="3" borderId="25" xfId="1" applyFont="1" applyFill="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44" fontId="12" fillId="0" borderId="14" xfId="0" applyNumberFormat="1" applyFont="1" applyBorder="1" applyAlignment="1">
      <alignment vertical="center"/>
    </xf>
    <xf numFmtId="0" fontId="12" fillId="0" borderId="16" xfId="0" applyFont="1" applyBorder="1" applyAlignment="1">
      <alignment vertical="center"/>
    </xf>
    <xf numFmtId="8" fontId="12" fillId="0" borderId="16" xfId="0" applyNumberFormat="1" applyFont="1" applyBorder="1" applyAlignment="1">
      <alignment vertical="center"/>
    </xf>
    <xf numFmtId="168" fontId="12" fillId="0" borderId="17" xfId="0" applyNumberFormat="1" applyFont="1" applyBorder="1" applyAlignment="1">
      <alignment vertical="center"/>
    </xf>
    <xf numFmtId="0" fontId="12" fillId="0" borderId="24" xfId="0" applyFont="1" applyBorder="1" applyAlignment="1">
      <alignment vertical="center"/>
    </xf>
    <xf numFmtId="44" fontId="20" fillId="3" borderId="25" xfId="0" applyNumberFormat="1" applyFont="1" applyFill="1" applyBorder="1" applyAlignment="1">
      <alignment vertical="center"/>
    </xf>
    <xf numFmtId="44" fontId="12" fillId="0" borderId="6" xfId="0" applyNumberFormat="1" applyFont="1" applyBorder="1" applyAlignment="1">
      <alignment vertical="center"/>
    </xf>
    <xf numFmtId="0" fontId="24" fillId="3" borderId="0" xfId="0" applyFont="1" applyFill="1" applyAlignment="1">
      <alignment vertical="center"/>
    </xf>
    <xf numFmtId="0" fontId="0" fillId="3" borderId="0" xfId="0" applyFill="1" applyAlignment="1">
      <alignment vertical="center"/>
    </xf>
    <xf numFmtId="0" fontId="3" fillId="0" borderId="0" xfId="0" applyFont="1" applyAlignment="1">
      <alignment vertical="center"/>
    </xf>
    <xf numFmtId="164" fontId="3" fillId="0" borderId="0" xfId="1" applyNumberFormat="1"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 fontId="2" fillId="0" borderId="4" xfId="0" applyNumberFormat="1" applyFont="1" applyBorder="1" applyAlignment="1">
      <alignment horizontal="left" vertical="center"/>
    </xf>
    <xf numFmtId="164" fontId="2" fillId="0" borderId="5" xfId="1" applyNumberFormat="1" applyFont="1" applyBorder="1" applyAlignment="1">
      <alignment vertical="center"/>
    </xf>
    <xf numFmtId="164" fontId="2" fillId="0" borderId="5" xfId="0" applyNumberFormat="1" applyFont="1" applyBorder="1" applyAlignment="1">
      <alignment vertical="center"/>
    </xf>
    <xf numFmtId="164" fontId="2" fillId="3" borderId="6" xfId="0" applyNumberFormat="1" applyFont="1" applyFill="1" applyBorder="1" applyAlignment="1">
      <alignment vertical="center"/>
    </xf>
    <xf numFmtId="164" fontId="25" fillId="11" borderId="5" xfId="0" applyNumberFormat="1" applyFont="1" applyFill="1" applyBorder="1" applyAlignment="1">
      <alignment vertical="center"/>
    </xf>
    <xf numFmtId="164" fontId="2" fillId="12" borderId="5" xfId="0" applyNumberFormat="1" applyFont="1" applyFill="1" applyBorder="1" applyAlignment="1">
      <alignment vertical="center"/>
    </xf>
    <xf numFmtId="17" fontId="2" fillId="0" borderId="7" xfId="0" applyNumberFormat="1" applyFont="1" applyBorder="1" applyAlignment="1">
      <alignment horizontal="left" vertical="center"/>
    </xf>
    <xf numFmtId="164" fontId="2" fillId="0" borderId="8" xfId="1" applyNumberFormat="1" applyFont="1" applyBorder="1" applyAlignment="1">
      <alignment vertical="center"/>
    </xf>
    <xf numFmtId="164" fontId="2" fillId="0" borderId="8" xfId="0" applyNumberFormat="1" applyFont="1" applyBorder="1" applyAlignment="1">
      <alignment vertical="center"/>
    </xf>
    <xf numFmtId="164" fontId="2" fillId="3" borderId="9" xfId="0" applyNumberFormat="1" applyFont="1" applyFill="1" applyBorder="1" applyAlignment="1">
      <alignment vertical="center"/>
    </xf>
    <xf numFmtId="17" fontId="0" fillId="0" borderId="0" xfId="0" applyNumberFormat="1" applyAlignment="1">
      <alignment horizontal="left" vertical="center"/>
    </xf>
    <xf numFmtId="164" fontId="0" fillId="0" borderId="0" xfId="1" applyNumberFormat="1" applyFont="1" applyBorder="1" applyAlignment="1">
      <alignment vertical="center"/>
    </xf>
    <xf numFmtId="164" fontId="0" fillId="0" borderId="0" xfId="0" applyNumberFormat="1" applyAlignment="1">
      <alignment vertical="center"/>
    </xf>
    <xf numFmtId="0" fontId="26" fillId="3" borderId="0" xfId="0" applyFont="1" applyFill="1" applyAlignment="1">
      <alignment vertical="center"/>
    </xf>
    <xf numFmtId="0" fontId="0" fillId="9" borderId="1" xfId="0" applyFill="1" applyBorder="1" applyAlignment="1">
      <alignment horizontal="center" vertical="center"/>
    </xf>
    <xf numFmtId="0" fontId="2" fillId="9" borderId="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0" borderId="2" xfId="0" applyFont="1" applyBorder="1" applyAlignment="1">
      <alignment vertical="center" wrapText="1"/>
    </xf>
    <xf numFmtId="168" fontId="2" fillId="3" borderId="3" xfId="0" applyNumberFormat="1" applyFont="1" applyFill="1" applyBorder="1" applyAlignment="1">
      <alignment horizontal="center" vertical="center" wrapText="1"/>
    </xf>
    <xf numFmtId="0" fontId="0" fillId="9" borderId="4" xfId="0" applyFill="1" applyBorder="1" applyAlignment="1">
      <alignment vertical="center"/>
    </xf>
    <xf numFmtId="168" fontId="0" fillId="9" borderId="5" xfId="0" applyNumberFormat="1" applyFill="1" applyBorder="1" applyAlignment="1">
      <alignment vertical="center"/>
    </xf>
    <xf numFmtId="168" fontId="0" fillId="0" borderId="5" xfId="0" applyNumberFormat="1" applyBorder="1" applyAlignment="1">
      <alignment vertical="center"/>
    </xf>
    <xf numFmtId="168" fontId="0" fillId="9" borderId="5" xfId="0" applyNumberFormat="1" applyFill="1" applyBorder="1" applyAlignment="1">
      <alignment horizontal="center" vertical="center"/>
    </xf>
    <xf numFmtId="168" fontId="0" fillId="3" borderId="6" xfId="0" applyNumberFormat="1" applyFill="1" applyBorder="1" applyAlignment="1">
      <alignment horizontal="center" vertical="center"/>
    </xf>
    <xf numFmtId="0" fontId="0" fillId="0" borderId="0" xfId="0" applyAlignment="1">
      <alignment horizontal="center" vertical="center"/>
    </xf>
    <xf numFmtId="0" fontId="0" fillId="9" borderId="7" xfId="0" applyFill="1" applyBorder="1" applyAlignment="1">
      <alignment vertical="center"/>
    </xf>
    <xf numFmtId="168" fontId="0" fillId="9" borderId="8" xfId="0" applyNumberFormat="1" applyFill="1" applyBorder="1" applyAlignment="1">
      <alignment vertical="center"/>
    </xf>
    <xf numFmtId="168" fontId="0" fillId="0" borderId="8" xfId="0" applyNumberFormat="1" applyBorder="1" applyAlignment="1">
      <alignment vertical="center"/>
    </xf>
    <xf numFmtId="0" fontId="0" fillId="0" borderId="8" xfId="0" applyBorder="1" applyAlignment="1">
      <alignment horizontal="center" vertical="center"/>
    </xf>
    <xf numFmtId="168" fontId="0" fillId="9" borderId="8" xfId="0" applyNumberFormat="1" applyFill="1" applyBorder="1" applyAlignment="1">
      <alignment horizontal="center" vertical="center"/>
    </xf>
    <xf numFmtId="168" fontId="0" fillId="3" borderId="9" xfId="0" applyNumberFormat="1" applyFill="1" applyBorder="1" applyAlignment="1">
      <alignment horizontal="center" vertical="center"/>
    </xf>
    <xf numFmtId="0" fontId="2" fillId="0" borderId="0" xfId="0" applyFont="1" applyAlignment="1">
      <alignment vertical="center"/>
    </xf>
    <xf numFmtId="0" fontId="27" fillId="0" borderId="0" xfId="0" applyFont="1" applyAlignment="1">
      <alignment horizontal="center" vertical="center"/>
    </xf>
    <xf numFmtId="0" fontId="2" fillId="0" borderId="10" xfId="0" applyFont="1" applyBorder="1" applyAlignment="1">
      <alignment vertical="center"/>
    </xf>
    <xf numFmtId="0" fontId="28" fillId="0" borderId="11" xfId="0" applyFont="1" applyBorder="1" applyAlignment="1">
      <alignment vertical="center"/>
    </xf>
    <xf numFmtId="44" fontId="0" fillId="0" borderId="5" xfId="1" applyFont="1" applyBorder="1" applyAlignment="1">
      <alignment vertical="center"/>
    </xf>
    <xf numFmtId="44" fontId="0" fillId="0" borderId="5" xfId="0" applyNumberFormat="1" applyBorder="1" applyAlignment="1">
      <alignment vertical="center"/>
    </xf>
    <xf numFmtId="0" fontId="0" fillId="9" borderId="5" xfId="0" applyFill="1" applyBorder="1" applyAlignment="1">
      <alignment horizontal="center" vertical="center"/>
    </xf>
    <xf numFmtId="0" fontId="0" fillId="0" borderId="5" xfId="0" applyBorder="1" applyAlignment="1">
      <alignment vertical="center"/>
    </xf>
    <xf numFmtId="8" fontId="2" fillId="3" borderId="5" xfId="0" applyNumberFormat="1" applyFont="1" applyFill="1" applyBorder="1" applyAlignment="1">
      <alignment vertical="center"/>
    </xf>
    <xf numFmtId="44" fontId="2" fillId="3" borderId="5" xfId="0" applyNumberFormat="1" applyFont="1" applyFill="1" applyBorder="1" applyAlignment="1">
      <alignment vertical="center"/>
    </xf>
    <xf numFmtId="44" fontId="28" fillId="3" borderId="5" xfId="0" applyNumberFormat="1" applyFont="1" applyFill="1" applyBorder="1" applyAlignment="1">
      <alignment vertical="center"/>
    </xf>
    <xf numFmtId="44" fontId="0" fillId="0" borderId="8" xfId="1" applyFont="1" applyBorder="1" applyAlignment="1">
      <alignment vertical="center"/>
    </xf>
    <xf numFmtId="44" fontId="0" fillId="0" borderId="8" xfId="0" applyNumberFormat="1" applyBorder="1" applyAlignment="1">
      <alignment vertical="center"/>
    </xf>
    <xf numFmtId="8" fontId="2" fillId="3" borderId="8" xfId="0" applyNumberFormat="1" applyFont="1" applyFill="1" applyBorder="1" applyAlignment="1">
      <alignment vertical="center"/>
    </xf>
    <xf numFmtId="17" fontId="0" fillId="0" borderId="4" xfId="0" applyNumberFormat="1" applyBorder="1" applyAlignment="1">
      <alignment horizontal="left" vertical="center"/>
    </xf>
    <xf numFmtId="164" fontId="0" fillId="0" borderId="5" xfId="1" applyNumberFormat="1" applyFont="1" applyBorder="1" applyAlignment="1">
      <alignment vertical="center"/>
    </xf>
    <xf numFmtId="164" fontId="0" fillId="0" borderId="5" xfId="0" applyNumberFormat="1" applyBorder="1" applyAlignment="1">
      <alignment vertical="center"/>
    </xf>
    <xf numFmtId="0" fontId="2" fillId="0" borderId="5" xfId="0" applyFont="1" applyBorder="1" applyAlignment="1">
      <alignment horizontal="center" vertical="center"/>
    </xf>
    <xf numFmtId="171" fontId="0" fillId="0" borderId="6" xfId="0" applyNumberFormat="1" applyBorder="1" applyAlignment="1">
      <alignment vertical="center"/>
    </xf>
    <xf numFmtId="17" fontId="0" fillId="0" borderId="7" xfId="0" applyNumberFormat="1" applyBorder="1" applyAlignment="1">
      <alignment horizontal="left" vertical="center"/>
    </xf>
    <xf numFmtId="164" fontId="0" fillId="0" borderId="8" xfId="1" applyNumberFormat="1" applyFont="1" applyBorder="1" applyAlignment="1">
      <alignment vertical="center"/>
    </xf>
    <xf numFmtId="164" fontId="0" fillId="0" borderId="8" xfId="0" applyNumberFormat="1" applyBorder="1" applyAlignment="1">
      <alignment vertical="center"/>
    </xf>
    <xf numFmtId="0" fontId="2" fillId="0" borderId="8" xfId="0" applyFont="1" applyBorder="1" applyAlignment="1">
      <alignment horizontal="center" vertical="center"/>
    </xf>
    <xf numFmtId="171" fontId="0" fillId="0" borderId="9" xfId="0" applyNumberFormat="1" applyBorder="1" applyAlignment="1">
      <alignment vertical="center"/>
    </xf>
    <xf numFmtId="44" fontId="0" fillId="0" borderId="6" xfId="0" applyNumberFormat="1" applyBorder="1" applyAlignment="1">
      <alignment horizontal="center" vertical="center"/>
    </xf>
    <xf numFmtId="44" fontId="0" fillId="0" borderId="6" xfId="0" applyNumberFormat="1" applyBorder="1" applyAlignment="1">
      <alignment vertical="center"/>
    </xf>
    <xf numFmtId="44" fontId="0" fillId="0" borderId="6" xfId="1" applyFont="1" applyBorder="1" applyAlignment="1">
      <alignment vertical="center"/>
    </xf>
    <xf numFmtId="44" fontId="0" fillId="0" borderId="9" xfId="1" applyFont="1" applyBorder="1" applyAlignment="1">
      <alignment vertical="center"/>
    </xf>
    <xf numFmtId="44" fontId="12" fillId="0" borderId="5" xfId="0" applyNumberFormat="1" applyFont="1" applyBorder="1" applyAlignment="1">
      <alignment horizontal="center" vertical="center"/>
    </xf>
    <xf numFmtId="9" fontId="12" fillId="0" borderId="5" xfId="1" applyNumberFormat="1" applyFont="1" applyBorder="1" applyAlignment="1">
      <alignment horizontal="center" vertical="center"/>
    </xf>
    <xf numFmtId="0" fontId="29" fillId="0" borderId="0" xfId="0" applyFont="1" applyAlignment="1">
      <alignment vertical="center"/>
    </xf>
    <xf numFmtId="0" fontId="29" fillId="0" borderId="12" xfId="0" applyFont="1" applyBorder="1" applyAlignment="1">
      <alignment vertical="center" wrapText="1"/>
    </xf>
    <xf numFmtId="0" fontId="29" fillId="0" borderId="14" xfId="0" applyFont="1" applyBorder="1" applyAlignment="1">
      <alignment horizontal="right" vertical="center" wrapText="1"/>
    </xf>
    <xf numFmtId="0" fontId="29" fillId="0" borderId="15" xfId="0" applyFont="1" applyBorder="1" applyAlignment="1">
      <alignment vertical="center" wrapText="1"/>
    </xf>
    <xf numFmtId="0" fontId="29" fillId="0" borderId="17" xfId="0" applyFont="1" applyBorder="1" applyAlignment="1">
      <alignment horizontal="right" vertical="center" wrapText="1"/>
    </xf>
    <xf numFmtId="10" fontId="29" fillId="0" borderId="17" xfId="0" applyNumberFormat="1" applyFont="1" applyBorder="1" applyAlignment="1">
      <alignment horizontal="right" vertical="center" wrapText="1"/>
    </xf>
    <xf numFmtId="0" fontId="29" fillId="0" borderId="23" xfId="0" applyFont="1" applyBorder="1" applyAlignment="1">
      <alignment vertical="center" wrapText="1"/>
    </xf>
    <xf numFmtId="10" fontId="29" fillId="0" borderId="25" xfId="0" applyNumberFormat="1" applyFont="1" applyBorder="1" applyAlignment="1">
      <alignment horizontal="right" vertical="center" wrapText="1"/>
    </xf>
    <xf numFmtId="0" fontId="31" fillId="4" borderId="34" xfId="4" applyFont="1" applyFill="1" applyBorder="1" applyAlignment="1">
      <alignment horizontal="centerContinuous" vertical="center"/>
    </xf>
    <xf numFmtId="0" fontId="32" fillId="4" borderId="36" xfId="0" applyFont="1" applyFill="1" applyBorder="1" applyAlignment="1">
      <alignment horizontal="centerContinuous" vertical="center"/>
    </xf>
    <xf numFmtId="0" fontId="32" fillId="4" borderId="35" xfId="0" applyFont="1" applyFill="1" applyBorder="1" applyAlignment="1">
      <alignment horizontal="centerContinuous" vertical="center"/>
    </xf>
    <xf numFmtId="0" fontId="32" fillId="0" borderId="0" xfId="0" applyFont="1" applyAlignment="1">
      <alignment vertical="center"/>
    </xf>
    <xf numFmtId="0" fontId="33" fillId="3" borderId="0" xfId="0" applyFont="1" applyFill="1" applyAlignment="1">
      <alignment horizontal="center" vertical="center"/>
    </xf>
    <xf numFmtId="0" fontId="34" fillId="0" borderId="1" xfId="4"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1" xfId="0" applyFont="1" applyBorder="1" applyAlignment="1">
      <alignment vertical="center"/>
    </xf>
    <xf numFmtId="0" fontId="32" fillId="0" borderId="37" xfId="0" applyFont="1" applyBorder="1" applyAlignment="1">
      <alignment vertical="center"/>
    </xf>
    <xf numFmtId="0" fontId="35" fillId="0" borderId="3" xfId="0" applyFont="1" applyBorder="1" applyAlignment="1">
      <alignment horizontal="center" vertical="center"/>
    </xf>
    <xf numFmtId="14" fontId="10" fillId="0" borderId="4" xfId="4" applyNumberFormat="1" applyBorder="1" applyAlignment="1">
      <alignment vertical="center"/>
    </xf>
    <xf numFmtId="0" fontId="32" fillId="0" borderId="38" xfId="0" applyFont="1" applyBorder="1" applyAlignment="1">
      <alignment vertical="center"/>
    </xf>
    <xf numFmtId="0" fontId="32" fillId="0" borderId="22" xfId="0" applyFont="1" applyBorder="1" applyAlignment="1">
      <alignment vertical="center"/>
    </xf>
    <xf numFmtId="0" fontId="32" fillId="0" borderId="4" xfId="0" applyFont="1" applyBorder="1" applyAlignment="1">
      <alignment vertical="center"/>
    </xf>
    <xf numFmtId="0" fontId="32" fillId="0" borderId="39" xfId="0" applyFont="1" applyBorder="1" applyAlignment="1">
      <alignment vertical="center"/>
    </xf>
    <xf numFmtId="0" fontId="32" fillId="0" borderId="6" xfId="0" applyFont="1" applyBorder="1" applyAlignment="1">
      <alignment vertical="center"/>
    </xf>
    <xf numFmtId="44" fontId="32" fillId="0" borderId="3" xfId="1" applyFont="1" applyBorder="1" applyAlignment="1">
      <alignment vertical="center"/>
    </xf>
    <xf numFmtId="0" fontId="29" fillId="0" borderId="4" xfId="0" applyFont="1" applyBorder="1" applyAlignment="1">
      <alignment vertical="center"/>
    </xf>
    <xf numFmtId="43" fontId="32" fillId="0" borderId="6" xfId="3" applyFont="1" applyBorder="1" applyAlignment="1">
      <alignment vertical="center"/>
    </xf>
    <xf numFmtId="172" fontId="32" fillId="0" borderId="6" xfId="2" applyNumberFormat="1" applyFont="1" applyBorder="1" applyAlignment="1">
      <alignment vertical="center"/>
    </xf>
    <xf numFmtId="0" fontId="36" fillId="0" borderId="4" xfId="0" applyFont="1" applyBorder="1" applyAlignment="1">
      <alignment vertical="center"/>
    </xf>
    <xf numFmtId="10" fontId="36" fillId="0" borderId="6" xfId="0" applyNumberFormat="1" applyFont="1" applyBorder="1" applyAlignment="1">
      <alignment vertical="center"/>
    </xf>
    <xf numFmtId="8" fontId="32" fillId="0" borderId="6" xfId="0" applyNumberFormat="1" applyFont="1" applyBorder="1" applyAlignment="1">
      <alignment vertical="center"/>
    </xf>
    <xf numFmtId="9" fontId="32" fillId="0" borderId="6" xfId="0" applyNumberFormat="1" applyFont="1" applyBorder="1" applyAlignment="1">
      <alignment vertical="center"/>
    </xf>
    <xf numFmtId="0" fontId="32" fillId="0" borderId="7" xfId="0" applyFont="1" applyBorder="1" applyAlignment="1">
      <alignment vertical="center"/>
    </xf>
    <xf numFmtId="0" fontId="32" fillId="0" borderId="40" xfId="0" applyFont="1" applyBorder="1" applyAlignment="1">
      <alignment vertical="center"/>
    </xf>
    <xf numFmtId="0" fontId="32" fillId="0" borderId="41" xfId="0" applyFont="1" applyBorder="1" applyAlignment="1">
      <alignment vertical="center"/>
    </xf>
    <xf numFmtId="0" fontId="32" fillId="0" borderId="42" xfId="0" applyFont="1" applyBorder="1" applyAlignment="1">
      <alignment vertical="center"/>
    </xf>
    <xf numFmtId="0" fontId="32" fillId="0" borderId="9" xfId="0" applyFont="1" applyBorder="1" applyAlignment="1">
      <alignment vertical="center"/>
    </xf>
    <xf numFmtId="0" fontId="34" fillId="5" borderId="10" xfId="4" applyFont="1" applyFill="1" applyBorder="1" applyAlignment="1">
      <alignment horizontal="center" vertical="center"/>
    </xf>
    <xf numFmtId="14" fontId="34" fillId="6" borderId="26" xfId="4" applyNumberFormat="1" applyFont="1" applyFill="1" applyBorder="1" applyAlignment="1" applyProtection="1">
      <alignment horizontal="center" vertical="center"/>
      <protection locked="0"/>
    </xf>
    <xf numFmtId="0" fontId="34" fillId="5" borderId="26" xfId="4" applyFont="1" applyFill="1" applyBorder="1" applyAlignment="1">
      <alignment horizontal="center" vertical="center"/>
    </xf>
    <xf numFmtId="0" fontId="34" fillId="5" borderId="43" xfId="4" applyFont="1" applyFill="1" applyBorder="1" applyAlignment="1">
      <alignment horizontal="center" vertical="center"/>
    </xf>
    <xf numFmtId="44" fontId="29" fillId="0" borderId="6" xfId="1" applyFont="1" applyFill="1" applyBorder="1" applyAlignment="1">
      <alignment vertical="center"/>
    </xf>
    <xf numFmtId="0" fontId="31" fillId="4" borderId="10" xfId="4" applyFont="1" applyFill="1" applyBorder="1" applyAlignment="1">
      <alignment horizontal="centerContinuous" vertical="center"/>
    </xf>
    <xf numFmtId="0" fontId="32" fillId="4" borderId="26" xfId="0" applyFont="1" applyFill="1" applyBorder="1" applyAlignment="1">
      <alignment horizontal="centerContinuous" vertical="center"/>
    </xf>
    <xf numFmtId="0" fontId="32" fillId="4" borderId="43" xfId="0" applyFont="1" applyFill="1" applyBorder="1" applyAlignment="1">
      <alignment horizontal="centerContinuous" vertical="center"/>
    </xf>
    <xf numFmtId="0" fontId="32" fillId="4" borderId="11" xfId="0" applyFont="1" applyFill="1" applyBorder="1" applyAlignment="1">
      <alignment horizontal="centerContinuous" vertical="center"/>
    </xf>
    <xf numFmtId="44" fontId="29" fillId="0" borderId="6" xfId="0" applyNumberFormat="1" applyFont="1" applyBorder="1" applyAlignment="1">
      <alignment vertical="center"/>
    </xf>
    <xf numFmtId="0" fontId="34" fillId="0" borderId="18" xfId="4" applyFont="1" applyBorder="1" applyAlignment="1">
      <alignment horizontal="center" vertical="center"/>
    </xf>
    <xf numFmtId="0" fontId="35" fillId="0" borderId="26" xfId="0" applyFont="1" applyBorder="1" applyAlignment="1">
      <alignment horizontal="center" vertical="center"/>
    </xf>
    <xf numFmtId="0" fontId="35" fillId="0" borderId="43" xfId="0" applyFont="1" applyBorder="1" applyAlignment="1">
      <alignment horizontal="center" vertical="center"/>
    </xf>
    <xf numFmtId="0" fontId="35" fillId="0" borderId="0" xfId="0" applyFont="1" applyAlignment="1">
      <alignment horizontal="center" vertical="center"/>
    </xf>
    <xf numFmtId="0" fontId="32" fillId="7" borderId="44" xfId="0" applyFont="1" applyFill="1" applyBorder="1" applyAlignment="1">
      <alignment vertical="center"/>
    </xf>
    <xf numFmtId="2" fontId="32" fillId="0" borderId="2" xfId="0" applyNumberFormat="1" applyFont="1" applyBorder="1" applyAlignment="1">
      <alignment vertical="center"/>
    </xf>
    <xf numFmtId="166" fontId="32" fillId="0" borderId="2" xfId="0" applyNumberFormat="1" applyFont="1" applyBorder="1" applyAlignment="1">
      <alignment horizontal="right" vertical="center"/>
    </xf>
    <xf numFmtId="44" fontId="36" fillId="0" borderId="45" xfId="1" applyFont="1" applyFill="1" applyBorder="1" applyAlignment="1">
      <alignment vertical="center"/>
    </xf>
    <xf numFmtId="44" fontId="36" fillId="0" borderId="46" xfId="1" applyFont="1" applyFill="1" applyBorder="1" applyAlignment="1">
      <alignment vertical="center"/>
    </xf>
    <xf numFmtId="44" fontId="32" fillId="7" borderId="3" xfId="1" applyFont="1" applyFill="1" applyBorder="1" applyAlignment="1">
      <alignment vertical="center"/>
    </xf>
    <xf numFmtId="0" fontId="37" fillId="0" borderId="4" xfId="0" applyFont="1" applyBorder="1" applyAlignment="1">
      <alignment vertical="center"/>
    </xf>
    <xf numFmtId="10" fontId="10" fillId="0" borderId="6" xfId="4" applyNumberFormat="1" applyBorder="1"/>
    <xf numFmtId="0" fontId="36" fillId="0" borderId="0" xfId="0" applyFont="1" applyAlignment="1">
      <alignment vertical="center"/>
    </xf>
    <xf numFmtId="0" fontId="32" fillId="0" borderId="47" xfId="0" applyFont="1" applyBorder="1" applyAlignment="1">
      <alignment vertical="center"/>
    </xf>
    <xf numFmtId="2" fontId="32" fillId="0" borderId="45" xfId="0" applyNumberFormat="1" applyFont="1" applyBorder="1" applyAlignment="1">
      <alignment vertical="center"/>
    </xf>
    <xf numFmtId="166" fontId="32" fillId="0" borderId="45" xfId="0" applyNumberFormat="1" applyFont="1" applyBorder="1" applyAlignment="1">
      <alignment horizontal="right" vertical="center"/>
    </xf>
    <xf numFmtId="44" fontId="32" fillId="0" borderId="45" xfId="1" applyFont="1" applyBorder="1" applyAlignment="1">
      <alignment vertical="center"/>
    </xf>
    <xf numFmtId="44" fontId="32" fillId="0" borderId="46" xfId="1" applyFont="1" applyBorder="1" applyAlignment="1">
      <alignment vertical="center"/>
    </xf>
    <xf numFmtId="44" fontId="32" fillId="7" borderId="48" xfId="1" applyFont="1" applyFill="1" applyBorder="1" applyAlignment="1">
      <alignment vertical="center"/>
    </xf>
    <xf numFmtId="10" fontId="32" fillId="0" borderId="6" xfId="0" applyNumberFormat="1" applyFont="1" applyBorder="1" applyAlignment="1">
      <alignment vertical="center"/>
    </xf>
    <xf numFmtId="2" fontId="38" fillId="0" borderId="45" xfId="0" applyNumberFormat="1" applyFont="1" applyBorder="1" applyAlignment="1">
      <alignment vertical="center"/>
    </xf>
    <xf numFmtId="166" fontId="38" fillId="0" borderId="45" xfId="0" applyNumberFormat="1" applyFont="1" applyBorder="1" applyAlignment="1">
      <alignment horizontal="right" vertical="center"/>
    </xf>
    <xf numFmtId="44" fontId="38" fillId="0" borderId="45" xfId="1" applyFont="1" applyFill="1" applyBorder="1" applyAlignment="1">
      <alignment vertical="center"/>
    </xf>
    <xf numFmtId="44" fontId="38" fillId="0" borderId="46" xfId="1" applyFont="1" applyFill="1" applyBorder="1" applyAlignment="1">
      <alignment vertical="center"/>
    </xf>
    <xf numFmtId="44" fontId="32" fillId="0" borderId="45" xfId="1" applyFont="1" applyFill="1" applyBorder="1" applyAlignment="1">
      <alignment vertical="center"/>
    </xf>
    <xf numFmtId="44" fontId="32" fillId="0" borderId="46" xfId="1" applyFont="1" applyFill="1" applyBorder="1" applyAlignment="1">
      <alignment vertical="center"/>
    </xf>
    <xf numFmtId="0" fontId="32" fillId="0" borderId="5" xfId="0" applyFont="1" applyBorder="1" applyAlignment="1">
      <alignment vertical="center"/>
    </xf>
    <xf numFmtId="44" fontId="32" fillId="0" borderId="5" xfId="1" applyFont="1" applyFill="1" applyBorder="1" applyAlignment="1">
      <alignment vertical="center"/>
    </xf>
    <xf numFmtId="44" fontId="32" fillId="0" borderId="38" xfId="1" applyFont="1" applyFill="1" applyBorder="1" applyAlignment="1">
      <alignment vertical="center"/>
    </xf>
    <xf numFmtId="44" fontId="32" fillId="7" borderId="6" xfId="0" applyNumberFormat="1" applyFont="1" applyFill="1" applyBorder="1" applyAlignment="1">
      <alignment vertical="center"/>
    </xf>
    <xf numFmtId="10" fontId="32" fillId="0" borderId="9" xfId="0" applyNumberFormat="1" applyFont="1" applyBorder="1" applyAlignment="1">
      <alignment vertical="center"/>
    </xf>
    <xf numFmtId="0" fontId="32" fillId="7" borderId="6" xfId="0" applyFont="1" applyFill="1" applyBorder="1" applyAlignment="1">
      <alignment vertical="center"/>
    </xf>
    <xf numFmtId="44" fontId="38" fillId="0" borderId="5" xfId="0" applyNumberFormat="1" applyFont="1" applyBorder="1" applyAlignment="1">
      <alignment vertical="center"/>
    </xf>
    <xf numFmtId="9" fontId="38" fillId="0" borderId="5" xfId="0" applyNumberFormat="1" applyFont="1" applyBorder="1" applyAlignment="1">
      <alignment vertical="center"/>
    </xf>
    <xf numFmtId="44" fontId="38" fillId="0" borderId="5" xfId="1" applyFont="1" applyFill="1" applyBorder="1" applyAlignment="1">
      <alignment vertical="center"/>
    </xf>
    <xf numFmtId="44" fontId="38" fillId="0" borderId="38" xfId="1" applyFont="1" applyFill="1" applyBorder="1" applyAlignment="1">
      <alignment vertical="center"/>
    </xf>
    <xf numFmtId="0" fontId="32" fillId="0" borderId="5" xfId="0" applyFont="1" applyBorder="1" applyAlignment="1">
      <alignment horizontal="center" vertical="center"/>
    </xf>
    <xf numFmtId="168" fontId="32" fillId="7" borderId="6" xfId="0" applyNumberFormat="1" applyFont="1" applyFill="1" applyBorder="1" applyAlignment="1">
      <alignment vertical="center"/>
    </xf>
    <xf numFmtId="0" fontId="39" fillId="0" borderId="0" xfId="0" applyFont="1" applyAlignment="1">
      <alignment vertical="center"/>
    </xf>
    <xf numFmtId="44" fontId="38" fillId="0" borderId="5" xfId="0" applyNumberFormat="1" applyFont="1" applyBorder="1" applyAlignment="1">
      <alignment horizontal="center" vertical="center"/>
    </xf>
    <xf numFmtId="0" fontId="32" fillId="0" borderId="0" xfId="0" applyFont="1" applyAlignment="1">
      <alignment horizontal="center" vertical="center"/>
    </xf>
    <xf numFmtId="0" fontId="32" fillId="0" borderId="19" xfId="0" applyFont="1" applyBorder="1" applyAlignment="1">
      <alignment vertical="center"/>
    </xf>
    <xf numFmtId="44" fontId="32" fillId="0" borderId="49" xfId="1" applyFont="1" applyFill="1" applyBorder="1" applyAlignment="1">
      <alignment vertical="center"/>
    </xf>
    <xf numFmtId="44" fontId="32" fillId="0" borderId="50" xfId="1" applyFont="1" applyFill="1" applyBorder="1" applyAlignment="1">
      <alignment vertical="center"/>
    </xf>
    <xf numFmtId="168" fontId="32" fillId="7" borderId="51" xfId="0" applyNumberFormat="1" applyFont="1" applyFill="1" applyBorder="1" applyAlignment="1">
      <alignment vertical="center"/>
    </xf>
    <xf numFmtId="44" fontId="36" fillId="0" borderId="52" xfId="1" applyFont="1" applyFill="1" applyBorder="1" applyAlignment="1">
      <alignment horizontal="right" vertical="center" wrapText="1"/>
    </xf>
    <xf numFmtId="9" fontId="29" fillId="0" borderId="19" xfId="0" applyNumberFormat="1" applyFont="1" applyBorder="1" applyAlignment="1">
      <alignment vertical="center"/>
    </xf>
    <xf numFmtId="44" fontId="29" fillId="0" borderId="49" xfId="1" applyFont="1" applyFill="1" applyBorder="1" applyAlignment="1">
      <alignment vertical="center"/>
    </xf>
    <xf numFmtId="44" fontId="29" fillId="0" borderId="50" xfId="1" applyFont="1" applyFill="1" applyBorder="1" applyAlignment="1">
      <alignment vertical="center"/>
    </xf>
    <xf numFmtId="44" fontId="32" fillId="7" borderId="41" xfId="1" applyFont="1" applyFill="1" applyBorder="1" applyAlignment="1">
      <alignment vertical="center"/>
    </xf>
    <xf numFmtId="44" fontId="29" fillId="0" borderId="15" xfId="1" applyFont="1" applyBorder="1" applyAlignment="1">
      <alignment vertical="center"/>
    </xf>
    <xf numFmtId="44" fontId="36" fillId="0" borderId="16" xfId="1" applyFont="1" applyFill="1" applyBorder="1" applyAlignment="1">
      <alignment horizontal="right" vertical="center" wrapText="1"/>
    </xf>
    <xf numFmtId="9" fontId="29" fillId="0" borderId="16" xfId="0" applyNumberFormat="1" applyFont="1" applyBorder="1" applyAlignment="1">
      <alignment vertical="center"/>
    </xf>
    <xf numFmtId="44" fontId="29" fillId="0" borderId="17" xfId="1" applyFont="1" applyFill="1" applyBorder="1" applyAlignment="1">
      <alignment vertical="center"/>
    </xf>
    <xf numFmtId="44" fontId="29" fillId="0" borderId="0" xfId="1" applyFont="1" applyFill="1" applyBorder="1" applyAlignment="1">
      <alignment vertical="center"/>
    </xf>
    <xf numFmtId="44" fontId="32" fillId="7" borderId="44" xfId="1" applyFont="1" applyFill="1" applyBorder="1" applyAlignment="1">
      <alignment vertical="center"/>
    </xf>
    <xf numFmtId="9" fontId="29" fillId="0" borderId="16" xfId="0" quotePrefix="1" applyNumberFormat="1" applyFont="1" applyBorder="1" applyAlignment="1">
      <alignment horizontal="center" vertical="center"/>
    </xf>
    <xf numFmtId="44" fontId="29" fillId="0" borderId="19" xfId="1" applyFont="1" applyBorder="1" applyAlignment="1">
      <alignment vertical="center"/>
    </xf>
    <xf numFmtId="10" fontId="29" fillId="0" borderId="16" xfId="3" applyNumberFormat="1" applyFont="1" applyFill="1" applyBorder="1" applyAlignment="1">
      <alignment vertical="center"/>
    </xf>
    <xf numFmtId="44" fontId="29" fillId="0" borderId="53" xfId="1" applyFont="1" applyFill="1" applyBorder="1" applyAlignment="1">
      <alignment vertical="center"/>
    </xf>
    <xf numFmtId="0" fontId="40" fillId="2" borderId="23" xfId="0" applyFont="1" applyFill="1" applyBorder="1" applyAlignment="1">
      <alignment horizontal="left" vertical="center" wrapText="1" readingOrder="1"/>
    </xf>
    <xf numFmtId="0" fontId="32" fillId="0" borderId="24" xfId="0" applyFont="1" applyBorder="1" applyAlignment="1">
      <alignment vertical="center"/>
    </xf>
    <xf numFmtId="0" fontId="32" fillId="0" borderId="54" xfId="0" applyFont="1" applyBorder="1" applyAlignment="1">
      <alignment vertical="center"/>
    </xf>
    <xf numFmtId="44" fontId="32" fillId="0" borderId="55" xfId="1" applyFont="1" applyFill="1" applyBorder="1" applyAlignment="1">
      <alignment vertical="center"/>
    </xf>
    <xf numFmtId="44" fontId="32" fillId="0" borderId="0" xfId="1" applyFont="1" applyFill="1" applyBorder="1" applyAlignment="1">
      <alignment vertical="center"/>
    </xf>
    <xf numFmtId="0" fontId="32" fillId="0" borderId="56" xfId="0" applyFont="1" applyBorder="1" applyAlignment="1">
      <alignment vertical="center"/>
    </xf>
    <xf numFmtId="0" fontId="36" fillId="2" borderId="13" xfId="0" applyFont="1" applyFill="1" applyBorder="1" applyAlignment="1">
      <alignment horizontal="right" vertical="center" wrapText="1"/>
    </xf>
    <xf numFmtId="0" fontId="41" fillId="2" borderId="13" xfId="0" applyFont="1" applyFill="1" applyBorder="1" applyAlignment="1">
      <alignment horizontal="left" vertical="center" wrapText="1" readingOrder="1"/>
    </xf>
    <xf numFmtId="0" fontId="41" fillId="2" borderId="57" xfId="0" applyFont="1" applyFill="1" applyBorder="1" applyAlignment="1">
      <alignment horizontal="left" vertical="center" wrapText="1" readingOrder="1"/>
    </xf>
    <xf numFmtId="0" fontId="41" fillId="2" borderId="58" xfId="0" applyFont="1" applyFill="1" applyBorder="1" applyAlignment="1">
      <alignment horizontal="left" vertical="center" wrapText="1" readingOrder="1"/>
    </xf>
    <xf numFmtId="44" fontId="41" fillId="2" borderId="59" xfId="0" applyNumberFormat="1" applyFont="1" applyFill="1" applyBorder="1" applyAlignment="1">
      <alignment horizontal="left" vertical="center" wrapText="1" readingOrder="1"/>
    </xf>
    <xf numFmtId="0" fontId="40" fillId="4" borderId="60" xfId="0" applyFont="1" applyFill="1" applyBorder="1" applyAlignment="1">
      <alignment horizontal="left" vertical="center" wrapText="1" readingOrder="1"/>
    </xf>
    <xf numFmtId="0" fontId="40" fillId="4" borderId="57" xfId="0" applyFont="1" applyFill="1" applyBorder="1" applyAlignment="1">
      <alignment horizontal="center" vertical="center" wrapText="1" readingOrder="1"/>
    </xf>
    <xf numFmtId="0" fontId="40" fillId="4" borderId="58" xfId="0" applyFont="1" applyFill="1" applyBorder="1" applyAlignment="1">
      <alignment horizontal="center" vertical="center" wrapText="1" readingOrder="1"/>
    </xf>
    <xf numFmtId="0" fontId="40" fillId="4" borderId="61" xfId="0" applyFont="1" applyFill="1" applyBorder="1" applyAlignment="1">
      <alignment horizontal="center" vertical="center" wrapText="1" readingOrder="1"/>
    </xf>
    <xf numFmtId="0" fontId="40" fillId="9" borderId="15" xfId="0" applyFont="1" applyFill="1" applyBorder="1" applyAlignment="1">
      <alignment horizontal="left" vertical="center" wrapText="1" readingOrder="1"/>
    </xf>
    <xf numFmtId="0" fontId="36" fillId="9" borderId="16" xfId="0" applyFont="1" applyFill="1" applyBorder="1" applyAlignment="1">
      <alignment horizontal="center" vertical="center" wrapText="1"/>
    </xf>
    <xf numFmtId="0" fontId="40" fillId="9" borderId="16" xfId="0" applyFont="1" applyFill="1" applyBorder="1" applyAlignment="1">
      <alignment horizontal="center" vertical="center" wrapText="1" readingOrder="1"/>
    </xf>
    <xf numFmtId="0" fontId="40" fillId="9" borderId="62" xfId="0" applyFont="1" applyFill="1" applyBorder="1" applyAlignment="1">
      <alignment horizontal="center" vertical="center" wrapText="1" readingOrder="1"/>
    </xf>
    <xf numFmtId="0" fontId="40" fillId="9" borderId="61" xfId="0" applyFont="1" applyFill="1" applyBorder="1" applyAlignment="1">
      <alignment horizontal="center" vertical="center" wrapText="1" readingOrder="1"/>
    </xf>
    <xf numFmtId="0" fontId="41" fillId="9" borderId="15" xfId="0" applyFont="1" applyFill="1" applyBorder="1" applyAlignment="1">
      <alignment horizontal="left" vertical="center" wrapText="1" readingOrder="1"/>
    </xf>
    <xf numFmtId="44" fontId="36" fillId="9" borderId="16" xfId="1" applyFont="1" applyFill="1" applyBorder="1" applyAlignment="1">
      <alignment horizontal="right" vertical="center" wrapText="1"/>
    </xf>
    <xf numFmtId="0" fontId="36" fillId="9" borderId="16" xfId="0" applyFont="1" applyFill="1" applyBorder="1" applyAlignment="1">
      <alignment vertical="center" wrapText="1"/>
    </xf>
    <xf numFmtId="44" fontId="36" fillId="9" borderId="16" xfId="1" applyFont="1" applyFill="1" applyBorder="1" applyAlignment="1">
      <alignment vertical="center" wrapText="1"/>
    </xf>
    <xf numFmtId="9" fontId="36" fillId="9" borderId="62" xfId="1" applyNumberFormat="1" applyFont="1" applyFill="1" applyBorder="1" applyAlignment="1">
      <alignment vertical="center" wrapText="1"/>
    </xf>
    <xf numFmtId="44" fontId="36" fillId="9" borderId="61" xfId="1" applyFont="1" applyFill="1" applyBorder="1" applyAlignment="1">
      <alignment horizontal="right" vertical="center" wrapText="1"/>
    </xf>
    <xf numFmtId="10" fontId="32" fillId="0" borderId="0" xfId="2" applyNumberFormat="1" applyFont="1" applyAlignment="1">
      <alignment vertical="center"/>
    </xf>
    <xf numFmtId="0" fontId="32" fillId="9" borderId="0" xfId="0" applyFont="1" applyFill="1" applyAlignment="1">
      <alignment vertical="center"/>
    </xf>
    <xf numFmtId="10" fontId="41" fillId="9" borderId="16" xfId="0" applyNumberFormat="1" applyFont="1" applyFill="1" applyBorder="1" applyAlignment="1">
      <alignment horizontal="center" vertical="center" wrapText="1" readingOrder="1"/>
    </xf>
    <xf numFmtId="44" fontId="41" fillId="9" borderId="16" xfId="1" applyFont="1" applyFill="1" applyBorder="1" applyAlignment="1">
      <alignment horizontal="right" vertical="center" wrapText="1" readingOrder="1"/>
    </xf>
    <xf numFmtId="10" fontId="32" fillId="9" borderId="0" xfId="0" applyNumberFormat="1" applyFont="1" applyFill="1" applyAlignment="1">
      <alignment vertical="center"/>
    </xf>
    <xf numFmtId="10" fontId="41" fillId="9" borderId="62" xfId="1" applyNumberFormat="1" applyFont="1" applyFill="1" applyBorder="1" applyAlignment="1">
      <alignment horizontal="right" vertical="center" wrapText="1" readingOrder="1"/>
    </xf>
    <xf numFmtId="44" fontId="41" fillId="9" borderId="62" xfId="1" applyFont="1" applyFill="1" applyBorder="1" applyAlignment="1">
      <alignment horizontal="right" vertical="center" wrapText="1" readingOrder="1"/>
    </xf>
    <xf numFmtId="10" fontId="36" fillId="9" borderId="62" xfId="1" applyNumberFormat="1" applyFont="1" applyFill="1" applyBorder="1" applyAlignment="1">
      <alignment horizontal="right" vertical="center" wrapText="1"/>
    </xf>
    <xf numFmtId="0" fontId="41" fillId="9" borderId="16" xfId="0" applyFont="1" applyFill="1" applyBorder="1" applyAlignment="1">
      <alignment horizontal="center" vertical="center" wrapText="1" readingOrder="1"/>
    </xf>
    <xf numFmtId="165" fontId="41" fillId="9" borderId="16" xfId="0" applyNumberFormat="1" applyFont="1" applyFill="1" applyBorder="1" applyAlignment="1">
      <alignment horizontal="center" vertical="center" wrapText="1" readingOrder="1"/>
    </xf>
    <xf numFmtId="165" fontId="36" fillId="9" borderId="62" xfId="1" applyNumberFormat="1" applyFont="1" applyFill="1" applyBorder="1" applyAlignment="1">
      <alignment horizontal="right" vertical="center" wrapText="1"/>
    </xf>
    <xf numFmtId="44" fontId="36" fillId="9" borderId="62" xfId="1" applyFont="1" applyFill="1" applyBorder="1" applyAlignment="1">
      <alignment horizontal="right" vertical="center" wrapText="1"/>
    </xf>
    <xf numFmtId="8" fontId="32" fillId="0" borderId="0" xfId="0" applyNumberFormat="1" applyFont="1" applyAlignment="1">
      <alignment vertical="center"/>
    </xf>
    <xf numFmtId="8" fontId="36" fillId="9" borderId="61" xfId="1" applyNumberFormat="1" applyFont="1" applyFill="1" applyBorder="1" applyAlignment="1">
      <alignment horizontal="right" vertical="center" wrapText="1"/>
    </xf>
    <xf numFmtId="0" fontId="42" fillId="9" borderId="15" xfId="0" applyFont="1" applyFill="1" applyBorder="1" applyAlignment="1">
      <alignment horizontal="left" vertical="center" wrapText="1" readingOrder="1"/>
    </xf>
    <xf numFmtId="0" fontId="40" fillId="2" borderId="15" xfId="0" applyFont="1" applyFill="1" applyBorder="1" applyAlignment="1">
      <alignment horizontal="left" vertical="center" wrapText="1" readingOrder="1"/>
    </xf>
    <xf numFmtId="44" fontId="36" fillId="2" borderId="16" xfId="1" applyFont="1" applyFill="1" applyBorder="1" applyAlignment="1">
      <alignment horizontal="right" vertical="center" wrapText="1"/>
    </xf>
    <xf numFmtId="10" fontId="41" fillId="2" borderId="16" xfId="0" applyNumberFormat="1" applyFont="1" applyFill="1" applyBorder="1" applyAlignment="1">
      <alignment horizontal="center" vertical="center" wrapText="1" readingOrder="1"/>
    </xf>
    <xf numFmtId="44" fontId="36" fillId="2" borderId="61" xfId="1" applyFont="1" applyFill="1" applyBorder="1" applyAlignment="1">
      <alignment horizontal="right" vertical="center" wrapText="1"/>
    </xf>
    <xf numFmtId="0" fontId="42" fillId="2" borderId="15" xfId="0" applyFont="1" applyFill="1" applyBorder="1" applyAlignment="1">
      <alignment horizontal="left" vertical="center" wrapText="1" readingOrder="1"/>
    </xf>
    <xf numFmtId="44" fontId="41" fillId="2" borderId="62" xfId="1" applyFont="1" applyFill="1" applyBorder="1" applyAlignment="1">
      <alignment horizontal="right" vertical="center" wrapText="1" readingOrder="1"/>
    </xf>
    <xf numFmtId="0" fontId="35" fillId="0" borderId="63" xfId="0" applyFont="1" applyBorder="1" applyAlignment="1">
      <alignment vertical="center"/>
    </xf>
    <xf numFmtId="0" fontId="32" fillId="0" borderId="63" xfId="0" applyFont="1" applyBorder="1" applyAlignment="1">
      <alignment vertical="center"/>
    </xf>
    <xf numFmtId="44" fontId="41" fillId="2" borderId="16" xfId="1" applyFont="1" applyFill="1" applyBorder="1" applyAlignment="1">
      <alignment horizontal="right" vertical="center" wrapText="1" readingOrder="1"/>
    </xf>
    <xf numFmtId="8" fontId="32" fillId="0" borderId="61" xfId="0" applyNumberFormat="1" applyFont="1" applyBorder="1" applyAlignment="1">
      <alignment vertical="center"/>
    </xf>
    <xf numFmtId="0" fontId="32" fillId="0" borderId="64" xfId="0" applyFont="1" applyBorder="1" applyAlignment="1">
      <alignment vertical="center"/>
    </xf>
    <xf numFmtId="0" fontId="40" fillId="2" borderId="16" xfId="0" applyFont="1" applyFill="1" applyBorder="1" applyAlignment="1">
      <alignment horizontal="center" vertical="center" wrapText="1" readingOrder="1"/>
    </xf>
    <xf numFmtId="44" fontId="40" fillId="2" borderId="16" xfId="1" applyFont="1" applyFill="1" applyBorder="1" applyAlignment="1">
      <alignment horizontal="right" vertical="center" wrapText="1" readingOrder="1"/>
    </xf>
    <xf numFmtId="44" fontId="40" fillId="2" borderId="65" xfId="1" applyFont="1" applyFill="1" applyBorder="1" applyAlignment="1">
      <alignment horizontal="right" vertical="center" wrapText="1" readingOrder="1"/>
    </xf>
    <xf numFmtId="44" fontId="40" fillId="2" borderId="66" xfId="1" applyFont="1" applyFill="1" applyBorder="1" applyAlignment="1">
      <alignment horizontal="right" vertical="center" wrapText="1" readingOrder="1"/>
    </xf>
    <xf numFmtId="0" fontId="41" fillId="2" borderId="15" xfId="0" applyFont="1" applyFill="1" applyBorder="1" applyAlignment="1">
      <alignment horizontal="left" vertical="center" wrapText="1" readingOrder="1"/>
    </xf>
    <xf numFmtId="43" fontId="41" fillId="2" borderId="16" xfId="3" applyFont="1" applyFill="1" applyBorder="1" applyAlignment="1">
      <alignment horizontal="right" vertical="center" wrapText="1" readingOrder="1"/>
    </xf>
    <xf numFmtId="44" fontId="36" fillId="2" borderId="67" xfId="1" applyFont="1" applyFill="1" applyBorder="1" applyAlignment="1">
      <alignment horizontal="right" vertical="center" wrapText="1"/>
    </xf>
    <xf numFmtId="0" fontId="43" fillId="0" borderId="15" xfId="0" applyFont="1" applyBorder="1" applyAlignment="1">
      <alignment horizontal="left" vertical="center" wrapText="1" readingOrder="1"/>
    </xf>
    <xf numFmtId="44" fontId="41" fillId="0" borderId="16" xfId="1" applyFont="1" applyFill="1" applyBorder="1" applyAlignment="1">
      <alignment horizontal="right" vertical="center" wrapText="1" readingOrder="1"/>
    </xf>
    <xf numFmtId="0" fontId="40" fillId="0" borderId="16" xfId="0" applyFont="1" applyBorder="1" applyAlignment="1">
      <alignment horizontal="center" vertical="center" wrapText="1" readingOrder="1"/>
    </xf>
    <xf numFmtId="44" fontId="40" fillId="0" borderId="16" xfId="1" applyFont="1" applyFill="1" applyBorder="1" applyAlignment="1">
      <alignment horizontal="right" vertical="center" wrapText="1" readingOrder="1"/>
    </xf>
    <xf numFmtId="44" fontId="40" fillId="0" borderId="0" xfId="1" applyFont="1" applyFill="1" applyBorder="1" applyAlignment="1">
      <alignment horizontal="right" vertical="center" wrapText="1" readingOrder="1"/>
    </xf>
    <xf numFmtId="44" fontId="44" fillId="0" borderId="68" xfId="1" applyFont="1" applyFill="1" applyBorder="1" applyAlignment="1">
      <alignment horizontal="right" vertical="center" wrapText="1"/>
    </xf>
    <xf numFmtId="0" fontId="40" fillId="0" borderId="15" xfId="0" applyFont="1" applyBorder="1" applyAlignment="1">
      <alignment horizontal="left" vertical="center" wrapText="1" readingOrder="1"/>
    </xf>
    <xf numFmtId="44" fontId="40" fillId="0" borderId="16" xfId="1" applyFont="1" applyFill="1" applyBorder="1" applyAlignment="1">
      <alignment horizontal="center" vertical="center" wrapText="1" readingOrder="1"/>
    </xf>
    <xf numFmtId="44" fontId="40" fillId="0" borderId="62" xfId="1" applyFont="1" applyFill="1" applyBorder="1" applyAlignment="1">
      <alignment horizontal="center" vertical="center" wrapText="1" readingOrder="1"/>
    </xf>
    <xf numFmtId="44" fontId="36" fillId="0" borderId="61" xfId="1" applyFont="1" applyFill="1" applyBorder="1" applyAlignment="1">
      <alignment horizontal="right" vertical="center" wrapText="1"/>
    </xf>
    <xf numFmtId="0" fontId="40" fillId="0" borderId="16" xfId="0" applyFont="1" applyBorder="1" applyAlignment="1">
      <alignment horizontal="center" vertical="center" readingOrder="1"/>
    </xf>
    <xf numFmtId="44" fontId="40" fillId="0" borderId="61" xfId="1" applyFont="1" applyFill="1" applyBorder="1" applyAlignment="1">
      <alignment horizontal="center" vertical="center" wrapText="1" readingOrder="1"/>
    </xf>
    <xf numFmtId="0" fontId="41" fillId="0" borderId="15" xfId="0" applyFont="1" applyBorder="1" applyAlignment="1">
      <alignment horizontal="left" vertical="center" wrapText="1" readingOrder="1"/>
    </xf>
    <xf numFmtId="0" fontId="41" fillId="0" borderId="16" xfId="0" applyFont="1" applyBorder="1" applyAlignment="1">
      <alignment horizontal="center" vertical="center" wrapText="1" readingOrder="1"/>
    </xf>
    <xf numFmtId="44" fontId="40" fillId="0" borderId="16" xfId="0" applyNumberFormat="1" applyFont="1" applyBorder="1" applyAlignment="1">
      <alignment horizontal="center" vertical="center" wrapText="1" readingOrder="1"/>
    </xf>
    <xf numFmtId="0" fontId="40" fillId="0" borderId="62" xfId="0" applyFont="1" applyBorder="1" applyAlignment="1">
      <alignment horizontal="center" vertical="center" wrapText="1" readingOrder="1"/>
    </xf>
    <xf numFmtId="44" fontId="36" fillId="0" borderId="61" xfId="0" applyNumberFormat="1" applyFont="1" applyBorder="1" applyAlignment="1">
      <alignment horizontal="center" vertical="center" wrapText="1"/>
    </xf>
    <xf numFmtId="44" fontId="41" fillId="0" borderId="16" xfId="0" applyNumberFormat="1" applyFont="1" applyBorder="1" applyAlignment="1">
      <alignment horizontal="center" vertical="center" wrapText="1" readingOrder="1"/>
    </xf>
    <xf numFmtId="10" fontId="40" fillId="0" borderId="16" xfId="0" applyNumberFormat="1" applyFont="1" applyBorder="1" applyAlignment="1">
      <alignment horizontal="center" vertical="center" wrapText="1" readingOrder="1"/>
    </xf>
    <xf numFmtId="0" fontId="40" fillId="0" borderId="61" xfId="0" applyFont="1" applyBorder="1" applyAlignment="1">
      <alignment horizontal="center" vertical="center" wrapText="1" readingOrder="1"/>
    </xf>
    <xf numFmtId="0" fontId="35" fillId="0" borderId="16" xfId="0" applyFont="1" applyBorder="1" applyAlignment="1">
      <alignment horizontal="center" vertical="center" wrapText="1" readingOrder="1"/>
    </xf>
    <xf numFmtId="0" fontId="45" fillId="0" borderId="23" xfId="4" applyFont="1" applyBorder="1" applyAlignment="1">
      <alignment horizontal="center" vertical="center"/>
    </xf>
    <xf numFmtId="0" fontId="46" fillId="0" borderId="24" xfId="4" applyFont="1" applyBorder="1" applyAlignment="1">
      <alignment horizontal="center" vertical="center"/>
    </xf>
    <xf numFmtId="0" fontId="46" fillId="0" borderId="54" xfId="4" applyFont="1" applyBorder="1" applyAlignment="1">
      <alignment horizontal="center" vertical="center"/>
    </xf>
    <xf numFmtId="44" fontId="44" fillId="2" borderId="67" xfId="0" applyNumberFormat="1" applyFont="1" applyFill="1" applyBorder="1" applyAlignment="1">
      <alignment horizontal="center" vertical="center" wrapText="1"/>
    </xf>
    <xf numFmtId="0" fontId="7" fillId="2" borderId="1" xfId="0" applyFont="1" applyFill="1" applyBorder="1" applyAlignment="1">
      <alignment vertical="center" wrapText="1"/>
    </xf>
    <xf numFmtId="173" fontId="7" fillId="2" borderId="2" xfId="2" applyNumberFormat="1" applyFont="1" applyFill="1" applyBorder="1" applyAlignment="1">
      <alignment horizontal="right" vertical="center"/>
    </xf>
    <xf numFmtId="8" fontId="48" fillId="2" borderId="3" xfId="0" applyNumberFormat="1" applyFont="1" applyFill="1" applyBorder="1" applyAlignment="1">
      <alignment horizontal="right" vertical="center"/>
    </xf>
    <xf numFmtId="0" fontId="7" fillId="2" borderId="4" xfId="0" applyFont="1" applyFill="1" applyBorder="1" applyAlignment="1">
      <alignment vertical="center" wrapText="1"/>
    </xf>
    <xf numFmtId="173" fontId="7" fillId="2" borderId="5" xfId="2" applyNumberFormat="1" applyFont="1" applyFill="1" applyBorder="1" applyAlignment="1">
      <alignment horizontal="right" vertical="center"/>
    </xf>
    <xf numFmtId="44" fontId="48" fillId="2" borderId="6" xfId="1" applyFont="1" applyFill="1" applyBorder="1" applyAlignment="1">
      <alignment horizontal="right" vertical="center"/>
    </xf>
    <xf numFmtId="168" fontId="32" fillId="0" borderId="5" xfId="0" applyNumberFormat="1" applyFont="1" applyBorder="1" applyAlignment="1">
      <alignment vertical="center"/>
    </xf>
    <xf numFmtId="10" fontId="32" fillId="0" borderId="5" xfId="0" applyNumberFormat="1" applyFont="1" applyBorder="1" applyAlignment="1">
      <alignment vertical="center"/>
    </xf>
    <xf numFmtId="168" fontId="32" fillId="0" borderId="6" xfId="0" applyNumberFormat="1" applyFont="1" applyBorder="1" applyAlignment="1">
      <alignment vertical="center"/>
    </xf>
    <xf numFmtId="168" fontId="32" fillId="0" borderId="8" xfId="0" applyNumberFormat="1" applyFont="1" applyBorder="1" applyAlignment="1">
      <alignment vertical="center"/>
    </xf>
    <xf numFmtId="10" fontId="32" fillId="0" borderId="8" xfId="0" applyNumberFormat="1" applyFont="1" applyBorder="1" applyAlignment="1">
      <alignment vertical="center"/>
    </xf>
    <xf numFmtId="168" fontId="32" fillId="0" borderId="9" xfId="0" applyNumberFormat="1" applyFont="1" applyBorder="1" applyAlignment="1">
      <alignment vertical="center"/>
    </xf>
    <xf numFmtId="0" fontId="32" fillId="0" borderId="10" xfId="0" applyFont="1" applyBorder="1" applyAlignment="1">
      <alignment vertical="center"/>
    </xf>
    <xf numFmtId="0" fontId="32" fillId="0" borderId="26" xfId="0" applyFont="1" applyBorder="1" applyAlignment="1">
      <alignment vertical="center"/>
    </xf>
    <xf numFmtId="44" fontId="43" fillId="3" borderId="11" xfId="0" applyNumberFormat="1" applyFont="1" applyFill="1" applyBorder="1" applyAlignment="1">
      <alignment vertical="center"/>
    </xf>
    <xf numFmtId="0" fontId="32" fillId="0" borderId="12" xfId="0" applyFont="1" applyBorder="1" applyAlignment="1">
      <alignment vertical="center"/>
    </xf>
    <xf numFmtId="44" fontId="32" fillId="0" borderId="16" xfId="0" applyNumberFormat="1" applyFont="1" applyBorder="1" applyAlignment="1">
      <alignment vertical="center"/>
    </xf>
    <xf numFmtId="10" fontId="32" fillId="0" borderId="13" xfId="0" applyNumberFormat="1" applyFont="1" applyBorder="1" applyAlignment="1">
      <alignment vertical="center"/>
    </xf>
    <xf numFmtId="44" fontId="32" fillId="0" borderId="14" xfId="0" applyNumberFormat="1" applyFont="1" applyBorder="1" applyAlignment="1">
      <alignment vertical="center"/>
    </xf>
    <xf numFmtId="0" fontId="32" fillId="0" borderId="15" xfId="0" applyFont="1" applyBorder="1" applyAlignment="1">
      <alignment vertical="center"/>
    </xf>
    <xf numFmtId="10" fontId="32" fillId="0" borderId="16" xfId="0" applyNumberFormat="1" applyFont="1" applyBorder="1" applyAlignment="1">
      <alignment vertical="center"/>
    </xf>
    <xf numFmtId="44" fontId="32" fillId="0" borderId="17" xfId="0" applyNumberFormat="1" applyFont="1" applyBorder="1" applyAlignment="1">
      <alignment vertical="center"/>
    </xf>
    <xf numFmtId="168" fontId="41" fillId="2" borderId="16" xfId="0" applyNumberFormat="1" applyFont="1" applyFill="1" applyBorder="1" applyAlignment="1">
      <alignment horizontal="right" vertical="center" wrapText="1" readingOrder="1"/>
    </xf>
    <xf numFmtId="10" fontId="41" fillId="2" borderId="16" xfId="0" applyNumberFormat="1" applyFont="1" applyFill="1" applyBorder="1" applyAlignment="1">
      <alignment horizontal="right" vertical="center" wrapText="1" readingOrder="1"/>
    </xf>
    <xf numFmtId="8" fontId="41" fillId="2" borderId="16" xfId="0" applyNumberFormat="1" applyFont="1" applyFill="1" applyBorder="1" applyAlignment="1">
      <alignment horizontal="right" vertical="center" wrapText="1" readingOrder="1"/>
    </xf>
    <xf numFmtId="0" fontId="35" fillId="0" borderId="23" xfId="0" applyFont="1" applyBorder="1" applyAlignment="1">
      <alignment vertical="center"/>
    </xf>
    <xf numFmtId="44" fontId="32" fillId="0" borderId="24" xfId="0" applyNumberFormat="1" applyFont="1" applyBorder="1" applyAlignment="1">
      <alignment vertical="center"/>
    </xf>
    <xf numFmtId="169" fontId="32" fillId="0" borderId="24" xfId="0" applyNumberFormat="1" applyFont="1" applyBorder="1" applyAlignment="1">
      <alignment vertical="center"/>
    </xf>
    <xf numFmtId="44" fontId="43" fillId="3" borderId="25" xfId="1" applyFont="1" applyFill="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8" fontId="29" fillId="0" borderId="14" xfId="1" applyNumberFormat="1" applyFont="1" applyBorder="1" applyAlignment="1">
      <alignment vertical="center"/>
    </xf>
    <xf numFmtId="0" fontId="29" fillId="0" borderId="15" xfId="0" applyFont="1" applyBorder="1" applyAlignment="1">
      <alignment vertical="center"/>
    </xf>
    <xf numFmtId="43" fontId="29" fillId="0" borderId="16" xfId="0" applyNumberFormat="1" applyFont="1" applyBorder="1" applyAlignment="1">
      <alignment vertical="center"/>
    </xf>
    <xf numFmtId="8" fontId="32" fillId="0" borderId="16" xfId="0" applyNumberFormat="1" applyFont="1" applyBorder="1" applyAlignment="1">
      <alignment vertical="center"/>
    </xf>
    <xf numFmtId="44" fontId="29" fillId="0" borderId="17" xfId="1" applyFont="1" applyBorder="1" applyAlignment="1">
      <alignment vertical="center"/>
    </xf>
    <xf numFmtId="44" fontId="29" fillId="0" borderId="16" xfId="0" applyNumberFormat="1" applyFont="1" applyBorder="1" applyAlignment="1">
      <alignment vertical="center"/>
    </xf>
    <xf numFmtId="0" fontId="37" fillId="0" borderId="23" xfId="0" applyFont="1" applyBorder="1" applyAlignment="1">
      <alignment vertical="center"/>
    </xf>
    <xf numFmtId="0" fontId="29" fillId="0" borderId="24" xfId="0" applyFont="1" applyBorder="1" applyAlignment="1">
      <alignment vertical="center"/>
    </xf>
    <xf numFmtId="44" fontId="30" fillId="3" borderId="25" xfId="1" applyFont="1" applyFill="1" applyBorder="1" applyAlignment="1">
      <alignment vertical="center"/>
    </xf>
    <xf numFmtId="0" fontId="7" fillId="0" borderId="12" xfId="0" applyFont="1" applyBorder="1" applyAlignment="1">
      <alignment vertical="center"/>
    </xf>
    <xf numFmtId="44" fontId="7" fillId="0" borderId="13" xfId="0" applyNumberFormat="1" applyFont="1" applyBorder="1" applyAlignment="1">
      <alignment vertical="center"/>
    </xf>
    <xf numFmtId="10" fontId="7" fillId="0" borderId="13" xfId="0" applyNumberFormat="1" applyFont="1" applyBorder="1" applyAlignment="1">
      <alignment vertical="center"/>
    </xf>
    <xf numFmtId="44" fontId="7" fillId="0" borderId="14" xfId="0" applyNumberFormat="1" applyFont="1" applyBorder="1" applyAlignment="1">
      <alignment vertical="center"/>
    </xf>
    <xf numFmtId="0" fontId="7" fillId="0" borderId="15" xfId="0" applyFont="1" applyBorder="1" applyAlignment="1">
      <alignment vertical="center"/>
    </xf>
    <xf numFmtId="44" fontId="7" fillId="0" borderId="16" xfId="0" applyNumberFormat="1" applyFont="1" applyBorder="1" applyAlignment="1">
      <alignment vertical="center"/>
    </xf>
    <xf numFmtId="10" fontId="7" fillId="0" borderId="16" xfId="0" applyNumberFormat="1" applyFont="1" applyBorder="1" applyAlignment="1">
      <alignment vertical="center"/>
    </xf>
    <xf numFmtId="44" fontId="7" fillId="0" borderId="17" xfId="0" applyNumberFormat="1" applyFont="1" applyBorder="1" applyAlignment="1">
      <alignment vertical="center"/>
    </xf>
    <xf numFmtId="10" fontId="7" fillId="0" borderId="16" xfId="2" applyNumberFormat="1" applyFont="1" applyBorder="1" applyAlignment="1">
      <alignment vertical="center"/>
    </xf>
    <xf numFmtId="0" fontId="7" fillId="0" borderId="16" xfId="0" applyFont="1" applyBorder="1" applyAlignment="1">
      <alignment vertical="center"/>
    </xf>
    <xf numFmtId="169" fontId="7" fillId="0" borderId="16" xfId="0" applyNumberFormat="1" applyFont="1" applyBorder="1" applyAlignment="1">
      <alignment vertical="center"/>
    </xf>
    <xf numFmtId="0" fontId="7" fillId="0" borderId="17" xfId="0" applyFont="1" applyBorder="1" applyAlignment="1">
      <alignment vertical="center"/>
    </xf>
    <xf numFmtId="0" fontId="7" fillId="0" borderId="23" xfId="0" applyFont="1" applyBorder="1" applyAlignment="1">
      <alignment vertical="center"/>
    </xf>
    <xf numFmtId="44" fontId="7" fillId="0" borderId="24" xfId="0" applyNumberFormat="1" applyFont="1" applyBorder="1" applyAlignment="1">
      <alignment vertical="center"/>
    </xf>
    <xf numFmtId="169" fontId="7" fillId="0" borderId="24" xfId="0" applyNumberFormat="1" applyFont="1" applyBorder="1" applyAlignment="1">
      <alignment vertical="center"/>
    </xf>
    <xf numFmtId="44" fontId="7" fillId="0" borderId="25" xfId="1" applyFont="1" applyBorder="1" applyAlignment="1">
      <alignment vertical="center"/>
    </xf>
    <xf numFmtId="0" fontId="7" fillId="0" borderId="72" xfId="0" applyFont="1" applyBorder="1" applyAlignment="1">
      <alignment vertical="center"/>
    </xf>
    <xf numFmtId="44" fontId="7" fillId="0" borderId="0" xfId="0" applyNumberFormat="1" applyFont="1" applyAlignment="1">
      <alignment vertical="center"/>
    </xf>
    <xf numFmtId="169" fontId="7" fillId="0" borderId="0" xfId="0" applyNumberFormat="1" applyFont="1" applyAlignment="1">
      <alignment vertical="center"/>
    </xf>
    <xf numFmtId="44" fontId="7" fillId="0" borderId="0" xfId="1" applyFont="1" applyBorder="1" applyAlignment="1">
      <alignment vertical="center"/>
    </xf>
    <xf numFmtId="0" fontId="40" fillId="3" borderId="72" xfId="0" applyFont="1" applyFill="1" applyBorder="1" applyAlignment="1">
      <alignment horizontal="left" vertical="center" wrapText="1" readingOrder="1"/>
    </xf>
    <xf numFmtId="0" fontId="49" fillId="0" borderId="1" xfId="0" applyFont="1" applyBorder="1" applyAlignment="1">
      <alignment horizontal="justify" vertical="center"/>
    </xf>
    <xf numFmtId="44" fontId="36" fillId="0" borderId="2" xfId="1" applyFont="1" applyFill="1" applyBorder="1" applyAlignment="1">
      <alignment horizontal="right" vertical="center"/>
    </xf>
    <xf numFmtId="8" fontId="32" fillId="0" borderId="3" xfId="0" applyNumberFormat="1" applyFont="1" applyBorder="1" applyAlignment="1">
      <alignment vertical="center"/>
    </xf>
    <xf numFmtId="0" fontId="49" fillId="0" borderId="4" xfId="0" applyFont="1" applyBorder="1" applyAlignment="1">
      <alignment vertical="center"/>
    </xf>
    <xf numFmtId="44" fontId="32" fillId="0" borderId="5" xfId="1" applyFont="1" applyBorder="1" applyAlignment="1">
      <alignment vertical="center"/>
    </xf>
    <xf numFmtId="9" fontId="32" fillId="0" borderId="5" xfId="0" applyNumberFormat="1" applyFont="1" applyBorder="1" applyAlignment="1">
      <alignment vertical="center"/>
    </xf>
    <xf numFmtId="44" fontId="32" fillId="0" borderId="6" xfId="0" applyNumberFormat="1" applyFont="1" applyBorder="1" applyAlignment="1">
      <alignment vertical="center"/>
    </xf>
    <xf numFmtId="0" fontId="49" fillId="0" borderId="7" xfId="0" applyFont="1" applyBorder="1" applyAlignment="1">
      <alignment vertical="center"/>
    </xf>
    <xf numFmtId="44" fontId="32" fillId="0" borderId="8" xfId="1" applyFont="1" applyBorder="1" applyAlignment="1">
      <alignment vertical="center"/>
    </xf>
    <xf numFmtId="0" fontId="32" fillId="0" borderId="8" xfId="0" applyFont="1" applyBorder="1" applyAlignment="1">
      <alignment vertical="center"/>
    </xf>
    <xf numFmtId="8" fontId="32" fillId="0" borderId="9" xfId="0" applyNumberFormat="1" applyFont="1" applyBorder="1" applyAlignment="1">
      <alignment vertical="center"/>
    </xf>
    <xf numFmtId="0" fontId="40" fillId="3" borderId="12" xfId="0" applyFont="1" applyFill="1" applyBorder="1" applyAlignment="1">
      <alignment horizontal="left" vertical="center" wrapText="1" readingOrder="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18" fillId="2" borderId="15" xfId="0" applyFont="1" applyFill="1" applyBorder="1" applyAlignment="1">
      <alignment horizontal="left" vertical="center" wrapText="1" readingOrder="1"/>
    </xf>
    <xf numFmtId="0" fontId="32" fillId="0" borderId="16" xfId="0" applyFont="1" applyBorder="1" applyAlignment="1">
      <alignment vertical="center"/>
    </xf>
    <xf numFmtId="0" fontId="18" fillId="2" borderId="17" xfId="0" applyFont="1" applyFill="1" applyBorder="1" applyAlignment="1">
      <alignment horizontal="right" vertical="center" wrapText="1" readingOrder="1"/>
    </xf>
    <xf numFmtId="44" fontId="18" fillId="2" borderId="17" xfId="0" applyNumberFormat="1" applyFont="1" applyFill="1" applyBorder="1" applyAlignment="1">
      <alignment horizontal="right" vertical="center" wrapText="1" readingOrder="1"/>
    </xf>
    <xf numFmtId="165" fontId="32" fillId="0" borderId="16" xfId="0" applyNumberFormat="1" applyFont="1" applyBorder="1" applyAlignment="1">
      <alignment vertical="center"/>
    </xf>
    <xf numFmtId="44" fontId="18" fillId="2" borderId="17" xfId="1" applyFont="1" applyFill="1" applyBorder="1" applyAlignment="1">
      <alignment horizontal="right" vertical="center" wrapText="1" readingOrder="1"/>
    </xf>
    <xf numFmtId="0" fontId="17" fillId="2" borderId="23" xfId="0" applyFont="1" applyFill="1" applyBorder="1" applyAlignment="1">
      <alignment horizontal="left" vertical="center" wrapText="1" readingOrder="1"/>
    </xf>
    <xf numFmtId="44" fontId="18" fillId="2" borderId="25" xfId="1" applyFont="1" applyFill="1" applyBorder="1" applyAlignment="1">
      <alignment horizontal="right" vertical="center" wrapText="1" readingOrder="1"/>
    </xf>
    <xf numFmtId="44" fontId="0" fillId="9" borderId="5" xfId="1" applyFont="1" applyFill="1" applyBorder="1" applyAlignment="1">
      <alignment horizontal="center" vertical="center"/>
    </xf>
    <xf numFmtId="0" fontId="32" fillId="0" borderId="0" xfId="0" applyFont="1"/>
    <xf numFmtId="0" fontId="35" fillId="0" borderId="0" xfId="0" applyFont="1" applyAlignment="1">
      <alignment horizontal="center"/>
    </xf>
    <xf numFmtId="44" fontId="17" fillId="2" borderId="5" xfId="0" applyNumberFormat="1" applyFont="1" applyFill="1" applyBorder="1" applyAlignment="1">
      <alignment horizontal="left" vertical="center" wrapText="1" readingOrder="1"/>
    </xf>
    <xf numFmtId="0" fontId="8" fillId="0" borderId="0" xfId="0" applyFont="1" applyAlignment="1">
      <alignment vertical="center"/>
    </xf>
    <xf numFmtId="44" fontId="28" fillId="0" borderId="6" xfId="0" applyNumberFormat="1" applyFont="1" applyBorder="1" applyAlignment="1">
      <alignment horizontal="center" vertical="center"/>
    </xf>
    <xf numFmtId="44" fontId="0" fillId="9" borderId="5" xfId="1" applyFont="1" applyFill="1" applyBorder="1" applyAlignment="1">
      <alignment vertical="center"/>
    </xf>
    <xf numFmtId="0" fontId="4" fillId="0" borderId="0" xfId="0" applyFont="1" applyAlignment="1">
      <alignment horizontal="center"/>
    </xf>
    <xf numFmtId="0" fontId="0" fillId="0" borderId="8" xfId="0" applyBorder="1" applyAlignment="1">
      <alignment horizontal="center" vertical="center" wrapText="1"/>
    </xf>
    <xf numFmtId="0" fontId="0" fillId="0" borderId="8" xfId="0"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3" borderId="0" xfId="0" applyFont="1" applyFill="1" applyAlignment="1">
      <alignment horizontal="center" vertical="center"/>
    </xf>
    <xf numFmtId="0" fontId="3" fillId="0" borderId="0" xfId="0" applyFont="1" applyAlignment="1">
      <alignment horizontal="center"/>
    </xf>
    <xf numFmtId="0" fontId="2" fillId="3" borderId="5" xfId="0" applyFont="1" applyFill="1" applyBorder="1" applyAlignment="1">
      <alignment horizontal="center"/>
    </xf>
    <xf numFmtId="0" fontId="0" fillId="0" borderId="6" xfId="0" applyBorder="1" applyAlignment="1">
      <alignment horizontal="center"/>
    </xf>
    <xf numFmtId="0" fontId="40" fillId="3" borderId="69" xfId="0" applyFont="1" applyFill="1" applyBorder="1" applyAlignment="1">
      <alignment horizontal="left" vertical="center" wrapText="1" readingOrder="1"/>
    </xf>
    <xf numFmtId="0" fontId="0" fillId="0" borderId="70" xfId="0" applyBorder="1" applyAlignment="1">
      <alignment horizontal="left" vertical="center" wrapText="1" readingOrder="1"/>
    </xf>
    <xf numFmtId="0" fontId="0" fillId="0" borderId="71" xfId="0" applyBorder="1" applyAlignment="1">
      <alignment horizontal="left" vertical="center" wrapText="1" readingOrder="1"/>
    </xf>
    <xf numFmtId="0" fontId="27" fillId="3" borderId="0" xfId="0" applyFont="1" applyFill="1" applyAlignment="1">
      <alignment horizontal="center" vertical="center"/>
    </xf>
    <xf numFmtId="0" fontId="0" fillId="3" borderId="0" xfId="0" applyFill="1" applyAlignment="1">
      <alignment horizontal="center" vertical="center"/>
    </xf>
    <xf numFmtId="0" fontId="30" fillId="0" borderId="34" xfId="0" applyFont="1" applyBorder="1" applyAlignment="1">
      <alignment horizontal="center" vertical="center"/>
    </xf>
    <xf numFmtId="0" fontId="29" fillId="0" borderId="35" xfId="0" applyFont="1" applyBorder="1" applyAlignment="1">
      <alignment vertical="center"/>
    </xf>
    <xf numFmtId="14" fontId="34" fillId="6" borderId="26" xfId="4" applyNumberFormat="1" applyFont="1" applyFill="1" applyBorder="1" applyAlignment="1" applyProtection="1">
      <alignment horizontal="center" vertical="center"/>
      <protection locked="0"/>
    </xf>
    <xf numFmtId="0" fontId="1" fillId="0" borderId="26" xfId="0" applyFont="1" applyBorder="1" applyAlignment="1">
      <alignment vertical="center"/>
    </xf>
    <xf numFmtId="0" fontId="47" fillId="3" borderId="30" xfId="0" applyFont="1" applyFill="1" applyBorder="1" applyAlignment="1">
      <alignment horizontal="left" vertical="center" wrapText="1" readingOrder="1"/>
    </xf>
    <xf numFmtId="0" fontId="1" fillId="0" borderId="0" xfId="0" applyFont="1" applyAlignment="1">
      <alignment vertical="center"/>
    </xf>
    <xf numFmtId="44" fontId="7" fillId="2" borderId="2" xfId="1" applyFont="1" applyFill="1" applyBorder="1" applyAlignment="1">
      <alignment horizontal="center" vertical="center" wrapText="1"/>
    </xf>
    <xf numFmtId="0" fontId="1" fillId="0" borderId="5" xfId="0" applyFont="1" applyBorder="1" applyAlignment="1">
      <alignment vertical="center" wrapText="1"/>
    </xf>
    <xf numFmtId="0" fontId="43" fillId="3" borderId="27" xfId="0" applyFont="1" applyFill="1" applyBorder="1" applyAlignment="1">
      <alignment horizontal="left" vertical="center" wrapText="1" readingOrder="1"/>
    </xf>
    <xf numFmtId="0" fontId="43" fillId="3" borderId="28" xfId="0" applyFont="1" applyFill="1" applyBorder="1" applyAlignment="1">
      <alignment horizontal="left" vertical="center" wrapText="1" readingOrder="1"/>
    </xf>
    <xf numFmtId="0" fontId="43" fillId="3" borderId="29" xfId="0" applyFont="1" applyFill="1" applyBorder="1" applyAlignment="1">
      <alignment horizontal="left" vertical="center" wrapText="1" readingOrder="1"/>
    </xf>
    <xf numFmtId="0" fontId="23" fillId="3" borderId="30" xfId="0" applyFont="1" applyFill="1" applyBorder="1" applyAlignment="1">
      <alignment horizontal="left" vertical="center" wrapText="1" readingOrder="1"/>
    </xf>
    <xf numFmtId="0" fontId="12" fillId="0" borderId="0" xfId="0" applyFont="1" applyAlignment="1">
      <alignment vertical="center"/>
    </xf>
    <xf numFmtId="44" fontId="8" fillId="2" borderId="13" xfId="0" applyNumberFormat="1"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24" xfId="0" applyFont="1" applyFill="1" applyBorder="1" applyAlignment="1">
      <alignment horizontal="right" vertical="center" wrapText="1"/>
    </xf>
    <xf numFmtId="165" fontId="8" fillId="2" borderId="13" xfId="0" applyNumberFormat="1" applyFont="1" applyFill="1" applyBorder="1" applyAlignment="1">
      <alignment horizontal="center" vertical="center" wrapText="1"/>
    </xf>
    <xf numFmtId="0" fontId="12" fillId="0" borderId="16" xfId="0" applyFont="1" applyBorder="1" applyAlignment="1">
      <alignment vertical="center" wrapText="1"/>
    </xf>
    <xf numFmtId="0" fontId="12" fillId="0" borderId="24" xfId="0" applyFont="1" applyBorder="1" applyAlignment="1">
      <alignment vertical="center" wrapText="1"/>
    </xf>
    <xf numFmtId="8" fontId="9" fillId="2" borderId="14" xfId="0" applyNumberFormat="1" applyFont="1" applyFill="1" applyBorder="1" applyAlignment="1">
      <alignment horizontal="right" vertical="center" wrapText="1"/>
    </xf>
    <xf numFmtId="8" fontId="9" fillId="2" borderId="17" xfId="0" applyNumberFormat="1" applyFont="1" applyFill="1" applyBorder="1" applyAlignment="1">
      <alignment horizontal="right" vertical="center" wrapText="1"/>
    </xf>
    <xf numFmtId="8" fontId="9" fillId="2" borderId="25" xfId="0" applyNumberFormat="1" applyFont="1" applyFill="1" applyBorder="1" applyAlignment="1">
      <alignment horizontal="right" vertical="center" wrapText="1"/>
    </xf>
    <xf numFmtId="0" fontId="20" fillId="3" borderId="12" xfId="0" applyFont="1" applyFill="1" applyBorder="1" applyAlignment="1">
      <alignment horizontal="left" vertical="center" wrapText="1" readingOrder="1"/>
    </xf>
    <xf numFmtId="0" fontId="20" fillId="3" borderId="13" xfId="0" applyFont="1" applyFill="1" applyBorder="1" applyAlignment="1">
      <alignment horizontal="left" vertical="center" wrapText="1" readingOrder="1"/>
    </xf>
    <xf numFmtId="0" fontId="20" fillId="3" borderId="14" xfId="0" applyFont="1" applyFill="1" applyBorder="1" applyAlignment="1">
      <alignment horizontal="left" vertical="center" wrapText="1" readingOrder="1"/>
    </xf>
    <xf numFmtId="0" fontId="20" fillId="3" borderId="27" xfId="0" applyFont="1" applyFill="1" applyBorder="1" applyAlignment="1">
      <alignment horizontal="left" vertical="center" wrapText="1" readingOrder="1"/>
    </xf>
    <xf numFmtId="0" fontId="20" fillId="3" borderId="28" xfId="0" applyFont="1" applyFill="1" applyBorder="1" applyAlignment="1">
      <alignment horizontal="left" vertical="center" wrapText="1" readingOrder="1"/>
    </xf>
    <xf numFmtId="0" fontId="20" fillId="3" borderId="29" xfId="0" applyFont="1" applyFill="1" applyBorder="1" applyAlignment="1">
      <alignment horizontal="left" vertical="center" wrapText="1" readingOrder="1"/>
    </xf>
    <xf numFmtId="14" fontId="13" fillId="6" borderId="5" xfId="4" applyNumberFormat="1" applyFont="1" applyFill="1" applyBorder="1" applyAlignment="1" applyProtection="1">
      <alignment horizontal="center" vertical="center"/>
      <protection locked="0"/>
    </xf>
    <xf numFmtId="0" fontId="12" fillId="0" borderId="5" xfId="0" applyFont="1" applyBorder="1" applyAlignment="1">
      <alignment vertical="center"/>
    </xf>
    <xf numFmtId="0" fontId="12" fillId="0" borderId="6" xfId="0" applyFont="1" applyBorder="1" applyAlignment="1">
      <alignment vertical="center"/>
    </xf>
    <xf numFmtId="44" fontId="40" fillId="0" borderId="73" xfId="1" applyFont="1" applyFill="1" applyBorder="1" applyAlignment="1">
      <alignment horizontal="center" vertical="center" readingOrder="1"/>
    </xf>
    <xf numFmtId="0" fontId="0" fillId="0" borderId="74" xfId="0" applyBorder="1" applyAlignment="1">
      <alignment horizontal="center" vertical="center" readingOrder="1"/>
    </xf>
    <xf numFmtId="44" fontId="15" fillId="2" borderId="13" xfId="0" applyNumberFormat="1" applyFont="1" applyFill="1" applyBorder="1" applyAlignment="1">
      <alignment horizontal="right" vertical="center" wrapText="1"/>
    </xf>
    <xf numFmtId="0" fontId="15" fillId="2" borderId="16" xfId="0" applyFont="1" applyFill="1" applyBorder="1" applyAlignment="1">
      <alignment horizontal="right" vertical="center" wrapText="1"/>
    </xf>
    <xf numFmtId="0" fontId="15" fillId="2" borderId="24" xfId="0" applyFont="1" applyFill="1" applyBorder="1" applyAlignment="1">
      <alignment horizontal="right" vertical="center" wrapText="1"/>
    </xf>
    <xf numFmtId="8" fontId="17" fillId="2" borderId="14" xfId="0" applyNumberFormat="1" applyFont="1" applyFill="1" applyBorder="1" applyAlignment="1">
      <alignment horizontal="right" vertical="center" wrapText="1"/>
    </xf>
    <xf numFmtId="8" fontId="17" fillId="2" borderId="17" xfId="0" applyNumberFormat="1" applyFont="1" applyFill="1" applyBorder="1" applyAlignment="1">
      <alignment horizontal="right" vertical="center" wrapText="1"/>
    </xf>
    <xf numFmtId="8" fontId="17" fillId="2" borderId="25" xfId="0" applyNumberFormat="1" applyFont="1" applyFill="1" applyBorder="1" applyAlignment="1">
      <alignment horizontal="right" vertical="center" wrapText="1"/>
    </xf>
  </cellXfs>
  <cellStyles count="5">
    <cellStyle name="Milliers" xfId="3" builtinId="3"/>
    <cellStyle name="Monétaire" xfId="1" builtinId="4"/>
    <cellStyle name="Normal" xfId="0" builtinId="0"/>
    <cellStyle name="Normal_Fiche de paie TEPA plus 20 salariés" xfId="4" xr:uid="{33D184B8-70E4-4D3A-8D17-A8F5BE1C22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85724</xdr:colOff>
      <xdr:row>0</xdr:row>
      <xdr:rowOff>123825</xdr:rowOff>
    </xdr:from>
    <xdr:to>
      <xdr:col>6</xdr:col>
      <xdr:colOff>295274</xdr:colOff>
      <xdr:row>11</xdr:row>
      <xdr:rowOff>0</xdr:rowOff>
    </xdr:to>
    <xdr:sp macro="" textlink="">
      <xdr:nvSpPr>
        <xdr:cNvPr id="2" name="ZoneTexte 1">
          <a:extLst>
            <a:ext uri="{FF2B5EF4-FFF2-40B4-BE49-F238E27FC236}">
              <a16:creationId xmlns:a16="http://schemas.microsoft.com/office/drawing/2014/main" id="{372204B3-99AF-4F93-BE4E-07729930CEC2}"/>
            </a:ext>
          </a:extLst>
        </xdr:cNvPr>
        <xdr:cNvSpPr txBox="1"/>
      </xdr:nvSpPr>
      <xdr:spPr>
        <a:xfrm>
          <a:off x="85724" y="123825"/>
          <a:ext cx="69437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Le sujet du cas figure sur cet onglet et les  onglets suivants </a:t>
          </a:r>
        </a:p>
        <a:p>
          <a:endParaRPr lang="fr-FR" sz="1200" b="1"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Il s'agit de calculer et présenter </a:t>
          </a:r>
          <a:r>
            <a:rPr lang="fr-FR" sz="1100" b="1" baseline="0">
              <a:solidFill>
                <a:schemeClr val="dk1"/>
              </a:solidFill>
              <a:effectLst/>
              <a:latin typeface="+mn-lt"/>
              <a:ea typeface="+mn-ea"/>
              <a:cs typeface="+mn-cs"/>
            </a:rPr>
            <a:t>les bulletins de paie dans les onglets suivants. Utilisez vos maquettes de bulletins.</a:t>
          </a:r>
          <a:endParaRPr lang="fr-FR" sz="1200">
            <a:effectLst/>
          </a:endParaRPr>
        </a:p>
        <a:p>
          <a:endParaRPr lang="fr-FR" sz="1200" b="1" baseline="0"/>
        </a:p>
        <a:p>
          <a:r>
            <a:rPr lang="fr-FR" sz="1200" b="1" baseline="0"/>
            <a:t>Prenez l'habitude de détailler sur la feuille du bulletin ou une feuille intercalaire, les calculs importants tels la réduction générale de cotisations, les éventuels calculs de tranches de salaires,  les rubriques d'autres contributions dues à l'employeur, dont évolution de la rémunération .......</a:t>
          </a:r>
        </a:p>
        <a:p>
          <a:endParaRPr lang="fr-FR" sz="1200" b="1" baseline="0"/>
        </a:p>
        <a:p>
          <a:r>
            <a:rPr lang="fr-FR" sz="1200" b="1" baseline="0"/>
            <a:t>N'en faites pas de trop, il s'agit simplement de présenter au jury le type de calcul que vous avez utilisé et afin qu'il comprenne votre raisonnement.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638175</xdr:colOff>
      <xdr:row>9</xdr:row>
      <xdr:rowOff>219074</xdr:rowOff>
    </xdr:from>
    <xdr:to>
      <xdr:col>16</xdr:col>
      <xdr:colOff>266700</xdr:colOff>
      <xdr:row>18</xdr:row>
      <xdr:rowOff>123825</xdr:rowOff>
    </xdr:to>
    <xdr:sp macro="" textlink="">
      <xdr:nvSpPr>
        <xdr:cNvPr id="2" name="ZoneTexte 1">
          <a:extLst>
            <a:ext uri="{FF2B5EF4-FFF2-40B4-BE49-F238E27FC236}">
              <a16:creationId xmlns:a16="http://schemas.microsoft.com/office/drawing/2014/main" id="{D165F948-6267-4AAB-BDDD-CD9209B59D4B}"/>
            </a:ext>
          </a:extLst>
        </xdr:cNvPr>
        <xdr:cNvSpPr txBox="1"/>
      </xdr:nvSpPr>
      <xdr:spPr>
        <a:xfrm>
          <a:off x="8582025" y="2095499"/>
          <a:ext cx="6115050" cy="180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DONNEES</a:t>
          </a:r>
          <a:r>
            <a:rPr lang="fr-FR" sz="1400" b="1" baseline="0"/>
            <a:t> A SAISIR :</a:t>
          </a:r>
        </a:p>
        <a:p>
          <a:r>
            <a:rPr lang="fr-FR" sz="1400" b="1" baseline="0"/>
            <a:t>	Les salaires bruts</a:t>
          </a:r>
        </a:p>
        <a:p>
          <a:r>
            <a:rPr lang="fr-FR" sz="1400" b="1" baseline="0"/>
            <a:t>	Les montants mensuels de SMIC</a:t>
          </a:r>
        </a:p>
        <a:p>
          <a:endParaRPr lang="fr-FR" sz="1400" b="1" baseline="0"/>
        </a:p>
        <a:p>
          <a:r>
            <a:rPr lang="fr-FR" sz="1600" b="1" baseline="0">
              <a:solidFill>
                <a:srgbClr val="FF0000"/>
              </a:solidFill>
            </a:rPr>
            <a:t>NB : Ce tableau s'applique à des salaires cumulés ne dépassant jamais 4 plafonds mensuels soit 13 712 euros mensuels</a:t>
          </a:r>
        </a:p>
      </xdr:txBody>
    </xdr:sp>
    <xdr:clientData/>
  </xdr:twoCellAnchor>
  <xdr:twoCellAnchor>
    <xdr:from>
      <xdr:col>11</xdr:col>
      <xdr:colOff>400050</xdr:colOff>
      <xdr:row>28</xdr:row>
      <xdr:rowOff>0</xdr:rowOff>
    </xdr:from>
    <xdr:to>
      <xdr:col>16</xdr:col>
      <xdr:colOff>371475</xdr:colOff>
      <xdr:row>29</xdr:row>
      <xdr:rowOff>85725</xdr:rowOff>
    </xdr:to>
    <xdr:sp macro="" textlink="">
      <xdr:nvSpPr>
        <xdr:cNvPr id="3" name="ZoneTexte 2">
          <a:extLst>
            <a:ext uri="{FF2B5EF4-FFF2-40B4-BE49-F238E27FC236}">
              <a16:creationId xmlns:a16="http://schemas.microsoft.com/office/drawing/2014/main" id="{5A4D45FB-3D55-4007-9EE6-C7CA6F216C68}"/>
            </a:ext>
          </a:extLst>
        </xdr:cNvPr>
        <xdr:cNvSpPr txBox="1"/>
      </xdr:nvSpPr>
      <xdr:spPr>
        <a:xfrm>
          <a:off x="11010900" y="5810250"/>
          <a:ext cx="37909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2,5 SMIC</a:t>
          </a:r>
        </a:p>
      </xdr:txBody>
    </xdr:sp>
    <xdr:clientData/>
  </xdr:twoCellAnchor>
  <xdr:twoCellAnchor>
    <xdr:from>
      <xdr:col>13</xdr:col>
      <xdr:colOff>152400</xdr:colOff>
      <xdr:row>45</xdr:row>
      <xdr:rowOff>0</xdr:rowOff>
    </xdr:from>
    <xdr:to>
      <xdr:col>18</xdr:col>
      <xdr:colOff>133350</xdr:colOff>
      <xdr:row>46</xdr:row>
      <xdr:rowOff>123825</xdr:rowOff>
    </xdr:to>
    <xdr:sp macro="" textlink="">
      <xdr:nvSpPr>
        <xdr:cNvPr id="4" name="ZoneTexte 3">
          <a:extLst>
            <a:ext uri="{FF2B5EF4-FFF2-40B4-BE49-F238E27FC236}">
              <a16:creationId xmlns:a16="http://schemas.microsoft.com/office/drawing/2014/main" id="{30F7DC51-8388-4512-859C-A1F219B4BD23}"/>
            </a:ext>
          </a:extLst>
        </xdr:cNvPr>
        <xdr:cNvSpPr txBox="1"/>
      </xdr:nvSpPr>
      <xdr:spPr>
        <a:xfrm>
          <a:off x="12296775" y="9553575"/>
          <a:ext cx="37909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cumuls de salaires mensuels sont supérieurs à 3,5 SMIC</a:t>
          </a:r>
        </a:p>
      </xdr:txBody>
    </xdr:sp>
    <xdr:clientData/>
  </xdr:twoCellAnchor>
  <xdr:twoCellAnchor>
    <xdr:from>
      <xdr:col>9</xdr:col>
      <xdr:colOff>647700</xdr:colOff>
      <xdr:row>63</xdr:row>
      <xdr:rowOff>190500</xdr:rowOff>
    </xdr:from>
    <xdr:to>
      <xdr:col>14</xdr:col>
      <xdr:colOff>428625</xdr:colOff>
      <xdr:row>65</xdr:row>
      <xdr:rowOff>0</xdr:rowOff>
    </xdr:to>
    <xdr:sp macro="" textlink="">
      <xdr:nvSpPr>
        <xdr:cNvPr id="5" name="ZoneTexte 4">
          <a:extLst>
            <a:ext uri="{FF2B5EF4-FFF2-40B4-BE49-F238E27FC236}">
              <a16:creationId xmlns:a16="http://schemas.microsoft.com/office/drawing/2014/main" id="{1D06FF0D-A4C7-41B5-80C4-BAAAFF5152C5}"/>
            </a:ext>
          </a:extLst>
        </xdr:cNvPr>
        <xdr:cNvSpPr txBox="1"/>
      </xdr:nvSpPr>
      <xdr:spPr>
        <a:xfrm>
          <a:off x="9505950" y="14744700"/>
          <a:ext cx="38290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FF0000"/>
              </a:solidFill>
            </a:rPr>
            <a:t>Ce tableau est à utiliser si les salaires varient d'un mois sur l'autre</a:t>
          </a:r>
        </a:p>
      </xdr:txBody>
    </xdr:sp>
    <xdr:clientData/>
  </xdr:twoCellAnchor>
  <xdr:twoCellAnchor>
    <xdr:from>
      <xdr:col>0</xdr:col>
      <xdr:colOff>9524</xdr:colOff>
      <xdr:row>0</xdr:row>
      <xdr:rowOff>38100</xdr:rowOff>
    </xdr:from>
    <xdr:to>
      <xdr:col>9</xdr:col>
      <xdr:colOff>466725</xdr:colOff>
      <xdr:row>2</xdr:row>
      <xdr:rowOff>57150</xdr:rowOff>
    </xdr:to>
    <xdr:sp macro="" textlink="">
      <xdr:nvSpPr>
        <xdr:cNvPr id="6" name="ZoneTexte 5">
          <a:extLst>
            <a:ext uri="{FF2B5EF4-FFF2-40B4-BE49-F238E27FC236}">
              <a16:creationId xmlns:a16="http://schemas.microsoft.com/office/drawing/2014/main" id="{E6371554-E4D2-4D19-AFC0-85BFB3FA4A8B}"/>
            </a:ext>
          </a:extLst>
        </xdr:cNvPr>
        <xdr:cNvSpPr txBox="1"/>
      </xdr:nvSpPr>
      <xdr:spPr>
        <a:xfrm>
          <a:off x="9524" y="38100"/>
          <a:ext cx="9315451"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rgbClr val="FF0000"/>
              </a:solidFill>
            </a:rPr>
            <a:t>Vérifiez</a:t>
          </a:r>
          <a:r>
            <a:rPr lang="fr-FR" sz="1800" b="1" baseline="0">
              <a:solidFill>
                <a:srgbClr val="FF0000"/>
              </a:solidFill>
            </a:rPr>
            <a:t> les montants de SMIC et de plafond car s'ils sont erronés vos résultats les seront aussi </a:t>
          </a:r>
          <a:endParaRPr lang="fr-FR" sz="1800" b="1">
            <a:solidFill>
              <a:srgbClr val="FF0000"/>
            </a:solidFill>
          </a:endParaRPr>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M27"/>
  <sheetViews>
    <sheetView topLeftCell="A13" workbookViewId="0">
      <selection activeCell="C24" sqref="C24"/>
    </sheetView>
  </sheetViews>
  <sheetFormatPr baseColWidth="10" defaultRowHeight="15" x14ac:dyDescent="0.25"/>
  <cols>
    <col min="1" max="1" width="39.140625" bestFit="1" customWidth="1"/>
    <col min="2" max="2" width="16.140625" customWidth="1"/>
  </cols>
  <sheetData>
    <row r="15" spans="1:6" ht="23.25" x14ac:dyDescent="0.35">
      <c r="A15" s="536" t="s">
        <v>16</v>
      </c>
      <c r="B15" s="536"/>
      <c r="C15" s="536"/>
      <c r="D15" s="536"/>
      <c r="E15" s="536"/>
      <c r="F15" s="536"/>
    </row>
    <row r="16" spans="1:6" ht="24.75" customHeight="1" thickBot="1" x14ac:dyDescent="0.3"/>
    <row r="17" spans="1:13" s="1" customFormat="1" ht="26.25" customHeight="1" x14ac:dyDescent="0.25">
      <c r="A17" s="13"/>
      <c r="B17" s="6" t="s">
        <v>0</v>
      </c>
      <c r="C17" s="6" t="s">
        <v>1</v>
      </c>
      <c r="D17" s="6" t="s">
        <v>2</v>
      </c>
      <c r="E17" s="6" t="s">
        <v>3</v>
      </c>
      <c r="F17" s="7" t="s">
        <v>4</v>
      </c>
      <c r="H17"/>
      <c r="I17"/>
      <c r="J17"/>
      <c r="K17"/>
      <c r="L17"/>
      <c r="M17"/>
    </row>
    <row r="18" spans="1:13" s="1" customFormat="1" ht="26.25" customHeight="1" x14ac:dyDescent="0.25">
      <c r="A18" s="14" t="s">
        <v>5</v>
      </c>
      <c r="B18" s="36" t="s">
        <v>228</v>
      </c>
      <c r="C18" s="36" t="s">
        <v>229</v>
      </c>
      <c r="D18" s="36" t="s">
        <v>230</v>
      </c>
      <c r="E18" s="36" t="s">
        <v>231</v>
      </c>
      <c r="F18" s="37" t="s">
        <v>232</v>
      </c>
      <c r="H18"/>
      <c r="I18"/>
      <c r="J18"/>
      <c r="K18"/>
      <c r="L18"/>
      <c r="M18"/>
    </row>
    <row r="19" spans="1:13" s="1" customFormat="1" ht="26.25" customHeight="1" x14ac:dyDescent="0.25">
      <c r="A19" s="14" t="s">
        <v>6</v>
      </c>
      <c r="B19" s="35" t="s">
        <v>7</v>
      </c>
      <c r="C19" s="35" t="s">
        <v>7</v>
      </c>
      <c r="D19" s="35" t="s">
        <v>7</v>
      </c>
      <c r="E19" s="35" t="s">
        <v>8</v>
      </c>
      <c r="F19" s="28"/>
      <c r="H19"/>
      <c r="I19"/>
      <c r="J19"/>
      <c r="K19"/>
      <c r="L19"/>
      <c r="M19"/>
    </row>
    <row r="20" spans="1:13" s="1" customFormat="1" ht="26.25" customHeight="1" x14ac:dyDescent="0.25">
      <c r="A20" s="14" t="s">
        <v>9</v>
      </c>
      <c r="B20" s="35">
        <v>35</v>
      </c>
      <c r="C20" s="35">
        <v>35</v>
      </c>
      <c r="D20" s="35">
        <v>35</v>
      </c>
      <c r="E20" s="35">
        <v>24</v>
      </c>
      <c r="F20" s="28"/>
      <c r="I20"/>
      <c r="L20"/>
    </row>
    <row r="21" spans="1:13" s="1" customFormat="1" ht="26.25" customHeight="1" x14ac:dyDescent="0.25">
      <c r="A21" s="14" t="s">
        <v>10</v>
      </c>
      <c r="B21" s="35" t="s">
        <v>11</v>
      </c>
      <c r="C21" s="35" t="s">
        <v>12</v>
      </c>
      <c r="D21" s="35" t="s">
        <v>11</v>
      </c>
      <c r="E21" s="35" t="s">
        <v>11</v>
      </c>
      <c r="F21" s="28" t="s">
        <v>13</v>
      </c>
      <c r="I21"/>
      <c r="L21"/>
    </row>
    <row r="22" spans="1:13" s="1" customFormat="1" ht="26.25" customHeight="1" x14ac:dyDescent="0.25">
      <c r="A22" s="14" t="s">
        <v>15</v>
      </c>
      <c r="B22" s="35"/>
      <c r="C22" s="35"/>
      <c r="D22" s="35"/>
      <c r="E22" s="47">
        <v>44347</v>
      </c>
      <c r="F22" s="28"/>
      <c r="I22"/>
      <c r="J22"/>
      <c r="K22"/>
      <c r="L22"/>
    </row>
    <row r="23" spans="1:13" s="1" customFormat="1" ht="26.25" customHeight="1" x14ac:dyDescent="0.25">
      <c r="A23" s="14" t="s">
        <v>14</v>
      </c>
      <c r="B23" s="15">
        <v>2000</v>
      </c>
      <c r="C23" s="15">
        <v>3900</v>
      </c>
      <c r="D23" s="15">
        <v>2500</v>
      </c>
      <c r="E23" s="15" t="s">
        <v>26</v>
      </c>
      <c r="F23" s="16">
        <v>5000</v>
      </c>
    </row>
    <row r="24" spans="1:13" s="1" customFormat="1" ht="26.25" customHeight="1" x14ac:dyDescent="0.25">
      <c r="A24" s="14" t="s">
        <v>25</v>
      </c>
      <c r="B24" s="15">
        <v>1800</v>
      </c>
      <c r="C24" s="15">
        <v>3100</v>
      </c>
      <c r="D24" s="15">
        <v>2000</v>
      </c>
      <c r="E24" s="15" t="s">
        <v>26</v>
      </c>
      <c r="F24" s="17"/>
    </row>
    <row r="25" spans="1:13" s="1" customFormat="1" ht="30" customHeight="1" thickBot="1" x14ac:dyDescent="0.3">
      <c r="A25" s="18" t="s">
        <v>28</v>
      </c>
      <c r="B25" s="537" t="s">
        <v>29</v>
      </c>
      <c r="C25" s="538"/>
      <c r="D25" s="538"/>
      <c r="E25" s="538"/>
      <c r="F25" s="19"/>
    </row>
    <row r="26" spans="1:13" s="1" customFormat="1" ht="21" customHeight="1" x14ac:dyDescent="0.25"/>
    <row r="27" spans="1:13" s="1" customFormat="1" ht="21" customHeight="1" x14ac:dyDescent="0.25"/>
  </sheetData>
  <mergeCells count="2">
    <mergeCell ref="A15:F15"/>
    <mergeCell ref="B25:E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6F5E-BF87-4AB0-BB4B-AAD5E4873FC9}">
  <dimension ref="A1:O139"/>
  <sheetViews>
    <sheetView topLeftCell="A7" zoomScale="75" zoomScaleNormal="75" workbookViewId="0">
      <selection activeCell="G129" sqref="G129"/>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8"/>
      <c r="C17" s="579"/>
      <c r="D17" s="58" t="s">
        <v>116</v>
      </c>
      <c r="E17" s="578"/>
      <c r="F17" s="580"/>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104</v>
      </c>
      <c r="C20" s="69">
        <v>11.65</v>
      </c>
      <c r="D20" s="70">
        <f>C20*B20</f>
        <v>1211.6000000000001</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f>+D41</f>
        <v>2483.7800000000002</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9.985494824289578</v>
      </c>
      <c r="D24" s="83">
        <f>C24*B24</f>
        <v>0</v>
      </c>
      <c r="E24" s="64"/>
      <c r="F24" s="84"/>
      <c r="H24" s="56" t="s">
        <v>128</v>
      </c>
      <c r="I24" s="80"/>
    </row>
    <row r="25" spans="1:15" x14ac:dyDescent="0.25">
      <c r="A25" s="56" t="s">
        <v>33</v>
      </c>
      <c r="B25" s="81"/>
      <c r="C25" s="83">
        <f>D20/151.67*1.5</f>
        <v>11.982593789147494</v>
      </c>
      <c r="D25" s="83">
        <f>C25*B25</f>
        <v>0</v>
      </c>
      <c r="E25" s="64"/>
      <c r="F25" s="65"/>
      <c r="H25" s="56" t="s">
        <v>129</v>
      </c>
      <c r="I25" s="80"/>
    </row>
    <row r="26" spans="1:15" x14ac:dyDescent="0.25">
      <c r="A26" s="56"/>
      <c r="B26" s="53"/>
      <c r="C26" s="53"/>
      <c r="D26" s="53"/>
      <c r="E26" s="64"/>
      <c r="F26" s="65"/>
      <c r="H26" s="56" t="s">
        <v>130</v>
      </c>
      <c r="I26" s="80">
        <f>+H131</f>
        <v>0</v>
      </c>
    </row>
    <row r="27" spans="1:15" x14ac:dyDescent="0.25">
      <c r="A27" s="56" t="s">
        <v>131</v>
      </c>
      <c r="B27" s="81"/>
      <c r="C27" s="85"/>
      <c r="D27" s="86">
        <f>C27*B27</f>
        <v>0</v>
      </c>
      <c r="E27" s="64"/>
      <c r="F27" s="65"/>
      <c r="H27" s="56" t="s">
        <v>132</v>
      </c>
      <c r="I27" s="80"/>
    </row>
    <row r="28" spans="1:15" x14ac:dyDescent="0.25">
      <c r="A28" s="56"/>
      <c r="B28" s="53"/>
      <c r="C28" s="53"/>
      <c r="D28" s="53"/>
      <c r="E28" s="64"/>
      <c r="F28" s="65"/>
      <c r="H28" s="56" t="s">
        <v>133</v>
      </c>
      <c r="I28" s="87"/>
    </row>
    <row r="29" spans="1:15" x14ac:dyDescent="0.25">
      <c r="A29" s="56"/>
      <c r="B29" s="88"/>
      <c r="C29" s="89"/>
      <c r="D29" s="90"/>
      <c r="E29" s="91"/>
      <c r="F29" s="92"/>
      <c r="H29" s="56" t="s">
        <v>49</v>
      </c>
      <c r="I29" s="80"/>
    </row>
    <row r="30" spans="1:15" x14ac:dyDescent="0.25">
      <c r="A30" s="56" t="s">
        <v>134</v>
      </c>
      <c r="B30" s="93"/>
      <c r="C30" s="94"/>
      <c r="D30" s="94"/>
      <c r="E30" s="91"/>
      <c r="F30" s="92"/>
      <c r="H30" s="56" t="s">
        <v>50</v>
      </c>
      <c r="I30" s="80"/>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row>
    <row r="36" spans="1:9" x14ac:dyDescent="0.25">
      <c r="A36" s="102"/>
      <c r="B36" s="103"/>
      <c r="C36" s="104"/>
      <c r="D36" s="105"/>
      <c r="E36" s="99"/>
      <c r="F36" s="71"/>
    </row>
    <row r="37" spans="1:9" x14ac:dyDescent="0.25">
      <c r="A37" s="56" t="s">
        <v>18</v>
      </c>
      <c r="B37" s="95">
        <f>I27</f>
        <v>0</v>
      </c>
      <c r="C37" s="96">
        <f>I28</f>
        <v>0</v>
      </c>
      <c r="D37" s="83">
        <f>C37*B37</f>
        <v>0</v>
      </c>
      <c r="E37" s="99"/>
      <c r="F37" s="71"/>
    </row>
    <row r="38" spans="1:9" x14ac:dyDescent="0.25">
      <c r="A38" s="102"/>
      <c r="B38" s="103"/>
      <c r="C38" s="104"/>
      <c r="D38" s="105"/>
      <c r="E38" s="99"/>
      <c r="F38" s="71"/>
    </row>
    <row r="39" spans="1:9" x14ac:dyDescent="0.25">
      <c r="A39" s="56" t="s">
        <v>141</v>
      </c>
      <c r="B39" s="252">
        <f>D20*5</f>
        <v>6058.0000000000009</v>
      </c>
      <c r="C39" s="253">
        <v>0.1</v>
      </c>
      <c r="D39" s="94">
        <f>C39*B39</f>
        <v>605.80000000000007</v>
      </c>
      <c r="E39" s="99"/>
      <c r="F39" s="71"/>
    </row>
    <row r="40" spans="1:9" x14ac:dyDescent="0.25">
      <c r="A40" s="56" t="s">
        <v>60</v>
      </c>
      <c r="B40" s="252">
        <f>(B39+D39)</f>
        <v>6663.8000000000011</v>
      </c>
      <c r="C40" s="253">
        <v>0.1</v>
      </c>
      <c r="D40" s="94">
        <f>C40*B40</f>
        <v>666.38000000000011</v>
      </c>
      <c r="E40" s="99"/>
      <c r="F40" s="71"/>
    </row>
    <row r="41" spans="1:9" x14ac:dyDescent="0.25">
      <c r="A41" s="106" t="s">
        <v>34</v>
      </c>
      <c r="B41" s="53"/>
      <c r="C41" s="53"/>
      <c r="D41" s="70">
        <f>SUM(D20:D40)</f>
        <v>2483.7800000000002</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2483.7800000000002</v>
      </c>
      <c r="C45" s="118"/>
      <c r="D45" s="119"/>
      <c r="E45" s="120">
        <f>I19</f>
        <v>7.0000000000000007E-2</v>
      </c>
      <c r="F45" s="185">
        <f>+E45*B45</f>
        <v>173.86460000000002</v>
      </c>
    </row>
    <row r="46" spans="1:9" x14ac:dyDescent="0.25">
      <c r="A46" s="121" t="s">
        <v>144</v>
      </c>
      <c r="B46" s="103">
        <f>$I$22</f>
        <v>2483.7800000000002</v>
      </c>
      <c r="C46" s="122"/>
      <c r="D46" s="123"/>
      <c r="E46" s="124"/>
      <c r="F46" s="54"/>
    </row>
    <row r="47" spans="1:9" x14ac:dyDescent="0.25">
      <c r="A47" s="121" t="s">
        <v>145</v>
      </c>
      <c r="B47" s="103">
        <f>$I$23</f>
        <v>0</v>
      </c>
      <c r="C47" s="122"/>
      <c r="D47" s="123"/>
      <c r="E47" s="53"/>
      <c r="F47" s="125"/>
    </row>
    <row r="48" spans="1:9" x14ac:dyDescent="0.25">
      <c r="A48" s="121" t="s">
        <v>36</v>
      </c>
      <c r="B48" s="103"/>
      <c r="C48" s="122"/>
      <c r="D48" s="123">
        <f>I29</f>
        <v>0</v>
      </c>
      <c r="E48" s="53"/>
      <c r="F48" s="126">
        <f>+I30</f>
        <v>0</v>
      </c>
    </row>
    <row r="49" spans="1:6" x14ac:dyDescent="0.25">
      <c r="A49" s="106" t="s">
        <v>37</v>
      </c>
      <c r="B49" s="103">
        <f>$D$41</f>
        <v>2483.7800000000002</v>
      </c>
      <c r="C49" s="53"/>
      <c r="D49" s="103"/>
      <c r="E49" s="127">
        <f>I21</f>
        <v>2.7E-2</v>
      </c>
      <c r="F49" s="126">
        <f>+E49*B49</f>
        <v>67.062060000000002</v>
      </c>
    </row>
    <row r="50" spans="1:6" x14ac:dyDescent="0.25">
      <c r="A50" s="112" t="s">
        <v>38</v>
      </c>
      <c r="B50" s="113"/>
      <c r="C50" s="114"/>
      <c r="D50" s="114"/>
      <c r="E50" s="114"/>
      <c r="F50" s="115"/>
    </row>
    <row r="51" spans="1:6" x14ac:dyDescent="0.25">
      <c r="A51" s="121" t="s">
        <v>62</v>
      </c>
      <c r="B51" s="103">
        <f>$I$22</f>
        <v>2483.7800000000002</v>
      </c>
      <c r="C51" s="122">
        <v>6.9000000000000006E-2</v>
      </c>
      <c r="D51" s="123">
        <f>C51*B51</f>
        <v>171.38082000000003</v>
      </c>
      <c r="E51" s="127">
        <v>8.5500000000000007E-2</v>
      </c>
      <c r="F51" s="126">
        <f>E51*B51</f>
        <v>212.36319000000003</v>
      </c>
    </row>
    <row r="52" spans="1:6" x14ac:dyDescent="0.25">
      <c r="A52" s="121" t="s">
        <v>64</v>
      </c>
      <c r="B52" s="117">
        <f>$D$41</f>
        <v>2483.7800000000002</v>
      </c>
      <c r="C52" s="122">
        <v>4.0000000000000001E-3</v>
      </c>
      <c r="D52" s="123">
        <f t="shared" ref="D52:D55" si="0">C52*B52</f>
        <v>9.9351200000000013</v>
      </c>
      <c r="E52" s="127">
        <v>2.0199999999999999E-2</v>
      </c>
      <c r="F52" s="126">
        <f t="shared" ref="F52:F54" si="1">E52*B52</f>
        <v>50.172356000000001</v>
      </c>
    </row>
    <row r="53" spans="1:6" x14ac:dyDescent="0.25">
      <c r="A53" s="121" t="s">
        <v>65</v>
      </c>
      <c r="B53" s="103">
        <f>$I$22</f>
        <v>2483.7800000000002</v>
      </c>
      <c r="C53" s="122">
        <v>4.0099999999999997E-2</v>
      </c>
      <c r="D53" s="123">
        <f t="shared" si="0"/>
        <v>99.599577999999994</v>
      </c>
      <c r="E53" s="127">
        <v>6.0100000000000001E-2</v>
      </c>
      <c r="F53" s="126">
        <f t="shared" si="1"/>
        <v>149.27517800000001</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2483.7800000000002</v>
      </c>
      <c r="C57" s="129"/>
      <c r="D57" s="103"/>
      <c r="E57" s="130">
        <f>+I20</f>
        <v>3.4500000000000003E-2</v>
      </c>
      <c r="F57" s="126">
        <f>E57*B57</f>
        <v>85.690410000000014</v>
      </c>
    </row>
    <row r="58" spans="1:6" x14ac:dyDescent="0.25">
      <c r="A58" s="112" t="s">
        <v>63</v>
      </c>
      <c r="B58" s="131"/>
      <c r="C58" s="131"/>
      <c r="D58" s="131"/>
      <c r="E58" s="131"/>
      <c r="F58" s="132"/>
    </row>
    <row r="59" spans="1:6" x14ac:dyDescent="0.25">
      <c r="A59" s="121" t="s">
        <v>150</v>
      </c>
      <c r="B59" s="117">
        <f>$D$41</f>
        <v>2483.7800000000002</v>
      </c>
      <c r="C59" s="129"/>
      <c r="D59" s="103"/>
      <c r="E59" s="130">
        <v>4.2500000000000003E-2</v>
      </c>
      <c r="F59" s="126">
        <f t="shared" ref="F59:F60" si="2">E59*B59</f>
        <v>105.56065000000001</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40.883018800000009</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2440.3138500000005</v>
      </c>
      <c r="C65" s="122">
        <v>6.8000000000000005E-2</v>
      </c>
      <c r="D65" s="123">
        <f>C65*B65</f>
        <v>165.94134180000003</v>
      </c>
      <c r="E65" s="103"/>
      <c r="F65" s="134"/>
    </row>
    <row r="66" spans="1:6" x14ac:dyDescent="0.25">
      <c r="A66" s="106" t="s">
        <v>154</v>
      </c>
      <c r="B66" s="103">
        <f>B65</f>
        <v>2440.3138500000005</v>
      </c>
      <c r="C66" s="122">
        <v>2.9000000000000001E-2</v>
      </c>
      <c r="D66" s="123">
        <f>C66*B66</f>
        <v>70.76910165000001</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-H129</f>
        <v>290.08127200000035</v>
      </c>
    </row>
    <row r="70" spans="1:6" x14ac:dyDescent="0.25">
      <c r="A70" s="106"/>
      <c r="B70" s="138"/>
      <c r="C70" s="53"/>
      <c r="D70" s="123"/>
      <c r="E70" s="123"/>
      <c r="F70" s="134"/>
    </row>
    <row r="71" spans="1:6" x14ac:dyDescent="0.25">
      <c r="A71" s="106" t="s">
        <v>39</v>
      </c>
      <c r="B71" s="123"/>
      <c r="C71" s="139"/>
      <c r="D71" s="140">
        <f>SUM(D45:D70)</f>
        <v>517.62596145000009</v>
      </c>
      <c r="E71" s="127"/>
      <c r="F71" s="141">
        <f>SUM(F45:F70)</f>
        <v>1174.9527348000006</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41">
        <f>D41-D71</f>
        <v>1966.1540385500002</v>
      </c>
    </row>
    <row r="80" spans="1:6" x14ac:dyDescent="0.25">
      <c r="A80" s="143" t="s">
        <v>40</v>
      </c>
      <c r="B80" s="123"/>
      <c r="C80" s="139"/>
      <c r="D80" s="140"/>
      <c r="E80" s="140"/>
      <c r="F80" s="144">
        <f>D41-D71+D73+D74+D75+D76+D77+D78+D79</f>
        <v>1966.1540385500002</v>
      </c>
    </row>
    <row r="81" spans="1:9" ht="33" x14ac:dyDescent="0.25">
      <c r="A81" s="106" t="s">
        <v>41</v>
      </c>
      <c r="B81" s="145"/>
      <c r="C81" s="146"/>
      <c r="D81" s="142"/>
      <c r="E81" s="142"/>
      <c r="F81" s="147">
        <f>D113</f>
        <v>0</v>
      </c>
    </row>
    <row r="82" spans="1:9" x14ac:dyDescent="0.25">
      <c r="A82" s="581" t="s">
        <v>42</v>
      </c>
      <c r="B82" s="581" t="s">
        <v>43</v>
      </c>
      <c r="C82" s="581" t="s">
        <v>22</v>
      </c>
      <c r="D82" s="581" t="s">
        <v>159</v>
      </c>
      <c r="E82" s="581"/>
      <c r="F82" s="581" t="s">
        <v>269</v>
      </c>
    </row>
    <row r="83" spans="1:9" x14ac:dyDescent="0.25">
      <c r="A83" s="582" t="s">
        <v>42</v>
      </c>
      <c r="B83" s="582"/>
      <c r="C83" s="582"/>
      <c r="D83" s="582"/>
      <c r="E83" s="582"/>
      <c r="F83" s="582"/>
    </row>
    <row r="84" spans="1:9" x14ac:dyDescent="0.25">
      <c r="A84" s="433" t="s">
        <v>270</v>
      </c>
      <c r="B84" s="434"/>
      <c r="C84" s="423"/>
      <c r="D84" s="435">
        <f>D41+F48+D66-D71</f>
        <v>2036.9231402</v>
      </c>
      <c r="E84" s="436"/>
      <c r="F84" s="437"/>
    </row>
    <row r="85" spans="1:9" x14ac:dyDescent="0.25">
      <c r="A85" s="433" t="s">
        <v>271</v>
      </c>
      <c r="B85" s="438">
        <f>D84</f>
        <v>2036.9231402</v>
      </c>
      <c r="C85" s="439">
        <f>I35</f>
        <v>0</v>
      </c>
      <c r="D85" s="435">
        <f>C85*B85</f>
        <v>0</v>
      </c>
      <c r="E85" s="436"/>
      <c r="F85" s="437"/>
    </row>
    <row r="86" spans="1:9" x14ac:dyDescent="0.25">
      <c r="A86" s="433" t="s">
        <v>272</v>
      </c>
      <c r="B86" s="150"/>
      <c r="C86" s="108"/>
      <c r="D86" s="151"/>
      <c r="E86" s="151"/>
      <c r="F86" s="149"/>
    </row>
    <row r="87" spans="1:9" x14ac:dyDescent="0.25">
      <c r="A87" s="421" t="s">
        <v>273</v>
      </c>
      <c r="B87" s="148"/>
      <c r="C87" s="152"/>
      <c r="D87" s="532">
        <f>F80-D85</f>
        <v>1966.1540385500002</v>
      </c>
      <c r="E87" s="151"/>
      <c r="F87" s="437"/>
    </row>
    <row r="88" spans="1:9" x14ac:dyDescent="0.25">
      <c r="A88" s="433" t="s">
        <v>274</v>
      </c>
      <c r="B88" s="151"/>
      <c r="C88" s="151"/>
      <c r="D88" s="532"/>
      <c r="E88" s="151"/>
      <c r="F88" s="437"/>
    </row>
    <row r="89" spans="1:9" x14ac:dyDescent="0.25">
      <c r="A89" s="433" t="s">
        <v>275</v>
      </c>
      <c r="B89" s="151"/>
      <c r="C89" s="151"/>
      <c r="D89" s="532">
        <f>D41+F71</f>
        <v>3658.7327348000008</v>
      </c>
      <c r="E89" s="151"/>
      <c r="F89" s="437"/>
    </row>
    <row r="90" spans="1:9" ht="17.25" thickBot="1" x14ac:dyDescent="0.3">
      <c r="A90" s="153" t="s">
        <v>161</v>
      </c>
      <c r="B90" s="154"/>
      <c r="C90" s="154"/>
      <c r="D90" s="154"/>
      <c r="E90" s="154"/>
      <c r="F90" s="155"/>
    </row>
    <row r="93" spans="1:9" ht="17.25" thickBot="1" x14ac:dyDescent="0.3">
      <c r="A93" s="561" t="s">
        <v>61</v>
      </c>
      <c r="B93" s="562"/>
    </row>
    <row r="94" spans="1:9" x14ac:dyDescent="0.25">
      <c r="A94" s="44"/>
      <c r="B94" s="583">
        <f>D41</f>
        <v>2483.7800000000002</v>
      </c>
      <c r="C94" s="566">
        <f>0.016%+0.3%+0.68%+0.55%</f>
        <v>1.5460000000000002E-2</v>
      </c>
      <c r="D94" s="586">
        <f>C94*B94</f>
        <v>38.399238800000006</v>
      </c>
    </row>
    <row r="95" spans="1:9" ht="17.25" customHeight="1" x14ac:dyDescent="0.25">
      <c r="A95" s="45" t="s">
        <v>162</v>
      </c>
      <c r="B95" s="584"/>
      <c r="C95" s="567"/>
      <c r="D95" s="587"/>
      <c r="E95" s="156"/>
      <c r="F95" s="156"/>
      <c r="G95" s="156"/>
      <c r="I95" s="156"/>
    </row>
    <row r="96" spans="1:9" x14ac:dyDescent="0.25">
      <c r="A96" s="45" t="s">
        <v>67</v>
      </c>
      <c r="B96" s="584"/>
      <c r="C96" s="567"/>
      <c r="D96" s="587"/>
      <c r="E96" s="156"/>
      <c r="F96" s="156"/>
      <c r="G96" s="156"/>
      <c r="I96" s="156"/>
    </row>
    <row r="97" spans="1:9" x14ac:dyDescent="0.25">
      <c r="A97" s="45" t="s">
        <v>68</v>
      </c>
      <c r="B97" s="584"/>
      <c r="C97" s="567"/>
      <c r="D97" s="587"/>
      <c r="E97" s="156"/>
      <c r="F97" s="156"/>
      <c r="G97" s="156"/>
      <c r="H97" s="156"/>
      <c r="I97" s="156"/>
    </row>
    <row r="98" spans="1:9" s="156" customFormat="1" ht="15" x14ac:dyDescent="0.25">
      <c r="A98" s="45" t="s">
        <v>69</v>
      </c>
      <c r="B98" s="584"/>
      <c r="C98" s="567"/>
      <c r="D98" s="587"/>
    </row>
    <row r="99" spans="1:9" s="156" customFormat="1" ht="15" customHeight="1" x14ac:dyDescent="0.25">
      <c r="A99" s="45" t="s">
        <v>163</v>
      </c>
      <c r="B99" s="584"/>
      <c r="C99" s="567"/>
      <c r="D99" s="587"/>
    </row>
    <row r="100" spans="1:9" s="156" customFormat="1" ht="15" customHeight="1" thickBot="1" x14ac:dyDescent="0.3">
      <c r="A100" s="46" t="s">
        <v>297</v>
      </c>
      <c r="B100" s="585"/>
      <c r="C100" s="568"/>
      <c r="D100" s="588"/>
    </row>
    <row r="101" spans="1:9" s="156" customFormat="1" ht="15" customHeight="1" thickBot="1" x14ac:dyDescent="0.3">
      <c r="A101" s="51"/>
      <c r="B101" s="157"/>
      <c r="C101" s="157"/>
      <c r="D101" s="157"/>
    </row>
    <row r="102" spans="1:9" s="156" customFormat="1" ht="15.75" customHeight="1" thickBot="1" x14ac:dyDescent="0.3">
      <c r="A102" s="158" t="s">
        <v>70</v>
      </c>
      <c r="B102" s="159">
        <f>I22</f>
        <v>2483.7800000000002</v>
      </c>
      <c r="C102" s="160">
        <v>1E-3</v>
      </c>
      <c r="D102" s="161">
        <f>C102*B102</f>
        <v>2.4837800000000003</v>
      </c>
    </row>
    <row r="103" spans="1:9" s="156" customFormat="1" ht="17.25" thickBot="1" x14ac:dyDescent="0.3">
      <c r="A103" s="51"/>
      <c r="B103" s="51"/>
      <c r="C103" s="51"/>
      <c r="D103" s="51"/>
    </row>
    <row r="104" spans="1:9" s="156" customFormat="1" ht="17.25" thickBot="1" x14ac:dyDescent="0.3">
      <c r="A104" s="162" t="s">
        <v>71</v>
      </c>
      <c r="B104" s="163"/>
      <c r="C104" s="163"/>
      <c r="D104" s="164">
        <f>D94+D102</f>
        <v>40.883018800000009</v>
      </c>
    </row>
    <row r="105" spans="1:9" s="156" customFormat="1" ht="17.25" thickBot="1" x14ac:dyDescent="0.3">
      <c r="A105" s="51"/>
      <c r="B105" s="51"/>
      <c r="C105" s="51"/>
      <c r="D105" s="51"/>
    </row>
    <row r="106" spans="1:9" s="156" customFormat="1" x14ac:dyDescent="0.25">
      <c r="A106" s="572" t="s">
        <v>72</v>
      </c>
      <c r="B106" s="573"/>
      <c r="C106" s="573"/>
      <c r="D106" s="574"/>
    </row>
    <row r="107" spans="1:9" s="156" customFormat="1" x14ac:dyDescent="0.25">
      <c r="A107" s="165" t="s">
        <v>73</v>
      </c>
      <c r="B107" s="166">
        <f>B102</f>
        <v>2483.7800000000002</v>
      </c>
      <c r="C107" s="167">
        <v>2.4E-2</v>
      </c>
      <c r="D107" s="168">
        <f>C107*B107</f>
        <v>59.610720000000008</v>
      </c>
    </row>
    <row r="108" spans="1:9" s="156" customFormat="1" ht="16.5" customHeight="1" x14ac:dyDescent="0.25">
      <c r="A108" s="165" t="s">
        <v>74</v>
      </c>
      <c r="B108" s="166">
        <f>B107</f>
        <v>2483.7800000000002</v>
      </c>
      <c r="C108" s="167">
        <v>7.4999999999999997E-3</v>
      </c>
      <c r="D108" s="168">
        <f t="shared" ref="D108:D109" si="3">C108*B108</f>
        <v>18.628350000000001</v>
      </c>
    </row>
    <row r="109" spans="1:9" s="156" customFormat="1" x14ac:dyDescent="0.25">
      <c r="A109" s="165" t="s">
        <v>75</v>
      </c>
      <c r="B109" s="166">
        <f>B66+B67</f>
        <v>2440.3138500000005</v>
      </c>
      <c r="C109" s="167">
        <v>-1.7000000000000001E-2</v>
      </c>
      <c r="D109" s="168">
        <f t="shared" si="3"/>
        <v>-41.485335450000008</v>
      </c>
    </row>
    <row r="110" spans="1:9" s="156" customFormat="1" x14ac:dyDescent="0.25">
      <c r="A110" s="169"/>
      <c r="B110" s="170"/>
      <c r="C110" s="171"/>
      <c r="D110" s="172"/>
    </row>
    <row r="111" spans="1:9" s="156" customFormat="1" ht="17.25" thickBot="1" x14ac:dyDescent="0.3">
      <c r="A111" s="173" t="s">
        <v>76</v>
      </c>
      <c r="B111" s="174"/>
      <c r="C111" s="175"/>
      <c r="D111" s="176">
        <f>SUM(D107:D110)</f>
        <v>36.753734550000004</v>
      </c>
    </row>
    <row r="112" spans="1:9" s="156" customFormat="1" ht="15" x14ac:dyDescent="0.25"/>
    <row r="113" spans="1:9" s="156" customFormat="1" ht="15.75" thickBot="1" x14ac:dyDescent="0.3"/>
    <row r="114" spans="1:9" s="156" customFormat="1" ht="17.25" thickBot="1" x14ac:dyDescent="0.3">
      <c r="A114" s="575" t="s">
        <v>82</v>
      </c>
      <c r="B114" s="576"/>
      <c r="C114" s="576"/>
      <c r="D114" s="577"/>
    </row>
    <row r="115" spans="1:9" s="156" customFormat="1" x14ac:dyDescent="0.25">
      <c r="A115" s="177" t="s">
        <v>77</v>
      </c>
      <c r="B115" s="178"/>
      <c r="C115" s="178"/>
      <c r="D115" s="179">
        <f>H129</f>
        <v>-290.08127200000035</v>
      </c>
    </row>
    <row r="116" spans="1:9" s="156" customFormat="1" x14ac:dyDescent="0.25">
      <c r="A116" s="165" t="s">
        <v>78</v>
      </c>
      <c r="B116" s="180">
        <f>B24+B25</f>
        <v>0</v>
      </c>
      <c r="C116" s="181">
        <v>1.5</v>
      </c>
      <c r="D116" s="182">
        <f>C116*B116</f>
        <v>0</v>
      </c>
    </row>
    <row r="117" spans="1:9" s="156" customFormat="1" x14ac:dyDescent="0.25">
      <c r="A117" s="165" t="s">
        <v>79</v>
      </c>
      <c r="B117" s="166">
        <f>B107</f>
        <v>2483.7800000000002</v>
      </c>
      <c r="C117" s="167">
        <v>1.7999999999999999E-2</v>
      </c>
      <c r="D117" s="182">
        <f>C117*B117</f>
        <v>44.708039999999997</v>
      </c>
    </row>
    <row r="118" spans="1:9" s="156" customFormat="1" x14ac:dyDescent="0.25">
      <c r="A118" s="165" t="s">
        <v>80</v>
      </c>
      <c r="B118" s="166">
        <f>B117</f>
        <v>2483.7800000000002</v>
      </c>
      <c r="C118" s="167">
        <v>0.06</v>
      </c>
      <c r="D118" s="182">
        <f>C118*B118</f>
        <v>149.02680000000001</v>
      </c>
    </row>
    <row r="119" spans="1:9" s="156" customFormat="1" ht="17.25" thickBot="1" x14ac:dyDescent="0.3">
      <c r="A119" s="173" t="s">
        <v>81</v>
      </c>
      <c r="B119" s="183"/>
      <c r="C119" s="183"/>
      <c r="D119" s="184">
        <f>SUM(D115:D118)</f>
        <v>-96.346432000000362</v>
      </c>
      <c r="F119" s="533" t="s">
        <v>292</v>
      </c>
    </row>
    <row r="120" spans="1:9" s="156" customFormat="1" ht="15.75" customHeight="1" x14ac:dyDescent="0.25">
      <c r="A120" s="51"/>
      <c r="B120" s="51"/>
      <c r="C120" s="51"/>
      <c r="D120" s="51"/>
      <c r="H120" s="51"/>
    </row>
    <row r="121" spans="1:9" s="156" customFormat="1" ht="15.75" customHeight="1" thickBot="1" x14ac:dyDescent="0.3">
      <c r="A121" s="548" t="s">
        <v>226</v>
      </c>
      <c r="B121" s="549"/>
      <c r="C121" s="549"/>
      <c r="D121" s="549"/>
      <c r="E121" s="549"/>
      <c r="F121" s="549"/>
      <c r="G121" s="549"/>
      <c r="H121" s="549"/>
    </row>
    <row r="122" spans="1:9" s="156" customFormat="1" ht="15.75" customHeight="1" thickBot="1" x14ac:dyDescent="0.3">
      <c r="A122" s="226" t="s">
        <v>202</v>
      </c>
      <c r="B122" s="227">
        <v>0.31940000000000002</v>
      </c>
      <c r="C122" s="1"/>
      <c r="D122" s="1"/>
      <c r="E122" s="1"/>
      <c r="F122" s="1"/>
      <c r="G122" s="1"/>
      <c r="H122" s="1"/>
      <c r="I122" s="51"/>
    </row>
    <row r="123" spans="1:9" s="156" customFormat="1" ht="15.75" customHeight="1" thickBot="1" x14ac:dyDescent="0.3">
      <c r="A123" s="1"/>
      <c r="B123" s="1"/>
      <c r="C123" s="1"/>
      <c r="D123" s="1"/>
      <c r="E123" s="1"/>
      <c r="F123" s="1"/>
      <c r="G123" s="1"/>
      <c r="H123" s="1"/>
      <c r="I123" s="51"/>
    </row>
    <row r="124" spans="1:9" s="156" customFormat="1" ht="28.5" customHeight="1" x14ac:dyDescent="0.25">
      <c r="A124" s="13" t="s">
        <v>90</v>
      </c>
      <c r="B124" s="6" t="s">
        <v>203</v>
      </c>
      <c r="C124" s="6" t="s">
        <v>204</v>
      </c>
      <c r="D124" s="209" t="s">
        <v>175</v>
      </c>
      <c r="E124" s="191" t="s">
        <v>205</v>
      </c>
      <c r="F124" s="191" t="s">
        <v>206</v>
      </c>
      <c r="G124" s="191" t="s">
        <v>207</v>
      </c>
      <c r="H124" s="192" t="s">
        <v>227</v>
      </c>
      <c r="I124" s="51"/>
    </row>
    <row r="125" spans="1:9" x14ac:dyDescent="0.25">
      <c r="A125" s="14" t="s">
        <v>210</v>
      </c>
      <c r="B125" s="228">
        <f>D20</f>
        <v>1211.6000000000001</v>
      </c>
      <c r="C125" s="229">
        <f>B125</f>
        <v>1211.6000000000001</v>
      </c>
      <c r="D125" s="230">
        <f>104*11.65</f>
        <v>1211.6000000000001</v>
      </c>
      <c r="E125" s="228">
        <f>+D125</f>
        <v>1211.6000000000001</v>
      </c>
      <c r="F125" s="231">
        <f>ROUND(($B$122/0.6)*((1.6*E125/C125)-1),4)</f>
        <v>0.31940000000000002</v>
      </c>
      <c r="G125" s="229">
        <f>IF(F125&gt;0,F125*C125,0)</f>
        <v>386.98504000000008</v>
      </c>
      <c r="H125" s="248">
        <f>G125</f>
        <v>386.98504000000008</v>
      </c>
    </row>
    <row r="126" spans="1:9" x14ac:dyDescent="0.25">
      <c r="A126" s="14" t="s">
        <v>211</v>
      </c>
      <c r="B126" s="228">
        <f>B125</f>
        <v>1211.6000000000001</v>
      </c>
      <c r="C126" s="229">
        <f>C125+B126</f>
        <v>2423.2000000000003</v>
      </c>
      <c r="D126" s="230">
        <f>D125</f>
        <v>1211.6000000000001</v>
      </c>
      <c r="E126" s="228">
        <f>D126+E125</f>
        <v>2423.2000000000003</v>
      </c>
      <c r="F126" s="231">
        <f t="shared" ref="F126:F129" si="4">ROUND(($B$122/0.6)*((1.6*E126/C126)-1),4)</f>
        <v>0.31940000000000002</v>
      </c>
      <c r="G126" s="229">
        <f t="shared" ref="G126:G129" si="5">IF(F126&gt;0,F126*C126,0)</f>
        <v>773.97008000000017</v>
      </c>
      <c r="H126" s="248">
        <f>G126-G125</f>
        <v>386.98504000000008</v>
      </c>
    </row>
    <row r="127" spans="1:9" x14ac:dyDescent="0.25">
      <c r="A127" s="14" t="s">
        <v>212</v>
      </c>
      <c r="B127" s="228">
        <f t="shared" ref="B127:B128" si="6">B126</f>
        <v>1211.6000000000001</v>
      </c>
      <c r="C127" s="229">
        <f t="shared" ref="C127:C128" si="7">C126+B127</f>
        <v>3634.8</v>
      </c>
      <c r="D127" s="230">
        <f t="shared" ref="D127:D129" si="8">D126</f>
        <v>1211.6000000000001</v>
      </c>
      <c r="E127" s="228">
        <f t="shared" ref="E127:E129" si="9">D127+E126</f>
        <v>3634.8</v>
      </c>
      <c r="F127" s="231">
        <f t="shared" si="4"/>
        <v>0.31940000000000002</v>
      </c>
      <c r="G127" s="229">
        <f t="shared" si="5"/>
        <v>1160.9551200000001</v>
      </c>
      <c r="H127" s="248">
        <f t="shared" ref="H127:H129" si="10">G127-G126</f>
        <v>386.98503999999991</v>
      </c>
    </row>
    <row r="128" spans="1:9" x14ac:dyDescent="0.25">
      <c r="A128" s="14" t="s">
        <v>213</v>
      </c>
      <c r="B128" s="228">
        <f t="shared" si="6"/>
        <v>1211.6000000000001</v>
      </c>
      <c r="C128" s="229">
        <f t="shared" si="7"/>
        <v>4846.4000000000005</v>
      </c>
      <c r="D128" s="230">
        <f t="shared" si="8"/>
        <v>1211.6000000000001</v>
      </c>
      <c r="E128" s="228">
        <f t="shared" si="9"/>
        <v>4846.4000000000005</v>
      </c>
      <c r="F128" s="231">
        <f t="shared" si="4"/>
        <v>0.31940000000000002</v>
      </c>
      <c r="G128" s="229">
        <f t="shared" si="5"/>
        <v>1547.9401600000003</v>
      </c>
      <c r="H128" s="248">
        <f t="shared" si="10"/>
        <v>386.98504000000025</v>
      </c>
    </row>
    <row r="129" spans="1:8" x14ac:dyDescent="0.25">
      <c r="A129" s="14" t="s">
        <v>214</v>
      </c>
      <c r="B129" s="228">
        <f t="shared" ref="B129" si="11">$D$41</f>
        <v>2483.7800000000002</v>
      </c>
      <c r="C129" s="229">
        <f>C128+B129</f>
        <v>7330.18</v>
      </c>
      <c r="D129" s="230">
        <f t="shared" si="8"/>
        <v>1211.6000000000001</v>
      </c>
      <c r="E129" s="228">
        <f t="shared" si="9"/>
        <v>6058.0000000000009</v>
      </c>
      <c r="F129" s="231">
        <f t="shared" si="4"/>
        <v>0.1716</v>
      </c>
      <c r="G129" s="229">
        <f t="shared" si="5"/>
        <v>1257.858888</v>
      </c>
      <c r="H129" s="534">
        <f t="shared" si="10"/>
        <v>-290.08127200000035</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row r="138" spans="1:8" ht="17.25" thickBot="1" x14ac:dyDescent="0.3">
      <c r="A138" s="18" t="s">
        <v>221</v>
      </c>
      <c r="B138" s="235"/>
      <c r="C138" s="235"/>
      <c r="D138" s="235"/>
      <c r="E138" s="235"/>
      <c r="F138" s="235"/>
      <c r="G138" s="235"/>
      <c r="H138" s="251"/>
    </row>
    <row r="139" spans="1:8" x14ac:dyDescent="0.25">
      <c r="H139" s="1"/>
    </row>
  </sheetData>
  <mergeCells count="15">
    <mergeCell ref="A114:D114"/>
    <mergeCell ref="A121:H121"/>
    <mergeCell ref="B17:C17"/>
    <mergeCell ref="E17:F17"/>
    <mergeCell ref="A82:A83"/>
    <mergeCell ref="B82:B83"/>
    <mergeCell ref="D82:D83"/>
    <mergeCell ref="C82:C83"/>
    <mergeCell ref="E82:E83"/>
    <mergeCell ref="F82:F83"/>
    <mergeCell ref="A93:B93"/>
    <mergeCell ref="B94:B100"/>
    <mergeCell ref="C94:C100"/>
    <mergeCell ref="D94:D100"/>
    <mergeCell ref="A106:D10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CB24-CBEB-467A-8D3F-6E68CC173644}">
  <dimension ref="A1:O114"/>
  <sheetViews>
    <sheetView tabSelected="1" topLeftCell="A27" zoomScale="75" zoomScaleNormal="75" workbookViewId="0">
      <selection activeCell="I21" sqref="I21"/>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8"/>
      <c r="C17" s="579"/>
      <c r="D17" s="58" t="s">
        <v>116</v>
      </c>
      <c r="E17" s="578"/>
      <c r="F17" s="580"/>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0.13</v>
      </c>
    </row>
    <row r="20" spans="1:15" s="72" customFormat="1" x14ac:dyDescent="0.25">
      <c r="A20" s="56" t="s">
        <v>14</v>
      </c>
      <c r="B20" s="68">
        <v>151.66999999999999</v>
      </c>
      <c r="C20" s="69">
        <f>D20/151.67</f>
        <v>32.966308432781702</v>
      </c>
      <c r="D20" s="70">
        <v>5000</v>
      </c>
      <c r="E20" s="64"/>
      <c r="F20" s="71"/>
      <c r="H20" s="73" t="s">
        <v>122</v>
      </c>
      <c r="I20" s="74">
        <v>5.2499999999999998E-2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3864</v>
      </c>
      <c r="J22" s="51"/>
      <c r="K22" s="51"/>
      <c r="L22" s="51"/>
      <c r="M22" s="51"/>
      <c r="N22" s="51"/>
      <c r="O22" s="51"/>
    </row>
    <row r="23" spans="1:15" s="72" customFormat="1" x14ac:dyDescent="0.25">
      <c r="A23" s="56"/>
      <c r="B23" s="68"/>
      <c r="C23" s="69"/>
      <c r="D23" s="53"/>
      <c r="E23" s="64"/>
      <c r="F23" s="71"/>
      <c r="H23" s="56" t="s">
        <v>126</v>
      </c>
      <c r="I23" s="80">
        <f>D41-I22</f>
        <v>1136</v>
      </c>
      <c r="J23" s="51"/>
      <c r="K23" s="51"/>
      <c r="L23" s="51"/>
      <c r="M23" s="51"/>
      <c r="N23" s="51"/>
      <c r="O23" s="51"/>
    </row>
    <row r="24" spans="1:15" x14ac:dyDescent="0.25">
      <c r="A24" s="56" t="s">
        <v>127</v>
      </c>
      <c r="B24" s="81"/>
      <c r="C24" s="82">
        <f>D20/151.67*1.25</f>
        <v>41.207885540977131</v>
      </c>
      <c r="D24" s="83">
        <f>C24*B24</f>
        <v>0</v>
      </c>
      <c r="E24" s="64"/>
      <c r="F24" s="84"/>
      <c r="H24" s="56" t="s">
        <v>128</v>
      </c>
      <c r="I24" s="80">
        <f>D41</f>
        <v>5000</v>
      </c>
    </row>
    <row r="25" spans="1:15" x14ac:dyDescent="0.25">
      <c r="A25" s="56" t="s">
        <v>33</v>
      </c>
      <c r="B25" s="81"/>
      <c r="C25" s="83">
        <f>D20/151.67*1.5</f>
        <v>49.449462649172553</v>
      </c>
      <c r="D25" s="83">
        <f>C25*B25</f>
        <v>0</v>
      </c>
      <c r="E25" s="64"/>
      <c r="F25" s="65"/>
      <c r="H25" s="56" t="s">
        <v>129</v>
      </c>
      <c r="I25" s="80">
        <f>D41</f>
        <v>5000</v>
      </c>
    </row>
    <row r="26" spans="1:15" x14ac:dyDescent="0.25">
      <c r="A26" s="56"/>
      <c r="B26" s="53"/>
      <c r="C26" s="53"/>
      <c r="D26" s="53"/>
      <c r="E26" s="64"/>
      <c r="F26" s="65"/>
      <c r="H26" s="56" t="s">
        <v>130</v>
      </c>
      <c r="I26" s="80"/>
    </row>
    <row r="27" spans="1:15" x14ac:dyDescent="0.25">
      <c r="A27" s="56" t="s">
        <v>131</v>
      </c>
      <c r="B27" s="81"/>
      <c r="C27" s="85"/>
      <c r="D27" s="86">
        <f>C27*B27</f>
        <v>0</v>
      </c>
      <c r="E27" s="64"/>
      <c r="F27" s="65"/>
      <c r="H27" s="56" t="s">
        <v>132</v>
      </c>
      <c r="I27" s="80"/>
    </row>
    <row r="28" spans="1:15" x14ac:dyDescent="0.25">
      <c r="A28" s="56"/>
      <c r="B28" s="53"/>
      <c r="C28" s="53"/>
      <c r="D28" s="53"/>
      <c r="E28" s="64"/>
      <c r="F28" s="65"/>
      <c r="H28" s="56" t="s">
        <v>133</v>
      </c>
      <c r="I28" s="87"/>
    </row>
    <row r="29" spans="1:15" x14ac:dyDescent="0.25">
      <c r="A29" s="56"/>
      <c r="B29" s="88"/>
      <c r="C29" s="89"/>
      <c r="D29" s="90"/>
      <c r="E29" s="91"/>
      <c r="F29" s="92"/>
      <c r="H29" s="56" t="s">
        <v>49</v>
      </c>
      <c r="I29" s="80">
        <v>50</v>
      </c>
    </row>
    <row r="30" spans="1:15" x14ac:dyDescent="0.25">
      <c r="A30" s="56" t="s">
        <v>134</v>
      </c>
      <c r="B30" s="93"/>
      <c r="C30" s="94"/>
      <c r="D30" s="94"/>
      <c r="E30" s="91"/>
      <c r="F30" s="92"/>
      <c r="H30" s="56" t="s">
        <v>50</v>
      </c>
      <c r="I30" s="80">
        <v>60</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v>3864</v>
      </c>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0.18</v>
      </c>
    </row>
    <row r="36" spans="1:9" x14ac:dyDescent="0.25">
      <c r="A36" s="102"/>
      <c r="B36" s="103"/>
      <c r="C36" s="104"/>
      <c r="D36" s="105"/>
      <c r="E36" s="99"/>
      <c r="F36" s="71"/>
    </row>
    <row r="37" spans="1:9" x14ac:dyDescent="0.25">
      <c r="A37" s="56" t="s">
        <v>18</v>
      </c>
      <c r="B37" s="95">
        <f>I27</f>
        <v>0</v>
      </c>
      <c r="C37" s="96">
        <f>I28</f>
        <v>0</v>
      </c>
      <c r="D37" s="83">
        <f>C37*B37</f>
        <v>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5000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5000</v>
      </c>
      <c r="C45" s="118"/>
      <c r="D45" s="119"/>
      <c r="E45" s="120">
        <f>I19</f>
        <v>0.13</v>
      </c>
      <c r="F45" s="185">
        <f>+E45*B45</f>
        <v>650</v>
      </c>
    </row>
    <row r="46" spans="1:9" x14ac:dyDescent="0.25">
      <c r="A46" s="121" t="s">
        <v>144</v>
      </c>
      <c r="B46" s="103">
        <f>$I$22</f>
        <v>3864</v>
      </c>
      <c r="C46" s="122"/>
      <c r="D46" s="123"/>
      <c r="E46" s="124">
        <v>1.4999999999999999E-2</v>
      </c>
      <c r="F46" s="185">
        <f>+E46*B46</f>
        <v>57.96</v>
      </c>
    </row>
    <row r="47" spans="1:9" x14ac:dyDescent="0.25">
      <c r="A47" s="121" t="s">
        <v>145</v>
      </c>
      <c r="B47" s="103">
        <f>$I$23</f>
        <v>1136</v>
      </c>
      <c r="C47" s="122"/>
      <c r="D47" s="123"/>
      <c r="E47" s="53"/>
      <c r="F47" s="125"/>
    </row>
    <row r="48" spans="1:9" x14ac:dyDescent="0.25">
      <c r="A48" s="121" t="s">
        <v>36</v>
      </c>
      <c r="B48" s="103"/>
      <c r="C48" s="122"/>
      <c r="D48" s="123">
        <f>I29</f>
        <v>50</v>
      </c>
      <c r="E48" s="53"/>
      <c r="F48" s="126">
        <f>+I30</f>
        <v>60</v>
      </c>
    </row>
    <row r="49" spans="1:6" x14ac:dyDescent="0.25">
      <c r="A49" s="106" t="s">
        <v>37</v>
      </c>
      <c r="B49" s="103">
        <f>$D$41</f>
        <v>5000</v>
      </c>
      <c r="C49" s="53"/>
      <c r="D49" s="103"/>
      <c r="E49" s="127">
        <f>I21</f>
        <v>2.7E-2</v>
      </c>
      <c r="F49" s="126">
        <f>+E49*B49</f>
        <v>135</v>
      </c>
    </row>
    <row r="50" spans="1:6" x14ac:dyDescent="0.25">
      <c r="A50" s="112" t="s">
        <v>38</v>
      </c>
      <c r="B50" s="113"/>
      <c r="C50" s="114"/>
      <c r="D50" s="114"/>
      <c r="E50" s="114"/>
      <c r="F50" s="115"/>
    </row>
    <row r="51" spans="1:6" x14ac:dyDescent="0.25">
      <c r="A51" s="121" t="s">
        <v>62</v>
      </c>
      <c r="B51" s="103">
        <f>$I$22</f>
        <v>3864</v>
      </c>
      <c r="C51" s="122">
        <v>6.9000000000000006E-2</v>
      </c>
      <c r="D51" s="123">
        <f>C51*B51</f>
        <v>266.61600000000004</v>
      </c>
      <c r="E51" s="127">
        <v>8.5500000000000007E-2</v>
      </c>
      <c r="F51" s="126">
        <f>E51*B51</f>
        <v>330.37200000000001</v>
      </c>
    </row>
    <row r="52" spans="1:6" x14ac:dyDescent="0.25">
      <c r="A52" s="121" t="s">
        <v>64</v>
      </c>
      <c r="B52" s="117">
        <f>$D$41</f>
        <v>5000</v>
      </c>
      <c r="C52" s="122">
        <v>4.0000000000000001E-3</v>
      </c>
      <c r="D52" s="123">
        <f t="shared" ref="D52:D55" si="0">C52*B52</f>
        <v>20</v>
      </c>
      <c r="E52" s="127">
        <v>2.0199999999999999E-2</v>
      </c>
      <c r="F52" s="126">
        <f t="shared" ref="F52:F54" si="1">E52*B52</f>
        <v>101</v>
      </c>
    </row>
    <row r="53" spans="1:6" x14ac:dyDescent="0.25">
      <c r="A53" s="121" t="s">
        <v>65</v>
      </c>
      <c r="B53" s="103">
        <f>$I$22</f>
        <v>3864</v>
      </c>
      <c r="C53" s="122">
        <v>4.0099999999999997E-2</v>
      </c>
      <c r="D53" s="123">
        <f t="shared" si="0"/>
        <v>154.94639999999998</v>
      </c>
      <c r="E53" s="127">
        <v>6.0100000000000001E-2</v>
      </c>
      <c r="F53" s="126">
        <f t="shared" si="1"/>
        <v>232.22640000000001</v>
      </c>
    </row>
    <row r="54" spans="1:6" x14ac:dyDescent="0.25">
      <c r="A54" s="121" t="s">
        <v>146</v>
      </c>
      <c r="B54" s="103">
        <f>$I$23</f>
        <v>1136</v>
      </c>
      <c r="C54" s="122">
        <v>9.7199999999999995E-2</v>
      </c>
      <c r="D54" s="123">
        <f t="shared" si="0"/>
        <v>110.41919999999999</v>
      </c>
      <c r="E54" s="127">
        <v>0.1457</v>
      </c>
      <c r="F54" s="126">
        <f t="shared" si="1"/>
        <v>165.51519999999999</v>
      </c>
    </row>
    <row r="55" spans="1:6" x14ac:dyDescent="0.25">
      <c r="A55" s="121" t="s">
        <v>147</v>
      </c>
      <c r="B55" s="103">
        <f>I24</f>
        <v>5000</v>
      </c>
      <c r="C55" s="122">
        <v>1.4E-3</v>
      </c>
      <c r="D55" s="123">
        <f t="shared" si="0"/>
        <v>7</v>
      </c>
      <c r="E55" s="127">
        <v>2.0999999999999999E-3</v>
      </c>
      <c r="F55" s="126">
        <f>E55*B55</f>
        <v>10.5</v>
      </c>
    </row>
    <row r="56" spans="1:6" x14ac:dyDescent="0.25">
      <c r="A56" s="121" t="s">
        <v>148</v>
      </c>
      <c r="B56" s="103"/>
      <c r="C56" s="122"/>
      <c r="D56" s="123"/>
      <c r="E56" s="53"/>
      <c r="F56" s="126">
        <f>E56*B56</f>
        <v>0</v>
      </c>
    </row>
    <row r="57" spans="1:6" x14ac:dyDescent="0.25">
      <c r="A57" s="128" t="s">
        <v>149</v>
      </c>
      <c r="B57" s="117">
        <f>$D$41</f>
        <v>5000</v>
      </c>
      <c r="C57" s="129"/>
      <c r="D57" s="103"/>
      <c r="E57" s="120">
        <f>+I20</f>
        <v>5.2499999999999998E-2</v>
      </c>
      <c r="F57" s="126">
        <f>E57*B57</f>
        <v>262.5</v>
      </c>
    </row>
    <row r="58" spans="1:6" x14ac:dyDescent="0.25">
      <c r="A58" s="112" t="s">
        <v>63</v>
      </c>
      <c r="B58" s="131"/>
      <c r="C58" s="131"/>
      <c r="D58" s="131"/>
      <c r="E58" s="131"/>
      <c r="F58" s="132"/>
    </row>
    <row r="59" spans="1:6" x14ac:dyDescent="0.25">
      <c r="A59" s="121" t="s">
        <v>150</v>
      </c>
      <c r="B59" s="117"/>
      <c r="C59" s="129"/>
      <c r="D59" s="103"/>
      <c r="E59" s="130">
        <v>4.2500000000000003E-2</v>
      </c>
      <c r="F59" s="126">
        <f t="shared" ref="F59:F60" si="2">E59*B59</f>
        <v>0</v>
      </c>
    </row>
    <row r="60" spans="1:6" x14ac:dyDescent="0.25">
      <c r="A60" s="121" t="s">
        <v>151</v>
      </c>
      <c r="B60" s="103">
        <f>I25</f>
        <v>5000</v>
      </c>
      <c r="C60" s="133">
        <v>2.4000000000000001E-4</v>
      </c>
      <c r="D60" s="103">
        <f>+C60*B60</f>
        <v>1.2</v>
      </c>
      <c r="E60" s="130">
        <v>3.6000000000000002E-4</v>
      </c>
      <c r="F60" s="126">
        <f t="shared" si="2"/>
        <v>1.8</v>
      </c>
    </row>
    <row r="61" spans="1:6" x14ac:dyDescent="0.25">
      <c r="A61" s="112" t="s">
        <v>61</v>
      </c>
      <c r="B61" s="103"/>
      <c r="C61" s="129"/>
      <c r="D61" s="103"/>
      <c r="E61" s="130"/>
      <c r="F61" s="134">
        <f>D106</f>
        <v>80.364000000000004</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5030.46</v>
      </c>
      <c r="C65" s="122">
        <v>6.8000000000000005E-2</v>
      </c>
      <c r="D65" s="123">
        <f>C65*B65</f>
        <v>342.07128</v>
      </c>
      <c r="E65" s="103"/>
      <c r="F65" s="134"/>
    </row>
    <row r="66" spans="1:6" x14ac:dyDescent="0.25">
      <c r="A66" s="106" t="s">
        <v>154</v>
      </c>
      <c r="B66" s="103">
        <f>B65</f>
        <v>5030.46</v>
      </c>
      <c r="C66" s="122">
        <v>2.9000000000000001E-2</v>
      </c>
      <c r="D66" s="123">
        <f>C66*B66</f>
        <v>145.88334</v>
      </c>
      <c r="E66" s="136"/>
      <c r="F66" s="126"/>
    </row>
    <row r="67" spans="1:6" x14ac:dyDescent="0.25">
      <c r="A67" s="137" t="s">
        <v>155</v>
      </c>
      <c r="B67" s="103">
        <f>(D24+D25)*0.9825</f>
        <v>0</v>
      </c>
      <c r="C67" s="122">
        <v>9.7000000000000003E-2</v>
      </c>
      <c r="D67" s="123">
        <f>C67*B67</f>
        <v>0</v>
      </c>
      <c r="E67" s="127"/>
      <c r="F67" s="126"/>
    </row>
    <row r="68" spans="1:6" x14ac:dyDescent="0.25">
      <c r="A68" s="137"/>
      <c r="B68" s="103">
        <f>D24+D25</f>
        <v>0</v>
      </c>
      <c r="C68" s="122">
        <v>-0.11310000000000001</v>
      </c>
      <c r="D68" s="123">
        <f>C68*B68</f>
        <v>0</v>
      </c>
      <c r="E68" s="127"/>
      <c r="F68" s="126"/>
    </row>
    <row r="69" spans="1:6" x14ac:dyDescent="0.25">
      <c r="A69" s="409" t="s">
        <v>267</v>
      </c>
      <c r="B69" s="103"/>
      <c r="C69" s="122"/>
      <c r="D69" s="123"/>
      <c r="E69" s="127"/>
      <c r="F69" s="126">
        <v>0</v>
      </c>
    </row>
    <row r="70" spans="1:6" x14ac:dyDescent="0.25">
      <c r="B70" s="138">
        <f>B24+B25</f>
        <v>0</v>
      </c>
      <c r="C70" s="53"/>
      <c r="D70" s="123"/>
      <c r="E70" s="123"/>
    </row>
    <row r="71" spans="1:6" x14ac:dyDescent="0.25">
      <c r="A71" s="106" t="s">
        <v>39</v>
      </c>
      <c r="B71" s="123"/>
      <c r="C71" s="139"/>
      <c r="D71" s="140">
        <f>SUM(D45:D70)</f>
        <v>1098.1362200000001</v>
      </c>
      <c r="E71" s="127"/>
      <c r="F71" s="141">
        <f>SUM(F45:F69)</f>
        <v>2087.2375999999999</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3901.8637799999997</v>
      </c>
    </row>
    <row r="80" spans="1:6" x14ac:dyDescent="0.25">
      <c r="A80" s="143" t="s">
        <v>40</v>
      </c>
      <c r="B80" s="123"/>
      <c r="C80" s="139"/>
      <c r="D80" s="140"/>
      <c r="E80" s="140"/>
      <c r="F80" s="144">
        <f>D41-D71+D73+D74+D75+D76+D77+D78+D79</f>
        <v>3901.8637799999997</v>
      </c>
    </row>
    <row r="81" spans="1:9" ht="33" x14ac:dyDescent="0.25">
      <c r="A81" s="106" t="s">
        <v>41</v>
      </c>
      <c r="B81" s="145"/>
      <c r="C81" s="146"/>
      <c r="D81" s="142"/>
      <c r="E81" s="142"/>
      <c r="F81" s="147"/>
    </row>
    <row r="82" spans="1:9" x14ac:dyDescent="0.25">
      <c r="A82" s="581" t="s">
        <v>42</v>
      </c>
      <c r="B82" s="581" t="s">
        <v>43</v>
      </c>
      <c r="C82" s="581" t="s">
        <v>22</v>
      </c>
      <c r="D82" s="581" t="s">
        <v>159</v>
      </c>
      <c r="E82" s="581"/>
      <c r="F82" s="581" t="s">
        <v>269</v>
      </c>
    </row>
    <row r="83" spans="1:9" x14ac:dyDescent="0.25">
      <c r="A83" s="582" t="s">
        <v>42</v>
      </c>
      <c r="B83" s="582"/>
      <c r="C83" s="582"/>
      <c r="D83" s="582"/>
      <c r="E83" s="582"/>
      <c r="F83" s="582"/>
    </row>
    <row r="84" spans="1:9" x14ac:dyDescent="0.25">
      <c r="A84" s="433" t="s">
        <v>270</v>
      </c>
      <c r="B84" s="434"/>
      <c r="C84" s="423"/>
      <c r="D84" s="435">
        <f>D41+F48+D66-D71</f>
        <v>4107.74712</v>
      </c>
      <c r="E84" s="436"/>
      <c r="F84" s="437"/>
    </row>
    <row r="85" spans="1:9" x14ac:dyDescent="0.25">
      <c r="A85" s="433" t="s">
        <v>271</v>
      </c>
      <c r="B85" s="438">
        <f>D84</f>
        <v>4107.74712</v>
      </c>
      <c r="C85" s="439">
        <f>I35</f>
        <v>0.18</v>
      </c>
      <c r="D85" s="435">
        <f>C85*B85</f>
        <v>739.39448159999995</v>
      </c>
      <c r="E85" s="436"/>
      <c r="F85" s="437"/>
    </row>
    <row r="86" spans="1:9" x14ac:dyDescent="0.25">
      <c r="A86" s="433" t="s">
        <v>272</v>
      </c>
      <c r="B86" s="150"/>
      <c r="C86" s="108"/>
      <c r="D86" s="151"/>
      <c r="E86" s="151"/>
      <c r="F86" s="149"/>
    </row>
    <row r="87" spans="1:9" x14ac:dyDescent="0.25">
      <c r="A87" s="421" t="s">
        <v>273</v>
      </c>
      <c r="B87" s="148"/>
      <c r="C87" s="152"/>
      <c r="D87" s="532">
        <f>F80-D85</f>
        <v>3162.4692983999998</v>
      </c>
      <c r="E87" s="151"/>
      <c r="F87" s="437"/>
    </row>
    <row r="88" spans="1:9" x14ac:dyDescent="0.25">
      <c r="A88" s="433" t="s">
        <v>274</v>
      </c>
      <c r="B88" s="151"/>
      <c r="C88" s="151"/>
      <c r="D88" s="532"/>
      <c r="E88" s="151"/>
      <c r="F88" s="437"/>
    </row>
    <row r="89" spans="1:9" x14ac:dyDescent="0.25">
      <c r="A89" s="433" t="s">
        <v>275</v>
      </c>
      <c r="B89" s="151"/>
      <c r="C89" s="151"/>
      <c r="D89" s="532">
        <f>D41+F71</f>
        <v>7087.2376000000004</v>
      </c>
      <c r="E89" s="151"/>
      <c r="F89" s="437"/>
    </row>
    <row r="90" spans="1:9" ht="17.25" thickBot="1" x14ac:dyDescent="0.3">
      <c r="A90" s="153" t="s">
        <v>161</v>
      </c>
      <c r="B90" s="154"/>
      <c r="C90" s="154"/>
      <c r="D90" s="154"/>
      <c r="E90" s="154"/>
      <c r="F90" s="155"/>
    </row>
    <row r="93" spans="1:9" ht="17.25" thickBot="1" x14ac:dyDescent="0.3">
      <c r="A93" s="561" t="s">
        <v>61</v>
      </c>
      <c r="B93" s="562"/>
    </row>
    <row r="94" spans="1:9" x14ac:dyDescent="0.25">
      <c r="A94" s="44"/>
      <c r="B94" s="583">
        <f>D41</f>
        <v>5000</v>
      </c>
      <c r="C94" s="566">
        <f>0.3%+0.68%+0.55%</f>
        <v>1.5300000000000001E-2</v>
      </c>
      <c r="D94" s="586">
        <f>C94*B94</f>
        <v>76.5</v>
      </c>
    </row>
    <row r="95" spans="1:9" ht="17.25" customHeight="1" x14ac:dyDescent="0.25">
      <c r="A95" s="45" t="s">
        <v>162</v>
      </c>
      <c r="B95" s="584"/>
      <c r="C95" s="567"/>
      <c r="D95" s="587"/>
      <c r="E95" s="156"/>
      <c r="F95" s="156"/>
      <c r="I95" s="156"/>
    </row>
    <row r="96" spans="1:9" x14ac:dyDescent="0.25">
      <c r="A96" s="45"/>
      <c r="B96" s="584"/>
      <c r="C96" s="567"/>
      <c r="D96" s="587"/>
      <c r="E96" s="156"/>
      <c r="F96" s="156"/>
      <c r="I96" s="156"/>
    </row>
    <row r="97" spans="1:9" x14ac:dyDescent="0.25">
      <c r="A97" s="45" t="s">
        <v>68</v>
      </c>
      <c r="B97" s="584"/>
      <c r="C97" s="567"/>
      <c r="D97" s="587"/>
      <c r="E97" s="156"/>
      <c r="F97" s="156"/>
      <c r="I97" s="156"/>
    </row>
    <row r="98" spans="1:9" s="156" customFormat="1" x14ac:dyDescent="0.25">
      <c r="A98" s="45" t="s">
        <v>69</v>
      </c>
      <c r="B98" s="584"/>
      <c r="C98" s="567"/>
      <c r="D98" s="587"/>
      <c r="G98" s="51"/>
      <c r="H98" s="51"/>
    </row>
    <row r="99" spans="1:9" s="156" customFormat="1" x14ac:dyDescent="0.25">
      <c r="A99" s="45" t="s">
        <v>163</v>
      </c>
      <c r="B99" s="584"/>
      <c r="C99" s="567"/>
      <c r="D99" s="587"/>
      <c r="G99" s="51"/>
    </row>
    <row r="100" spans="1:9" s="156" customFormat="1" ht="17.25" thickBot="1" x14ac:dyDescent="0.3">
      <c r="A100" s="46" t="s">
        <v>296</v>
      </c>
      <c r="B100" s="585"/>
      <c r="C100" s="568"/>
      <c r="D100" s="588"/>
      <c r="G100" s="51"/>
    </row>
    <row r="101" spans="1:9" s="156" customFormat="1" ht="17.25" thickBot="1" x14ac:dyDescent="0.3">
      <c r="A101" s="51"/>
      <c r="B101" s="157"/>
      <c r="C101" s="157"/>
      <c r="D101" s="157"/>
      <c r="G101" s="51"/>
    </row>
    <row r="102" spans="1:9" s="156" customFormat="1" ht="17.25" thickBot="1" x14ac:dyDescent="0.3">
      <c r="A102" s="158" t="s">
        <v>70</v>
      </c>
      <c r="B102" s="159">
        <f>I22</f>
        <v>3864</v>
      </c>
      <c r="C102" s="160">
        <v>1E-3</v>
      </c>
      <c r="D102" s="161">
        <f>C102*B102</f>
        <v>3.8639999999999999</v>
      </c>
      <c r="G102" s="51"/>
    </row>
    <row r="103" spans="1:9" s="156" customFormat="1" ht="17.25" thickBot="1" x14ac:dyDescent="0.3">
      <c r="A103" s="51"/>
      <c r="B103" s="51"/>
      <c r="C103" s="51"/>
      <c r="D103" s="51"/>
    </row>
    <row r="104" spans="1:9" s="156" customFormat="1" ht="17.25" thickBot="1" x14ac:dyDescent="0.3">
      <c r="A104" s="162" t="s">
        <v>71</v>
      </c>
      <c r="B104" s="163"/>
      <c r="C104" s="163"/>
      <c r="D104" s="164">
        <f>D94+D102</f>
        <v>80.364000000000004</v>
      </c>
    </row>
    <row r="105" spans="1:9" s="156" customFormat="1" ht="17.25" thickBot="1" x14ac:dyDescent="0.3">
      <c r="A105" s="51"/>
      <c r="B105" s="51"/>
      <c r="C105" s="51"/>
      <c r="D105" s="51"/>
    </row>
    <row r="106" spans="1:9" s="156" customFormat="1" ht="17.25" thickBot="1" x14ac:dyDescent="0.3">
      <c r="A106" s="162" t="s">
        <v>71</v>
      </c>
      <c r="B106" s="163"/>
      <c r="C106" s="163"/>
      <c r="D106" s="164">
        <f>D96+D104</f>
        <v>80.364000000000004</v>
      </c>
    </row>
    <row r="107" spans="1:9" s="156" customFormat="1" ht="17.25" thickBot="1" x14ac:dyDescent="0.3">
      <c r="A107" s="51"/>
      <c r="B107" s="51"/>
      <c r="C107" s="51"/>
      <c r="D107" s="51"/>
    </row>
    <row r="108" spans="1:9" s="156" customFormat="1" x14ac:dyDescent="0.25">
      <c r="A108" s="572" t="s">
        <v>72</v>
      </c>
      <c r="B108" s="573"/>
      <c r="C108" s="573"/>
      <c r="D108" s="574"/>
    </row>
    <row r="109" spans="1:9" s="156" customFormat="1" x14ac:dyDescent="0.25">
      <c r="A109" s="165" t="s">
        <v>73</v>
      </c>
      <c r="B109" s="166">
        <f>B90</f>
        <v>0</v>
      </c>
      <c r="C109" s="167"/>
      <c r="D109" s="168">
        <f>C109*B109</f>
        <v>0</v>
      </c>
    </row>
    <row r="110" spans="1:9" s="156" customFormat="1" x14ac:dyDescent="0.25">
      <c r="A110" s="165" t="s">
        <v>74</v>
      </c>
      <c r="B110" s="166">
        <f>D41</f>
        <v>5000</v>
      </c>
      <c r="C110" s="167">
        <v>7.4999999999999997E-3</v>
      </c>
      <c r="D110" s="168">
        <f t="shared" ref="D110:D111" si="3">C110*B110</f>
        <v>37.5</v>
      </c>
    </row>
    <row r="111" spans="1:9" s="156" customFormat="1" x14ac:dyDescent="0.25">
      <c r="A111" s="165" t="s">
        <v>75</v>
      </c>
      <c r="B111" s="166">
        <f>B66+B67</f>
        <v>5030.46</v>
      </c>
      <c r="C111" s="167">
        <v>-1.7000000000000001E-2</v>
      </c>
      <c r="D111" s="168">
        <f t="shared" si="3"/>
        <v>-85.51782</v>
      </c>
    </row>
    <row r="112" spans="1:9" s="156" customFormat="1" x14ac:dyDescent="0.25">
      <c r="A112" s="169"/>
      <c r="B112" s="170"/>
      <c r="C112" s="171"/>
      <c r="D112" s="172"/>
    </row>
    <row r="113" spans="1:6" s="156" customFormat="1" ht="17.25" thickBot="1" x14ac:dyDescent="0.3">
      <c r="A113" s="173" t="s">
        <v>76</v>
      </c>
      <c r="B113" s="174"/>
      <c r="C113" s="175"/>
      <c r="D113" s="176">
        <f>SUM(D109:D112)</f>
        <v>-48.01782</v>
      </c>
      <c r="F113" s="533" t="s">
        <v>292</v>
      </c>
    </row>
    <row r="114" spans="1:6" s="156" customFormat="1" ht="15" x14ac:dyDescent="0.25"/>
  </sheetData>
  <mergeCells count="13">
    <mergeCell ref="A108:D108"/>
    <mergeCell ref="E17:F17"/>
    <mergeCell ref="A82:A83"/>
    <mergeCell ref="B82:B83"/>
    <mergeCell ref="D82:D83"/>
    <mergeCell ref="C82:C83"/>
    <mergeCell ref="E82:E83"/>
    <mergeCell ref="F82:F83"/>
    <mergeCell ref="A93:B93"/>
    <mergeCell ref="B94:B100"/>
    <mergeCell ref="C94:C100"/>
    <mergeCell ref="D94:D100"/>
    <mergeCell ref="B17:C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1238-99C1-4961-ACC7-49FDCBC88E63}">
  <sheetPr>
    <tabColor rgb="FFFF0000"/>
  </sheetPr>
  <dimension ref="A6:N96"/>
  <sheetViews>
    <sheetView topLeftCell="A62" workbookViewId="0">
      <selection activeCell="L21" sqref="L21"/>
    </sheetView>
  </sheetViews>
  <sheetFormatPr baseColWidth="10" defaultRowHeight="15" x14ac:dyDescent="0.25"/>
  <cols>
    <col min="1" max="1" width="21.42578125" style="1" customWidth="1"/>
    <col min="2" max="2" width="13" style="1" bestFit="1" customWidth="1"/>
    <col min="3" max="3" width="12.7109375" style="1" bestFit="1" customWidth="1"/>
    <col min="4" max="5" width="16.85546875" style="1" bestFit="1" customWidth="1"/>
    <col min="6" max="6" width="12.42578125" style="1" bestFit="1" customWidth="1"/>
    <col min="7" max="7" width="12.85546875" style="1" customWidth="1"/>
    <col min="8" max="8" width="13" style="1" bestFit="1" customWidth="1"/>
    <col min="9" max="9" width="13.7109375" style="1" customWidth="1"/>
    <col min="10" max="10" width="14.42578125" style="1" customWidth="1"/>
    <col min="11" max="11" width="11.85546875" style="1" bestFit="1" customWidth="1"/>
    <col min="12" max="12" width="11.5703125" style="1" bestFit="1" customWidth="1"/>
    <col min="13" max="16384" width="11.42578125" style="1"/>
  </cols>
  <sheetData>
    <row r="6" spans="1:8" ht="23.25" x14ac:dyDescent="0.25">
      <c r="A6" s="186" t="s">
        <v>165</v>
      </c>
      <c r="B6" s="187"/>
      <c r="C6" s="187"/>
      <c r="D6" s="187"/>
      <c r="E6" s="187"/>
      <c r="F6" s="187"/>
      <c r="G6" s="187"/>
      <c r="H6" s="187"/>
    </row>
    <row r="8" spans="1:8" ht="18.75" x14ac:dyDescent="0.25">
      <c r="A8" s="188" t="s">
        <v>166</v>
      </c>
      <c r="D8" s="189">
        <v>3428</v>
      </c>
    </row>
    <row r="9" spans="1:8" ht="15.75" thickBot="1" x14ac:dyDescent="0.3"/>
    <row r="10" spans="1:8" ht="30" x14ac:dyDescent="0.25">
      <c r="A10" s="190" t="s">
        <v>90</v>
      </c>
      <c r="B10" s="6" t="s">
        <v>160</v>
      </c>
      <c r="C10" s="6" t="s">
        <v>167</v>
      </c>
      <c r="D10" s="6" t="s">
        <v>168</v>
      </c>
      <c r="E10" s="191" t="s">
        <v>169</v>
      </c>
      <c r="F10" s="191" t="s">
        <v>170</v>
      </c>
      <c r="G10" s="191" t="s">
        <v>171</v>
      </c>
      <c r="H10" s="192" t="s">
        <v>172</v>
      </c>
    </row>
    <row r="11" spans="1:8" x14ac:dyDescent="0.25">
      <c r="A11" s="193">
        <v>43831</v>
      </c>
      <c r="B11" s="194">
        <v>5000</v>
      </c>
      <c r="C11" s="195">
        <f>B11</f>
        <v>5000</v>
      </c>
      <c r="D11" s="195">
        <f>$D$8</f>
        <v>3428</v>
      </c>
      <c r="E11" s="195">
        <f>D11</f>
        <v>3428</v>
      </c>
      <c r="F11" s="195">
        <f>MIN(C11,E11)</f>
        <v>3428</v>
      </c>
      <c r="G11" s="195">
        <f>F11</f>
        <v>3428</v>
      </c>
      <c r="H11" s="196">
        <f t="shared" ref="H11:H22" si="0">B11-G11</f>
        <v>1572</v>
      </c>
    </row>
    <row r="12" spans="1:8" x14ac:dyDescent="0.25">
      <c r="A12" s="193">
        <v>43862</v>
      </c>
      <c r="B12" s="194">
        <v>2000</v>
      </c>
      <c r="C12" s="195">
        <f>C11+B12</f>
        <v>7000</v>
      </c>
      <c r="D12" s="195">
        <f t="shared" ref="D12:D22" si="1">$D$8</f>
        <v>3428</v>
      </c>
      <c r="E12" s="195">
        <f>E11+D12</f>
        <v>6856</v>
      </c>
      <c r="F12" s="197">
        <f t="shared" ref="F12:F22" si="2">MIN(C12,E12)</f>
        <v>6856</v>
      </c>
      <c r="G12" s="198">
        <f>F12-F11</f>
        <v>3428</v>
      </c>
      <c r="H12" s="196">
        <f>B12-G12</f>
        <v>-1428</v>
      </c>
    </row>
    <row r="13" spans="1:8" x14ac:dyDescent="0.25">
      <c r="A13" s="193">
        <v>43891</v>
      </c>
      <c r="B13" s="194"/>
      <c r="C13" s="195">
        <f>C12+B13</f>
        <v>7000</v>
      </c>
      <c r="D13" s="195">
        <f t="shared" si="1"/>
        <v>3428</v>
      </c>
      <c r="E13" s="195">
        <f t="shared" ref="E13:E22" si="3">E12+D13</f>
        <v>10284</v>
      </c>
      <c r="F13" s="195">
        <f>MIN(C13,E13)</f>
        <v>7000</v>
      </c>
      <c r="G13" s="195">
        <f>F13-F12</f>
        <v>144</v>
      </c>
      <c r="H13" s="196">
        <f t="shared" si="0"/>
        <v>-144</v>
      </c>
    </row>
    <row r="14" spans="1:8" x14ac:dyDescent="0.25">
      <c r="A14" s="193">
        <v>43922</v>
      </c>
      <c r="B14" s="194"/>
      <c r="C14" s="195">
        <f t="shared" ref="C14:C22" si="4">C13+B14</f>
        <v>7000</v>
      </c>
      <c r="D14" s="195">
        <f t="shared" si="1"/>
        <v>3428</v>
      </c>
      <c r="E14" s="195">
        <f t="shared" si="3"/>
        <v>13712</v>
      </c>
      <c r="F14" s="195">
        <f t="shared" si="2"/>
        <v>7000</v>
      </c>
      <c r="G14" s="195">
        <f t="shared" ref="G14:G22" si="5">F14-F13</f>
        <v>0</v>
      </c>
      <c r="H14" s="196">
        <f t="shared" si="0"/>
        <v>0</v>
      </c>
    </row>
    <row r="15" spans="1:8" x14ac:dyDescent="0.25">
      <c r="A15" s="193">
        <v>43952</v>
      </c>
      <c r="B15" s="194"/>
      <c r="C15" s="195">
        <f t="shared" si="4"/>
        <v>7000</v>
      </c>
      <c r="D15" s="195">
        <f t="shared" si="1"/>
        <v>3428</v>
      </c>
      <c r="E15" s="195">
        <f t="shared" si="3"/>
        <v>17140</v>
      </c>
      <c r="F15" s="195">
        <f t="shared" si="2"/>
        <v>7000</v>
      </c>
      <c r="G15" s="195">
        <f t="shared" si="5"/>
        <v>0</v>
      </c>
      <c r="H15" s="196">
        <f t="shared" si="0"/>
        <v>0</v>
      </c>
    </row>
    <row r="16" spans="1:8" x14ac:dyDescent="0.25">
      <c r="A16" s="193">
        <v>43983</v>
      </c>
      <c r="B16" s="194"/>
      <c r="C16" s="195">
        <f t="shared" si="4"/>
        <v>7000</v>
      </c>
      <c r="D16" s="195">
        <f t="shared" si="1"/>
        <v>3428</v>
      </c>
      <c r="E16" s="195">
        <f t="shared" si="3"/>
        <v>20568</v>
      </c>
      <c r="F16" s="195">
        <f t="shared" si="2"/>
        <v>7000</v>
      </c>
      <c r="G16" s="195">
        <f t="shared" si="5"/>
        <v>0</v>
      </c>
      <c r="H16" s="196">
        <f t="shared" si="0"/>
        <v>0</v>
      </c>
    </row>
    <row r="17" spans="1:11" x14ac:dyDescent="0.25">
      <c r="A17" s="193">
        <v>44013</v>
      </c>
      <c r="B17" s="194"/>
      <c r="C17" s="195">
        <f t="shared" si="4"/>
        <v>7000</v>
      </c>
      <c r="D17" s="195">
        <f t="shared" si="1"/>
        <v>3428</v>
      </c>
      <c r="E17" s="195">
        <f t="shared" si="3"/>
        <v>23996</v>
      </c>
      <c r="F17" s="195">
        <f t="shared" si="2"/>
        <v>7000</v>
      </c>
      <c r="G17" s="195">
        <f t="shared" si="5"/>
        <v>0</v>
      </c>
      <c r="H17" s="196">
        <f t="shared" si="0"/>
        <v>0</v>
      </c>
    </row>
    <row r="18" spans="1:11" x14ac:dyDescent="0.25">
      <c r="A18" s="193">
        <v>44044</v>
      </c>
      <c r="B18" s="194"/>
      <c r="C18" s="195">
        <f t="shared" si="4"/>
        <v>7000</v>
      </c>
      <c r="D18" s="195">
        <f t="shared" si="1"/>
        <v>3428</v>
      </c>
      <c r="E18" s="195">
        <f t="shared" si="3"/>
        <v>27424</v>
      </c>
      <c r="F18" s="195">
        <f t="shared" si="2"/>
        <v>7000</v>
      </c>
      <c r="G18" s="195">
        <f t="shared" si="5"/>
        <v>0</v>
      </c>
      <c r="H18" s="196">
        <f t="shared" si="0"/>
        <v>0</v>
      </c>
    </row>
    <row r="19" spans="1:11" x14ac:dyDescent="0.25">
      <c r="A19" s="193">
        <v>44075</v>
      </c>
      <c r="B19" s="194"/>
      <c r="C19" s="195">
        <f t="shared" si="4"/>
        <v>7000</v>
      </c>
      <c r="D19" s="195">
        <f t="shared" si="1"/>
        <v>3428</v>
      </c>
      <c r="E19" s="195">
        <f t="shared" si="3"/>
        <v>30852</v>
      </c>
      <c r="F19" s="195">
        <f t="shared" si="2"/>
        <v>7000</v>
      </c>
      <c r="G19" s="195">
        <f t="shared" si="5"/>
        <v>0</v>
      </c>
      <c r="H19" s="196">
        <f t="shared" si="0"/>
        <v>0</v>
      </c>
    </row>
    <row r="20" spans="1:11" x14ac:dyDescent="0.25">
      <c r="A20" s="193">
        <v>44105</v>
      </c>
      <c r="B20" s="194"/>
      <c r="C20" s="195">
        <f t="shared" si="4"/>
        <v>7000</v>
      </c>
      <c r="D20" s="195">
        <f t="shared" si="1"/>
        <v>3428</v>
      </c>
      <c r="E20" s="195">
        <f t="shared" si="3"/>
        <v>34280</v>
      </c>
      <c r="F20" s="195">
        <f t="shared" si="2"/>
        <v>7000</v>
      </c>
      <c r="G20" s="195">
        <f t="shared" si="5"/>
        <v>0</v>
      </c>
      <c r="H20" s="196">
        <f t="shared" si="0"/>
        <v>0</v>
      </c>
    </row>
    <row r="21" spans="1:11" x14ac:dyDescent="0.25">
      <c r="A21" s="193">
        <v>44136</v>
      </c>
      <c r="B21" s="194"/>
      <c r="C21" s="195">
        <f t="shared" si="4"/>
        <v>7000</v>
      </c>
      <c r="D21" s="195">
        <f t="shared" si="1"/>
        <v>3428</v>
      </c>
      <c r="E21" s="195">
        <f t="shared" si="3"/>
        <v>37708</v>
      </c>
      <c r="F21" s="195">
        <f t="shared" si="2"/>
        <v>7000</v>
      </c>
      <c r="G21" s="195">
        <f t="shared" si="5"/>
        <v>0</v>
      </c>
      <c r="H21" s="196">
        <f t="shared" si="0"/>
        <v>0</v>
      </c>
    </row>
    <row r="22" spans="1:11" ht="15.75" thickBot="1" x14ac:dyDescent="0.3">
      <c r="A22" s="199">
        <v>44166</v>
      </c>
      <c r="B22" s="200"/>
      <c r="C22" s="201">
        <f t="shared" si="4"/>
        <v>7000</v>
      </c>
      <c r="D22" s="201">
        <f t="shared" si="1"/>
        <v>3428</v>
      </c>
      <c r="E22" s="201">
        <f t="shared" si="3"/>
        <v>41136</v>
      </c>
      <c r="F22" s="201">
        <f t="shared" si="2"/>
        <v>7000</v>
      </c>
      <c r="G22" s="201">
        <f t="shared" si="5"/>
        <v>0</v>
      </c>
      <c r="H22" s="202">
        <f t="shared" si="0"/>
        <v>0</v>
      </c>
    </row>
    <row r="23" spans="1:11" x14ac:dyDescent="0.25">
      <c r="A23" s="203"/>
      <c r="B23" s="204"/>
      <c r="C23" s="205"/>
      <c r="D23" s="205"/>
      <c r="E23" s="205"/>
      <c r="F23" s="205"/>
      <c r="G23" s="205"/>
      <c r="H23" s="205"/>
    </row>
    <row r="24" spans="1:11" x14ac:dyDescent="0.25">
      <c r="A24" s="203"/>
      <c r="B24" s="204"/>
      <c r="C24" s="205"/>
      <c r="D24" s="205"/>
      <c r="E24" s="205"/>
      <c r="F24" s="205"/>
      <c r="G24" s="205"/>
      <c r="H24" s="205"/>
    </row>
    <row r="26" spans="1:11" ht="23.25" x14ac:dyDescent="0.25">
      <c r="A26" s="206" t="s">
        <v>173</v>
      </c>
      <c r="B26" s="187"/>
      <c r="C26" s="187"/>
      <c r="D26" s="187"/>
      <c r="E26" s="187"/>
      <c r="F26" s="187"/>
      <c r="G26" s="187"/>
      <c r="H26" s="187"/>
    </row>
    <row r="28" spans="1:11" ht="15.75" thickBot="1" x14ac:dyDescent="0.3"/>
    <row r="29" spans="1:11" ht="45" x14ac:dyDescent="0.25">
      <c r="A29" s="207"/>
      <c r="B29" s="208" t="s">
        <v>160</v>
      </c>
      <c r="C29" s="208" t="s">
        <v>167</v>
      </c>
      <c r="D29" s="209" t="s">
        <v>174</v>
      </c>
      <c r="E29" s="209" t="s">
        <v>175</v>
      </c>
      <c r="F29" s="209" t="s">
        <v>176</v>
      </c>
      <c r="G29" s="209" t="s">
        <v>177</v>
      </c>
      <c r="H29" s="191" t="s">
        <v>178</v>
      </c>
      <c r="I29" s="209" t="s">
        <v>179</v>
      </c>
      <c r="J29" s="210" t="s">
        <v>180</v>
      </c>
      <c r="K29" s="211" t="s">
        <v>181</v>
      </c>
    </row>
    <row r="30" spans="1:11" x14ac:dyDescent="0.25">
      <c r="A30" s="212" t="s">
        <v>182</v>
      </c>
      <c r="B30" s="213"/>
      <c r="C30" s="213">
        <f>B30</f>
        <v>0</v>
      </c>
      <c r="D30" s="214">
        <f>+B30</f>
        <v>0</v>
      </c>
      <c r="E30" s="230">
        <v>1603.12</v>
      </c>
      <c r="F30" s="213">
        <f t="shared" ref="F30:F41" si="6">2.5*E30</f>
        <v>4007.7999999999997</v>
      </c>
      <c r="G30" s="213">
        <f>F30</f>
        <v>4007.7999999999997</v>
      </c>
      <c r="H30" s="35" t="str">
        <f t="shared" ref="H30:H41" si="7">IF(C30&gt;G30,"OUI","")</f>
        <v/>
      </c>
      <c r="I30" s="215">
        <f>IF(H30="OUI",C30,0)</f>
        <v>0</v>
      </c>
      <c r="J30" s="214">
        <f>I30</f>
        <v>0</v>
      </c>
      <c r="K30" s="216">
        <f>(D30*7%)+(J30*6%)</f>
        <v>0</v>
      </c>
    </row>
    <row r="31" spans="1:11" x14ac:dyDescent="0.25">
      <c r="A31" s="212" t="s">
        <v>183</v>
      </c>
      <c r="B31" s="213"/>
      <c r="C31" s="213">
        <f>C30+B31</f>
        <v>0</v>
      </c>
      <c r="D31" s="214">
        <f t="shared" ref="D31:D41" si="8">B31</f>
        <v>0</v>
      </c>
      <c r="E31" s="230">
        <v>1603.12</v>
      </c>
      <c r="F31" s="213">
        <f t="shared" si="6"/>
        <v>4007.7999999999997</v>
      </c>
      <c r="G31" s="213">
        <f t="shared" ref="G31:G41" si="9">G30+F31</f>
        <v>8015.5999999999995</v>
      </c>
      <c r="H31" s="35" t="str">
        <f>IF(C31&gt;G31,"OUI","")</f>
        <v/>
      </c>
      <c r="I31" s="215">
        <f>IF(H31="OUI",C31,0)</f>
        <v>0</v>
      </c>
      <c r="J31" s="214">
        <f t="shared" ref="J31:J41" si="10">I31-I30</f>
        <v>0</v>
      </c>
      <c r="K31" s="216">
        <f t="shared" ref="K31:K33" si="11">(D31*7%)+(J31*6%)</f>
        <v>0</v>
      </c>
    </row>
    <row r="32" spans="1:11" x14ac:dyDescent="0.25">
      <c r="A32" s="212" t="s">
        <v>184</v>
      </c>
      <c r="B32" s="213"/>
      <c r="C32" s="213">
        <f>C31+B32</f>
        <v>0</v>
      </c>
      <c r="D32" s="214">
        <f t="shared" si="8"/>
        <v>0</v>
      </c>
      <c r="E32" s="230">
        <v>1603.12</v>
      </c>
      <c r="F32" s="213">
        <f t="shared" si="6"/>
        <v>4007.7999999999997</v>
      </c>
      <c r="G32" s="213">
        <f t="shared" si="9"/>
        <v>12023.4</v>
      </c>
      <c r="H32" s="35" t="str">
        <f t="shared" si="7"/>
        <v/>
      </c>
      <c r="I32" s="215">
        <f t="shared" ref="I32:I41" si="12">IF(H32="OUI",C32,0)</f>
        <v>0</v>
      </c>
      <c r="J32" s="214">
        <f t="shared" si="10"/>
        <v>0</v>
      </c>
      <c r="K32" s="216">
        <f t="shared" si="11"/>
        <v>0</v>
      </c>
    </row>
    <row r="33" spans="1:14" x14ac:dyDescent="0.25">
      <c r="A33" s="212" t="s">
        <v>185</v>
      </c>
      <c r="B33" s="213"/>
      <c r="C33" s="213">
        <f>C32+B33</f>
        <v>0</v>
      </c>
      <c r="D33" s="214">
        <f t="shared" si="8"/>
        <v>0</v>
      </c>
      <c r="E33" s="230">
        <v>1603.12</v>
      </c>
      <c r="F33" s="213">
        <f t="shared" si="6"/>
        <v>4007.7999999999997</v>
      </c>
      <c r="G33" s="213">
        <f t="shared" si="9"/>
        <v>16031.199999999999</v>
      </c>
      <c r="H33" s="35" t="str">
        <f t="shared" si="7"/>
        <v/>
      </c>
      <c r="I33" s="215">
        <f t="shared" si="12"/>
        <v>0</v>
      </c>
      <c r="J33" s="214">
        <f t="shared" si="10"/>
        <v>0</v>
      </c>
      <c r="K33" s="216">
        <f t="shared" si="11"/>
        <v>0</v>
      </c>
    </row>
    <row r="34" spans="1:14" x14ac:dyDescent="0.25">
      <c r="A34" s="212" t="s">
        <v>186</v>
      </c>
      <c r="B34" s="213"/>
      <c r="C34" s="213">
        <f>C33+B34</f>
        <v>0</v>
      </c>
      <c r="D34" s="214">
        <f t="shared" si="8"/>
        <v>0</v>
      </c>
      <c r="E34" s="230">
        <v>1603.12</v>
      </c>
      <c r="F34" s="213">
        <f t="shared" si="6"/>
        <v>4007.7999999999997</v>
      </c>
      <c r="G34" s="213">
        <f t="shared" si="9"/>
        <v>20039</v>
      </c>
      <c r="H34" s="35" t="str">
        <f t="shared" si="7"/>
        <v/>
      </c>
      <c r="I34" s="215">
        <f t="shared" si="12"/>
        <v>0</v>
      </c>
      <c r="J34" s="214">
        <f t="shared" si="10"/>
        <v>0</v>
      </c>
      <c r="K34" s="216">
        <f>(J34*6%)+(D34*7%)</f>
        <v>0</v>
      </c>
    </row>
    <row r="35" spans="1:14" x14ac:dyDescent="0.25">
      <c r="A35" s="212" t="s">
        <v>187</v>
      </c>
      <c r="B35" s="213"/>
      <c r="C35" s="213">
        <f t="shared" ref="C35:C39" si="13">C34+B35</f>
        <v>0</v>
      </c>
      <c r="D35" s="214">
        <f t="shared" si="8"/>
        <v>0</v>
      </c>
      <c r="E35" s="230">
        <v>1603.12</v>
      </c>
      <c r="F35" s="213">
        <f t="shared" si="6"/>
        <v>4007.7999999999997</v>
      </c>
      <c r="G35" s="213">
        <f t="shared" si="9"/>
        <v>24046.799999999999</v>
      </c>
      <c r="H35" s="35" t="str">
        <f t="shared" si="7"/>
        <v/>
      </c>
      <c r="I35" s="215">
        <f t="shared" si="12"/>
        <v>0</v>
      </c>
      <c r="J35" s="214">
        <f t="shared" si="10"/>
        <v>0</v>
      </c>
      <c r="K35" s="216">
        <f>(J35*6%)+(D35*7%)</f>
        <v>0</v>
      </c>
      <c r="N35" s="217"/>
    </row>
    <row r="36" spans="1:14" x14ac:dyDescent="0.25">
      <c r="A36" s="212" t="s">
        <v>188</v>
      </c>
      <c r="B36" s="213"/>
      <c r="C36" s="213">
        <f t="shared" si="13"/>
        <v>0</v>
      </c>
      <c r="D36" s="214">
        <f t="shared" si="8"/>
        <v>0</v>
      </c>
      <c r="E36" s="230">
        <v>1603.12</v>
      </c>
      <c r="F36" s="213">
        <f t="shared" si="6"/>
        <v>4007.7999999999997</v>
      </c>
      <c r="G36" s="213">
        <f t="shared" si="9"/>
        <v>28054.6</v>
      </c>
      <c r="H36" s="35" t="str">
        <f t="shared" si="7"/>
        <v/>
      </c>
      <c r="I36" s="215">
        <f t="shared" si="12"/>
        <v>0</v>
      </c>
      <c r="J36" s="214">
        <f t="shared" si="10"/>
        <v>0</v>
      </c>
      <c r="K36" s="216">
        <f t="shared" ref="K36:K40" si="14">(J36*6%)+(D36*7%)</f>
        <v>0</v>
      </c>
      <c r="N36" s="217"/>
    </row>
    <row r="37" spans="1:14" x14ac:dyDescent="0.25">
      <c r="A37" s="212" t="s">
        <v>189</v>
      </c>
      <c r="B37" s="213"/>
      <c r="C37" s="213">
        <f t="shared" si="13"/>
        <v>0</v>
      </c>
      <c r="D37" s="214">
        <f t="shared" si="8"/>
        <v>0</v>
      </c>
      <c r="E37" s="230">
        <v>1603.12</v>
      </c>
      <c r="F37" s="213">
        <f t="shared" si="6"/>
        <v>4007.7999999999997</v>
      </c>
      <c r="G37" s="213">
        <f t="shared" si="9"/>
        <v>32062.399999999998</v>
      </c>
      <c r="H37" s="35" t="str">
        <f t="shared" si="7"/>
        <v/>
      </c>
      <c r="I37" s="215">
        <f t="shared" si="12"/>
        <v>0</v>
      </c>
      <c r="J37" s="214">
        <f t="shared" si="10"/>
        <v>0</v>
      </c>
      <c r="K37" s="216">
        <f t="shared" si="14"/>
        <v>0</v>
      </c>
      <c r="N37" s="217"/>
    </row>
    <row r="38" spans="1:14" x14ac:dyDescent="0.25">
      <c r="A38" s="212" t="s">
        <v>190</v>
      </c>
      <c r="B38" s="213"/>
      <c r="C38" s="213">
        <f t="shared" si="13"/>
        <v>0</v>
      </c>
      <c r="D38" s="214">
        <f t="shared" si="8"/>
        <v>0</v>
      </c>
      <c r="E38" s="230">
        <v>1603.12</v>
      </c>
      <c r="F38" s="213">
        <f t="shared" si="6"/>
        <v>4007.7999999999997</v>
      </c>
      <c r="G38" s="213">
        <f t="shared" si="9"/>
        <v>36070.199999999997</v>
      </c>
      <c r="H38" s="35" t="str">
        <f t="shared" si="7"/>
        <v/>
      </c>
      <c r="I38" s="215">
        <f t="shared" si="12"/>
        <v>0</v>
      </c>
      <c r="J38" s="214">
        <f t="shared" si="10"/>
        <v>0</v>
      </c>
      <c r="K38" s="216">
        <f t="shared" si="14"/>
        <v>0</v>
      </c>
      <c r="N38" s="217"/>
    </row>
    <row r="39" spans="1:14" x14ac:dyDescent="0.25">
      <c r="A39" s="212" t="s">
        <v>191</v>
      </c>
      <c r="B39" s="213"/>
      <c r="C39" s="213">
        <f t="shared" si="13"/>
        <v>0</v>
      </c>
      <c r="D39" s="214">
        <f t="shared" si="8"/>
        <v>0</v>
      </c>
      <c r="E39" s="230">
        <v>1603.12</v>
      </c>
      <c r="F39" s="213">
        <f t="shared" si="6"/>
        <v>4007.7999999999997</v>
      </c>
      <c r="G39" s="213">
        <f t="shared" si="9"/>
        <v>40078</v>
      </c>
      <c r="H39" s="35" t="str">
        <f t="shared" si="7"/>
        <v/>
      </c>
      <c r="I39" s="215">
        <f t="shared" si="12"/>
        <v>0</v>
      </c>
      <c r="J39" s="214">
        <f t="shared" si="10"/>
        <v>0</v>
      </c>
      <c r="K39" s="216">
        <f t="shared" si="14"/>
        <v>0</v>
      </c>
      <c r="N39" s="217"/>
    </row>
    <row r="40" spans="1:14" x14ac:dyDescent="0.25">
      <c r="A40" s="212" t="s">
        <v>192</v>
      </c>
      <c r="B40" s="213"/>
      <c r="C40" s="213">
        <f>C39+B40</f>
        <v>0</v>
      </c>
      <c r="D40" s="214">
        <f t="shared" si="8"/>
        <v>0</v>
      </c>
      <c r="E40" s="230">
        <v>1603.12</v>
      </c>
      <c r="F40" s="213">
        <f t="shared" si="6"/>
        <v>4007.7999999999997</v>
      </c>
      <c r="G40" s="213">
        <f t="shared" si="9"/>
        <v>44085.8</v>
      </c>
      <c r="H40" s="35" t="str">
        <f t="shared" si="7"/>
        <v/>
      </c>
      <c r="I40" s="215">
        <f t="shared" si="12"/>
        <v>0</v>
      </c>
      <c r="J40" s="214">
        <f t="shared" si="10"/>
        <v>0</v>
      </c>
      <c r="K40" s="216">
        <f t="shared" si="14"/>
        <v>0</v>
      </c>
    </row>
    <row r="41" spans="1:14" ht="15.75" thickBot="1" x14ac:dyDescent="0.3">
      <c r="A41" s="218" t="s">
        <v>193</v>
      </c>
      <c r="B41" s="219"/>
      <c r="C41" s="219">
        <f t="shared" ref="C41" si="15">C40+B41</f>
        <v>0</v>
      </c>
      <c r="D41" s="220">
        <f t="shared" si="8"/>
        <v>0</v>
      </c>
      <c r="E41" s="230">
        <v>1603.12</v>
      </c>
      <c r="F41" s="219">
        <f t="shared" si="6"/>
        <v>4007.7999999999997</v>
      </c>
      <c r="G41" s="219">
        <f t="shared" si="9"/>
        <v>48093.600000000006</v>
      </c>
      <c r="H41" s="221" t="str">
        <f t="shared" si="7"/>
        <v/>
      </c>
      <c r="I41" s="222">
        <f t="shared" si="12"/>
        <v>0</v>
      </c>
      <c r="J41" s="220">
        <f t="shared" si="10"/>
        <v>0</v>
      </c>
      <c r="K41" s="223">
        <f>(J41*6%)+(D41*7%)</f>
        <v>0</v>
      </c>
    </row>
    <row r="43" spans="1:14" ht="23.25" x14ac:dyDescent="0.25">
      <c r="A43" s="206" t="s">
        <v>194</v>
      </c>
      <c r="B43" s="187"/>
      <c r="C43" s="187"/>
      <c r="D43" s="187"/>
      <c r="E43" s="187"/>
      <c r="F43" s="187"/>
      <c r="G43" s="187"/>
      <c r="H43" s="187"/>
    </row>
    <row r="45" spans="1:14" ht="15.75" thickBot="1" x14ac:dyDescent="0.3"/>
    <row r="46" spans="1:14" s="224" customFormat="1" ht="45" x14ac:dyDescent="0.25">
      <c r="A46" s="207"/>
      <c r="B46" s="208" t="s">
        <v>160</v>
      </c>
      <c r="C46" s="208" t="s">
        <v>167</v>
      </c>
      <c r="D46" s="209" t="s">
        <v>195</v>
      </c>
      <c r="E46" s="209" t="s">
        <v>175</v>
      </c>
      <c r="F46" s="209" t="s">
        <v>196</v>
      </c>
      <c r="G46" s="209" t="s">
        <v>197</v>
      </c>
      <c r="H46" s="191" t="s">
        <v>198</v>
      </c>
      <c r="I46" s="209" t="s">
        <v>199</v>
      </c>
      <c r="J46" s="210" t="s">
        <v>200</v>
      </c>
      <c r="K46" s="211" t="s">
        <v>181</v>
      </c>
    </row>
    <row r="47" spans="1:14" ht="21.75" customHeight="1" x14ac:dyDescent="0.25">
      <c r="A47" s="212" t="s">
        <v>182</v>
      </c>
      <c r="B47" s="213"/>
      <c r="C47" s="213">
        <f>B47</f>
        <v>0</v>
      </c>
      <c r="D47" s="214">
        <f>+B47</f>
        <v>0</v>
      </c>
      <c r="E47" s="230">
        <v>1603.12</v>
      </c>
      <c r="F47" s="213">
        <f>3.5*E47</f>
        <v>5610.92</v>
      </c>
      <c r="G47" s="213">
        <f>F47</f>
        <v>5610.92</v>
      </c>
      <c r="H47" s="35" t="str">
        <f>IF(C47&gt;G47,"OUI","")</f>
        <v/>
      </c>
      <c r="I47" s="215">
        <f>IF(H47="OUI",C47,0)</f>
        <v>0</v>
      </c>
      <c r="J47" s="214">
        <f>I47</f>
        <v>0</v>
      </c>
      <c r="K47" s="216">
        <f>(D47*7%)+(J47*6%)</f>
        <v>0</v>
      </c>
    </row>
    <row r="48" spans="1:14" ht="21.75" customHeight="1" x14ac:dyDescent="0.25">
      <c r="A48" s="212" t="s">
        <v>183</v>
      </c>
      <c r="B48" s="213"/>
      <c r="C48" s="213">
        <f>C47+B48</f>
        <v>0</v>
      </c>
      <c r="D48" s="214">
        <f t="shared" ref="D48:D58" si="16">B48</f>
        <v>0</v>
      </c>
      <c r="E48" s="230">
        <v>1603.12</v>
      </c>
      <c r="F48" s="213">
        <f t="shared" ref="F48:F58" si="17">3.5*E48</f>
        <v>5610.92</v>
      </c>
      <c r="G48" s="213">
        <f t="shared" ref="G48:G58" si="18">G47+F48</f>
        <v>11221.84</v>
      </c>
      <c r="H48" s="35" t="str">
        <f>IF(C48&gt;G48,"OUI","")</f>
        <v/>
      </c>
      <c r="I48" s="215">
        <f>IF(H48="OUI",C48,0)</f>
        <v>0</v>
      </c>
      <c r="J48" s="214">
        <f>I48-I47</f>
        <v>0</v>
      </c>
      <c r="K48" s="216">
        <f t="shared" ref="K48:K50" si="19">(D48*7%)+(J48*6%)</f>
        <v>0</v>
      </c>
    </row>
    <row r="49" spans="1:11" ht="21.75" customHeight="1" x14ac:dyDescent="0.25">
      <c r="A49" s="212" t="s">
        <v>184</v>
      </c>
      <c r="B49" s="213"/>
      <c r="C49" s="213">
        <f t="shared" ref="C49:C58" si="20">C48+B49</f>
        <v>0</v>
      </c>
      <c r="D49" s="214">
        <f t="shared" si="16"/>
        <v>0</v>
      </c>
      <c r="E49" s="230">
        <v>1603.12</v>
      </c>
      <c r="F49" s="213">
        <f t="shared" si="17"/>
        <v>5610.92</v>
      </c>
      <c r="G49" s="213">
        <f t="shared" si="18"/>
        <v>16832.760000000002</v>
      </c>
      <c r="H49" s="35" t="str">
        <f>IF(C49&gt;G49,"OUI","")</f>
        <v/>
      </c>
      <c r="I49" s="215">
        <f t="shared" ref="I49:I58" si="21">IF(H49="OUI",C49,0)</f>
        <v>0</v>
      </c>
      <c r="J49" s="214">
        <f t="shared" ref="J49:J58" si="22">I49-I48</f>
        <v>0</v>
      </c>
      <c r="K49" s="216">
        <f t="shared" si="19"/>
        <v>0</v>
      </c>
    </row>
    <row r="50" spans="1:11" ht="21.75" customHeight="1" x14ac:dyDescent="0.25">
      <c r="A50" s="212" t="s">
        <v>185</v>
      </c>
      <c r="B50" s="213"/>
      <c r="C50" s="213">
        <f t="shared" si="20"/>
        <v>0</v>
      </c>
      <c r="D50" s="214">
        <f t="shared" si="16"/>
        <v>0</v>
      </c>
      <c r="E50" s="230">
        <v>1603.12</v>
      </c>
      <c r="F50" s="213">
        <f t="shared" si="17"/>
        <v>5610.92</v>
      </c>
      <c r="G50" s="213">
        <f t="shared" si="18"/>
        <v>22443.68</v>
      </c>
      <c r="H50" s="35" t="str">
        <f>IF(C50&gt;G50,"OUI","")</f>
        <v/>
      </c>
      <c r="I50" s="215">
        <f t="shared" si="21"/>
        <v>0</v>
      </c>
      <c r="J50" s="214">
        <f t="shared" si="22"/>
        <v>0</v>
      </c>
      <c r="K50" s="216">
        <f t="shared" si="19"/>
        <v>0</v>
      </c>
    </row>
    <row r="51" spans="1:11" ht="21.75" customHeight="1" x14ac:dyDescent="0.25">
      <c r="A51" s="212" t="s">
        <v>186</v>
      </c>
      <c r="B51" s="213"/>
      <c r="C51" s="213">
        <f t="shared" si="20"/>
        <v>0</v>
      </c>
      <c r="D51" s="214">
        <f t="shared" si="16"/>
        <v>0</v>
      </c>
      <c r="E51" s="230">
        <v>1603.12</v>
      </c>
      <c r="F51" s="213">
        <f t="shared" si="17"/>
        <v>5610.92</v>
      </c>
      <c r="G51" s="213">
        <f t="shared" si="18"/>
        <v>28054.6</v>
      </c>
      <c r="H51" s="35" t="str">
        <f t="shared" ref="H51:H58" si="23">IF(C51&gt;G51,"OUI","")</f>
        <v/>
      </c>
      <c r="I51" s="215">
        <f>IF(H51="OUI",C51,0)</f>
        <v>0</v>
      </c>
      <c r="J51" s="214">
        <f>I51-I50</f>
        <v>0</v>
      </c>
      <c r="K51" s="216">
        <f>(J51*6%)+(D51*7%)</f>
        <v>0</v>
      </c>
    </row>
    <row r="52" spans="1:11" ht="21.75" customHeight="1" x14ac:dyDescent="0.25">
      <c r="A52" s="212" t="s">
        <v>187</v>
      </c>
      <c r="B52" s="213"/>
      <c r="C52" s="213">
        <f t="shared" si="20"/>
        <v>0</v>
      </c>
      <c r="D52" s="214">
        <f t="shared" si="16"/>
        <v>0</v>
      </c>
      <c r="E52" s="230">
        <v>1603.12</v>
      </c>
      <c r="F52" s="213">
        <f t="shared" si="17"/>
        <v>5610.92</v>
      </c>
      <c r="G52" s="213">
        <f t="shared" si="18"/>
        <v>33665.519999999997</v>
      </c>
      <c r="H52" s="35" t="str">
        <f t="shared" si="23"/>
        <v/>
      </c>
      <c r="I52" s="215">
        <f t="shared" si="21"/>
        <v>0</v>
      </c>
      <c r="J52" s="214">
        <f t="shared" si="22"/>
        <v>0</v>
      </c>
      <c r="K52" s="216">
        <f>(J52*6%)+(D52*7%)</f>
        <v>0</v>
      </c>
    </row>
    <row r="53" spans="1:11" ht="21.75" customHeight="1" x14ac:dyDescent="0.25">
      <c r="A53" s="212" t="s">
        <v>188</v>
      </c>
      <c r="B53" s="213"/>
      <c r="C53" s="213">
        <f t="shared" si="20"/>
        <v>0</v>
      </c>
      <c r="D53" s="214">
        <f t="shared" si="16"/>
        <v>0</v>
      </c>
      <c r="E53" s="230">
        <v>1603.12</v>
      </c>
      <c r="F53" s="213">
        <f t="shared" si="17"/>
        <v>5610.92</v>
      </c>
      <c r="G53" s="213">
        <f t="shared" si="18"/>
        <v>39276.439999999995</v>
      </c>
      <c r="H53" s="35" t="str">
        <f t="shared" si="23"/>
        <v/>
      </c>
      <c r="I53" s="215">
        <f t="shared" si="21"/>
        <v>0</v>
      </c>
      <c r="J53" s="214">
        <f t="shared" si="22"/>
        <v>0</v>
      </c>
      <c r="K53" s="216">
        <f t="shared" ref="K53:K57" si="24">(J53*6%)+(D53*7%)</f>
        <v>0</v>
      </c>
    </row>
    <row r="54" spans="1:11" ht="21.75" customHeight="1" x14ac:dyDescent="0.25">
      <c r="A54" s="212" t="s">
        <v>189</v>
      </c>
      <c r="B54" s="213"/>
      <c r="C54" s="213">
        <f t="shared" si="20"/>
        <v>0</v>
      </c>
      <c r="D54" s="214">
        <f t="shared" si="16"/>
        <v>0</v>
      </c>
      <c r="E54" s="230">
        <v>1603.12</v>
      </c>
      <c r="F54" s="213">
        <f t="shared" si="17"/>
        <v>5610.92</v>
      </c>
      <c r="G54" s="213">
        <f t="shared" si="18"/>
        <v>44887.359999999993</v>
      </c>
      <c r="H54" s="35" t="str">
        <f t="shared" si="23"/>
        <v/>
      </c>
      <c r="I54" s="215">
        <f t="shared" si="21"/>
        <v>0</v>
      </c>
      <c r="J54" s="214">
        <f t="shared" si="22"/>
        <v>0</v>
      </c>
      <c r="K54" s="216">
        <f t="shared" si="24"/>
        <v>0</v>
      </c>
    </row>
    <row r="55" spans="1:11" ht="21.75" customHeight="1" x14ac:dyDescent="0.25">
      <c r="A55" s="212" t="s">
        <v>190</v>
      </c>
      <c r="B55" s="213"/>
      <c r="C55" s="213">
        <f t="shared" si="20"/>
        <v>0</v>
      </c>
      <c r="D55" s="214">
        <f t="shared" si="16"/>
        <v>0</v>
      </c>
      <c r="E55" s="230">
        <v>1603.12</v>
      </c>
      <c r="F55" s="213">
        <f t="shared" si="17"/>
        <v>5610.92</v>
      </c>
      <c r="G55" s="213">
        <f t="shared" si="18"/>
        <v>50498.279999999992</v>
      </c>
      <c r="H55" s="35" t="str">
        <f t="shared" si="23"/>
        <v/>
      </c>
      <c r="I55" s="215">
        <f t="shared" si="21"/>
        <v>0</v>
      </c>
      <c r="J55" s="214">
        <f t="shared" si="22"/>
        <v>0</v>
      </c>
      <c r="K55" s="216">
        <f t="shared" si="24"/>
        <v>0</v>
      </c>
    </row>
    <row r="56" spans="1:11" ht="21.75" customHeight="1" x14ac:dyDescent="0.25">
      <c r="A56" s="212" t="s">
        <v>191</v>
      </c>
      <c r="B56" s="213"/>
      <c r="C56" s="213">
        <f t="shared" si="20"/>
        <v>0</v>
      </c>
      <c r="D56" s="214">
        <f t="shared" si="16"/>
        <v>0</v>
      </c>
      <c r="E56" s="230">
        <v>1603.12</v>
      </c>
      <c r="F56" s="213">
        <f t="shared" si="17"/>
        <v>5610.92</v>
      </c>
      <c r="G56" s="213">
        <f t="shared" si="18"/>
        <v>56109.19999999999</v>
      </c>
      <c r="H56" s="35" t="str">
        <f t="shared" si="23"/>
        <v/>
      </c>
      <c r="I56" s="215">
        <f t="shared" si="21"/>
        <v>0</v>
      </c>
      <c r="J56" s="214">
        <f t="shared" si="22"/>
        <v>0</v>
      </c>
      <c r="K56" s="216">
        <f t="shared" si="24"/>
        <v>0</v>
      </c>
    </row>
    <row r="57" spans="1:11" ht="21.75" customHeight="1" x14ac:dyDescent="0.25">
      <c r="A57" s="212" t="s">
        <v>192</v>
      </c>
      <c r="B57" s="213"/>
      <c r="C57" s="213">
        <f t="shared" si="20"/>
        <v>0</v>
      </c>
      <c r="D57" s="214">
        <f t="shared" si="16"/>
        <v>0</v>
      </c>
      <c r="E57" s="230">
        <v>1603.12</v>
      </c>
      <c r="F57" s="213">
        <f t="shared" si="17"/>
        <v>5610.92</v>
      </c>
      <c r="G57" s="213">
        <f t="shared" si="18"/>
        <v>61720.119999999988</v>
      </c>
      <c r="H57" s="35" t="str">
        <f t="shared" si="23"/>
        <v/>
      </c>
      <c r="I57" s="215">
        <f t="shared" si="21"/>
        <v>0</v>
      </c>
      <c r="J57" s="214">
        <f t="shared" si="22"/>
        <v>0</v>
      </c>
      <c r="K57" s="216">
        <f t="shared" si="24"/>
        <v>0</v>
      </c>
    </row>
    <row r="58" spans="1:11" ht="21.75" customHeight="1" thickBot="1" x14ac:dyDescent="0.3">
      <c r="A58" s="218" t="s">
        <v>193</v>
      </c>
      <c r="B58" s="219"/>
      <c r="C58" s="219">
        <f t="shared" si="20"/>
        <v>0</v>
      </c>
      <c r="D58" s="220">
        <f t="shared" si="16"/>
        <v>0</v>
      </c>
      <c r="E58" s="230">
        <v>1603.12</v>
      </c>
      <c r="F58" s="219">
        <f t="shared" si="17"/>
        <v>5610.92</v>
      </c>
      <c r="G58" s="219">
        <f t="shared" si="18"/>
        <v>67331.039999999994</v>
      </c>
      <c r="H58" s="221" t="str">
        <f t="shared" si="23"/>
        <v/>
      </c>
      <c r="I58" s="222">
        <f t="shared" si="21"/>
        <v>0</v>
      </c>
      <c r="J58" s="220">
        <f t="shared" si="22"/>
        <v>0</v>
      </c>
      <c r="K58" s="223">
        <f>(J58*6%)+(D58*7%)</f>
        <v>0</v>
      </c>
    </row>
    <row r="62" spans="1:11" ht="21.75" thickBot="1" x14ac:dyDescent="0.3">
      <c r="A62" s="548" t="s">
        <v>201</v>
      </c>
      <c r="B62" s="549"/>
      <c r="C62" s="549"/>
      <c r="D62" s="549"/>
      <c r="E62" s="549"/>
      <c r="F62" s="549"/>
      <c r="G62" s="549"/>
      <c r="H62" s="549"/>
      <c r="I62" s="225"/>
    </row>
    <row r="63" spans="1:11" ht="21" customHeight="1" thickBot="1" x14ac:dyDescent="0.3">
      <c r="A63" s="226" t="s">
        <v>202</v>
      </c>
      <c r="B63" s="227">
        <v>0.31950000000000001</v>
      </c>
    </row>
    <row r="64" spans="1:11" ht="15.75" thickBot="1" x14ac:dyDescent="0.3"/>
    <row r="65" spans="1:9" ht="30" x14ac:dyDescent="0.25">
      <c r="A65" s="13" t="s">
        <v>90</v>
      </c>
      <c r="B65" s="6" t="s">
        <v>203</v>
      </c>
      <c r="C65" s="6" t="s">
        <v>204</v>
      </c>
      <c r="D65" s="209" t="s">
        <v>175</v>
      </c>
      <c r="E65" s="191" t="s">
        <v>205</v>
      </c>
      <c r="F65" s="191" t="s">
        <v>206</v>
      </c>
      <c r="G65" s="191" t="s">
        <v>207</v>
      </c>
      <c r="H65" s="191" t="s">
        <v>208</v>
      </c>
      <c r="I65" s="7" t="s">
        <v>209</v>
      </c>
    </row>
    <row r="66" spans="1:9" ht="21" customHeight="1" x14ac:dyDescent="0.25">
      <c r="A66" s="14" t="s">
        <v>210</v>
      </c>
      <c r="B66" s="228"/>
      <c r="C66" s="229">
        <f>B66</f>
        <v>0</v>
      </c>
      <c r="D66" s="230">
        <v>1603.12</v>
      </c>
      <c r="E66" s="228">
        <f>+D66</f>
        <v>1603.12</v>
      </c>
      <c r="F66" s="231" t="e">
        <f>ROUND(($B$63/0.6)*((1.6*E66/C66)-1),4)</f>
        <v>#DIV/0!</v>
      </c>
      <c r="G66" s="229" t="e">
        <f>IF(F66&gt;0,F66*C66,0)</f>
        <v>#DIV/0!</v>
      </c>
      <c r="H66" s="232" t="e">
        <f>G66</f>
        <v>#DIV/0!</v>
      </c>
      <c r="I66" s="22" t="e">
        <f>IF(F66&gt;$B$63,"ERREUR","")</f>
        <v>#DIV/0!</v>
      </c>
    </row>
    <row r="67" spans="1:9" ht="21" customHeight="1" x14ac:dyDescent="0.25">
      <c r="A67" s="14" t="s">
        <v>211</v>
      </c>
      <c r="B67" s="228"/>
      <c r="C67" s="229">
        <f>C66+B67</f>
        <v>0</v>
      </c>
      <c r="D67" s="230">
        <v>1603.12</v>
      </c>
      <c r="E67" s="228">
        <f>D67+E66</f>
        <v>3206.24</v>
      </c>
      <c r="F67" s="231" t="e">
        <f t="shared" ref="F67:F77" si="25">ROUND(($B$63/0.6)*((1.6*E67/C67)-1),4)</f>
        <v>#DIV/0!</v>
      </c>
      <c r="G67" s="229" t="e">
        <f t="shared" ref="G67:G77" si="26">IF(F67&gt;0,F67*C67,0)</f>
        <v>#DIV/0!</v>
      </c>
      <c r="H67" s="232" t="e">
        <f>G67-G66</f>
        <v>#DIV/0!</v>
      </c>
      <c r="I67" s="22" t="e">
        <f t="shared" ref="I67:I75" si="27">IF(F67&gt;$B$63,"ERREUR","")</f>
        <v>#DIV/0!</v>
      </c>
    </row>
    <row r="68" spans="1:9" ht="21" customHeight="1" x14ac:dyDescent="0.25">
      <c r="A68" s="14" t="s">
        <v>212</v>
      </c>
      <c r="B68" s="228"/>
      <c r="C68" s="229">
        <f t="shared" ref="C68:C77" si="28">C67+B68</f>
        <v>0</v>
      </c>
      <c r="D68" s="230">
        <v>1603.12</v>
      </c>
      <c r="E68" s="228">
        <f t="shared" ref="E68:E77" si="29">D68+E67</f>
        <v>4809.3599999999997</v>
      </c>
      <c r="F68" s="231" t="e">
        <f t="shared" si="25"/>
        <v>#DIV/0!</v>
      </c>
      <c r="G68" s="233" t="e">
        <f t="shared" si="26"/>
        <v>#DIV/0!</v>
      </c>
      <c r="H68" s="232" t="e">
        <f t="shared" ref="H68:H77" si="30">G68-G67</f>
        <v>#DIV/0!</v>
      </c>
      <c r="I68" s="22" t="e">
        <f t="shared" si="27"/>
        <v>#DIV/0!</v>
      </c>
    </row>
    <row r="69" spans="1:9" ht="21" customHeight="1" x14ac:dyDescent="0.25">
      <c r="A69" s="14" t="s">
        <v>213</v>
      </c>
      <c r="B69" s="228"/>
      <c r="C69" s="229">
        <f t="shared" si="28"/>
        <v>0</v>
      </c>
      <c r="D69" s="230">
        <v>1603.12</v>
      </c>
      <c r="E69" s="228">
        <f t="shared" si="29"/>
        <v>6412.48</v>
      </c>
      <c r="F69" s="231" t="e">
        <f t="shared" si="25"/>
        <v>#DIV/0!</v>
      </c>
      <c r="G69" s="229" t="e">
        <f t="shared" si="26"/>
        <v>#DIV/0!</v>
      </c>
      <c r="H69" s="232" t="e">
        <f t="shared" si="30"/>
        <v>#DIV/0!</v>
      </c>
      <c r="I69" s="22" t="e">
        <f t="shared" si="27"/>
        <v>#DIV/0!</v>
      </c>
    </row>
    <row r="70" spans="1:9" ht="21" customHeight="1" x14ac:dyDescent="0.25">
      <c r="A70" s="14" t="s">
        <v>214</v>
      </c>
      <c r="B70" s="228"/>
      <c r="C70" s="229">
        <f t="shared" si="28"/>
        <v>0</v>
      </c>
      <c r="D70" s="230">
        <v>1603.12</v>
      </c>
      <c r="E70" s="228">
        <f t="shared" si="29"/>
        <v>8015.5999999999995</v>
      </c>
      <c r="F70" s="231" t="e">
        <f t="shared" si="25"/>
        <v>#DIV/0!</v>
      </c>
      <c r="G70" s="229" t="e">
        <f t="shared" si="26"/>
        <v>#DIV/0!</v>
      </c>
      <c r="H70" s="232" t="e">
        <f t="shared" si="30"/>
        <v>#DIV/0!</v>
      </c>
      <c r="I70" s="22" t="e">
        <f t="shared" si="27"/>
        <v>#DIV/0!</v>
      </c>
    </row>
    <row r="71" spans="1:9" ht="21" customHeight="1" x14ac:dyDescent="0.25">
      <c r="A71" s="14" t="s">
        <v>215</v>
      </c>
      <c r="B71" s="228"/>
      <c r="C71" s="229">
        <f t="shared" si="28"/>
        <v>0</v>
      </c>
      <c r="D71" s="230">
        <v>1603.12</v>
      </c>
      <c r="E71" s="228">
        <f t="shared" si="29"/>
        <v>9618.7199999999993</v>
      </c>
      <c r="F71" s="231" t="e">
        <f t="shared" si="25"/>
        <v>#DIV/0!</v>
      </c>
      <c r="G71" s="233" t="e">
        <f t="shared" si="26"/>
        <v>#DIV/0!</v>
      </c>
      <c r="H71" s="232" t="e">
        <f t="shared" si="30"/>
        <v>#DIV/0!</v>
      </c>
      <c r="I71" s="22" t="e">
        <f t="shared" si="27"/>
        <v>#DIV/0!</v>
      </c>
    </row>
    <row r="72" spans="1:9" ht="21" customHeight="1" x14ac:dyDescent="0.25">
      <c r="A72" s="14" t="s">
        <v>216</v>
      </c>
      <c r="B72" s="228"/>
      <c r="C72" s="229">
        <f t="shared" si="28"/>
        <v>0</v>
      </c>
      <c r="D72" s="230">
        <v>1603.12</v>
      </c>
      <c r="E72" s="228">
        <f t="shared" si="29"/>
        <v>11221.84</v>
      </c>
      <c r="F72" s="231" t="e">
        <f t="shared" si="25"/>
        <v>#DIV/0!</v>
      </c>
      <c r="G72" s="229" t="e">
        <f t="shared" si="26"/>
        <v>#DIV/0!</v>
      </c>
      <c r="H72" s="232" t="e">
        <f t="shared" si="30"/>
        <v>#DIV/0!</v>
      </c>
      <c r="I72" s="22" t="e">
        <f t="shared" si="27"/>
        <v>#DIV/0!</v>
      </c>
    </row>
    <row r="73" spans="1:9" ht="21" customHeight="1" x14ac:dyDescent="0.25">
      <c r="A73" s="14" t="s">
        <v>217</v>
      </c>
      <c r="B73" s="228"/>
      <c r="C73" s="229">
        <f t="shared" si="28"/>
        <v>0</v>
      </c>
      <c r="D73" s="230">
        <v>1603.12</v>
      </c>
      <c r="E73" s="228">
        <f t="shared" si="29"/>
        <v>12824.96</v>
      </c>
      <c r="F73" s="231" t="e">
        <f t="shared" si="25"/>
        <v>#DIV/0!</v>
      </c>
      <c r="G73" s="234" t="e">
        <f t="shared" si="26"/>
        <v>#DIV/0!</v>
      </c>
      <c r="H73" s="232" t="e">
        <f t="shared" si="30"/>
        <v>#DIV/0!</v>
      </c>
      <c r="I73" s="22" t="e">
        <f t="shared" si="27"/>
        <v>#DIV/0!</v>
      </c>
    </row>
    <row r="74" spans="1:9" ht="21" customHeight="1" x14ac:dyDescent="0.25">
      <c r="A74" s="14" t="s">
        <v>218</v>
      </c>
      <c r="B74" s="228"/>
      <c r="C74" s="229">
        <f t="shared" si="28"/>
        <v>0</v>
      </c>
      <c r="D74" s="230">
        <v>1603.12</v>
      </c>
      <c r="E74" s="228">
        <f t="shared" si="29"/>
        <v>14428.079999999998</v>
      </c>
      <c r="F74" s="231" t="e">
        <f t="shared" si="25"/>
        <v>#DIV/0!</v>
      </c>
      <c r="G74" s="229" t="e">
        <f t="shared" si="26"/>
        <v>#DIV/0!</v>
      </c>
      <c r="H74" s="232" t="e">
        <f t="shared" si="30"/>
        <v>#DIV/0!</v>
      </c>
      <c r="I74" s="22" t="e">
        <f t="shared" si="27"/>
        <v>#DIV/0!</v>
      </c>
    </row>
    <row r="75" spans="1:9" ht="21" customHeight="1" x14ac:dyDescent="0.25">
      <c r="A75" s="14" t="s">
        <v>219</v>
      </c>
      <c r="B75" s="228"/>
      <c r="C75" s="229">
        <f t="shared" si="28"/>
        <v>0</v>
      </c>
      <c r="D75" s="230">
        <v>1603.12</v>
      </c>
      <c r="E75" s="228">
        <f t="shared" si="29"/>
        <v>16031.199999999997</v>
      </c>
      <c r="F75" s="231" t="e">
        <f t="shared" si="25"/>
        <v>#DIV/0!</v>
      </c>
      <c r="G75" s="229" t="e">
        <f t="shared" si="26"/>
        <v>#DIV/0!</v>
      </c>
      <c r="H75" s="232" t="e">
        <f t="shared" si="30"/>
        <v>#DIV/0!</v>
      </c>
      <c r="I75" s="22" t="e">
        <f t="shared" si="27"/>
        <v>#DIV/0!</v>
      </c>
    </row>
    <row r="76" spans="1:9" ht="21" customHeight="1" x14ac:dyDescent="0.25">
      <c r="A76" s="14" t="s">
        <v>220</v>
      </c>
      <c r="B76" s="228"/>
      <c r="C76" s="229">
        <f t="shared" si="28"/>
        <v>0</v>
      </c>
      <c r="D76" s="230">
        <v>1603.12</v>
      </c>
      <c r="E76" s="228">
        <f t="shared" si="29"/>
        <v>17634.319999999996</v>
      </c>
      <c r="F76" s="231" t="e">
        <f t="shared" si="25"/>
        <v>#DIV/0!</v>
      </c>
      <c r="G76" s="229" t="e">
        <f t="shared" si="26"/>
        <v>#DIV/0!</v>
      </c>
      <c r="H76" s="232" t="e">
        <f t="shared" si="30"/>
        <v>#DIV/0!</v>
      </c>
      <c r="I76" s="22"/>
    </row>
    <row r="77" spans="1:9" ht="21" customHeight="1" thickBot="1" x14ac:dyDescent="0.3">
      <c r="A77" s="18" t="s">
        <v>221</v>
      </c>
      <c r="B77" s="235"/>
      <c r="C77" s="236">
        <f t="shared" si="28"/>
        <v>0</v>
      </c>
      <c r="D77" s="230">
        <v>1603.12</v>
      </c>
      <c r="E77" s="235">
        <f t="shared" si="29"/>
        <v>19237.439999999995</v>
      </c>
      <c r="F77" s="231" t="e">
        <f t="shared" si="25"/>
        <v>#DIV/0!</v>
      </c>
      <c r="G77" s="236" t="e">
        <f t="shared" si="26"/>
        <v>#DIV/0!</v>
      </c>
      <c r="H77" s="237" t="e">
        <f t="shared" si="30"/>
        <v>#DIV/0!</v>
      </c>
      <c r="I77" s="19"/>
    </row>
    <row r="80" spans="1:9" ht="23.25" x14ac:dyDescent="0.25">
      <c r="A80" s="186" t="s">
        <v>222</v>
      </c>
      <c r="B80" s="187"/>
      <c r="C80" s="187"/>
      <c r="D80" s="187"/>
      <c r="E80" s="187"/>
      <c r="F80" s="187"/>
    </row>
    <row r="82" spans="1:8" ht="18.75" x14ac:dyDescent="0.25">
      <c r="A82" s="188" t="s">
        <v>166</v>
      </c>
      <c r="D82" s="189">
        <v>3428</v>
      </c>
    </row>
    <row r="83" spans="1:8" ht="15.75" thickBot="1" x14ac:dyDescent="0.3"/>
    <row r="84" spans="1:8" ht="30" x14ac:dyDescent="0.25">
      <c r="A84" s="190" t="s">
        <v>90</v>
      </c>
      <c r="B84" s="6" t="s">
        <v>160</v>
      </c>
      <c r="C84" s="6" t="s">
        <v>167</v>
      </c>
      <c r="D84" s="6" t="s">
        <v>168</v>
      </c>
      <c r="E84" s="191" t="s">
        <v>169</v>
      </c>
      <c r="F84" s="6" t="s">
        <v>223</v>
      </c>
      <c r="G84" s="191" t="s">
        <v>224</v>
      </c>
      <c r="H84" s="192" t="s">
        <v>225</v>
      </c>
    </row>
    <row r="85" spans="1:8" ht="19.5" customHeight="1" x14ac:dyDescent="0.25">
      <c r="A85" s="238">
        <v>43831</v>
      </c>
      <c r="B85" s="239"/>
      <c r="C85" s="240">
        <f>B85</f>
        <v>0</v>
      </c>
      <c r="D85" s="240">
        <v>3428</v>
      </c>
      <c r="E85" s="240">
        <f>D85</f>
        <v>3428</v>
      </c>
      <c r="F85" s="241" t="str">
        <f>IF(E85&gt;C85,"","OUI")</f>
        <v/>
      </c>
      <c r="G85" s="214">
        <f t="shared" ref="G85:G96" si="31">IF(C85&gt;E85,C85,0)</f>
        <v>0</v>
      </c>
      <c r="H85" s="242">
        <f>G85</f>
        <v>0</v>
      </c>
    </row>
    <row r="86" spans="1:8" ht="19.5" customHeight="1" x14ac:dyDescent="0.25">
      <c r="A86" s="238">
        <v>43862</v>
      </c>
      <c r="B86" s="239"/>
      <c r="C86" s="240">
        <f>C85+B86</f>
        <v>0</v>
      </c>
      <c r="D86" s="240">
        <v>3428</v>
      </c>
      <c r="E86" s="240">
        <f>E85+D86</f>
        <v>6856</v>
      </c>
      <c r="F86" s="241" t="str">
        <f t="shared" ref="F86:F96" si="32">IF(E86&gt;C86,"","OUI")</f>
        <v/>
      </c>
      <c r="G86" s="214">
        <f t="shared" si="31"/>
        <v>0</v>
      </c>
      <c r="H86" s="242">
        <f>G86-G85</f>
        <v>0</v>
      </c>
    </row>
    <row r="87" spans="1:8" ht="19.5" customHeight="1" x14ac:dyDescent="0.25">
      <c r="A87" s="238">
        <v>43891</v>
      </c>
      <c r="B87" s="239"/>
      <c r="C87" s="240">
        <f>C86+B87</f>
        <v>0</v>
      </c>
      <c r="D87" s="240">
        <v>3428</v>
      </c>
      <c r="E87" s="240">
        <f t="shared" ref="E87:E96" si="33">E86+D87</f>
        <v>10284</v>
      </c>
      <c r="F87" s="241" t="str">
        <f t="shared" si="32"/>
        <v/>
      </c>
      <c r="G87" s="214">
        <f t="shared" si="31"/>
        <v>0</v>
      </c>
      <c r="H87" s="242">
        <f t="shared" ref="H87:H96" si="34">G87-G86</f>
        <v>0</v>
      </c>
    </row>
    <row r="88" spans="1:8" ht="19.5" customHeight="1" x14ac:dyDescent="0.25">
      <c r="A88" s="238">
        <v>43922</v>
      </c>
      <c r="B88" s="239"/>
      <c r="C88" s="240">
        <f t="shared" ref="C88:C96" si="35">C87+B88</f>
        <v>0</v>
      </c>
      <c r="D88" s="240">
        <v>3428</v>
      </c>
      <c r="E88" s="240">
        <f t="shared" si="33"/>
        <v>13712</v>
      </c>
      <c r="F88" s="241" t="str">
        <f t="shared" si="32"/>
        <v/>
      </c>
      <c r="G88" s="214">
        <f t="shared" si="31"/>
        <v>0</v>
      </c>
      <c r="H88" s="242">
        <f t="shared" si="34"/>
        <v>0</v>
      </c>
    </row>
    <row r="89" spans="1:8" ht="19.5" customHeight="1" x14ac:dyDescent="0.25">
      <c r="A89" s="238">
        <v>43952</v>
      </c>
      <c r="B89" s="239"/>
      <c r="C89" s="240">
        <f t="shared" si="35"/>
        <v>0</v>
      </c>
      <c r="D89" s="240">
        <v>3428</v>
      </c>
      <c r="E89" s="240">
        <f t="shared" si="33"/>
        <v>17140</v>
      </c>
      <c r="F89" s="241" t="str">
        <f t="shared" si="32"/>
        <v/>
      </c>
      <c r="G89" s="214">
        <f t="shared" si="31"/>
        <v>0</v>
      </c>
      <c r="H89" s="242">
        <f t="shared" si="34"/>
        <v>0</v>
      </c>
    </row>
    <row r="90" spans="1:8" ht="19.5" customHeight="1" x14ac:dyDescent="0.25">
      <c r="A90" s="238">
        <v>43983</v>
      </c>
      <c r="B90" s="239"/>
      <c r="C90" s="240">
        <f t="shared" si="35"/>
        <v>0</v>
      </c>
      <c r="D90" s="240">
        <v>3428</v>
      </c>
      <c r="E90" s="240">
        <f t="shared" si="33"/>
        <v>20568</v>
      </c>
      <c r="F90" s="241" t="str">
        <f t="shared" si="32"/>
        <v/>
      </c>
      <c r="G90" s="214">
        <f t="shared" si="31"/>
        <v>0</v>
      </c>
      <c r="H90" s="242">
        <f t="shared" si="34"/>
        <v>0</v>
      </c>
    </row>
    <row r="91" spans="1:8" ht="19.5" customHeight="1" x14ac:dyDescent="0.25">
      <c r="A91" s="238">
        <v>44013</v>
      </c>
      <c r="B91" s="239"/>
      <c r="C91" s="240">
        <f t="shared" si="35"/>
        <v>0</v>
      </c>
      <c r="D91" s="240">
        <v>3428</v>
      </c>
      <c r="E91" s="240">
        <f t="shared" si="33"/>
        <v>23996</v>
      </c>
      <c r="F91" s="241" t="str">
        <f t="shared" si="32"/>
        <v/>
      </c>
      <c r="G91" s="214">
        <f t="shared" si="31"/>
        <v>0</v>
      </c>
      <c r="H91" s="242">
        <f t="shared" si="34"/>
        <v>0</v>
      </c>
    </row>
    <row r="92" spans="1:8" ht="19.5" customHeight="1" x14ac:dyDescent="0.25">
      <c r="A92" s="238">
        <v>44044</v>
      </c>
      <c r="B92" s="239"/>
      <c r="C92" s="240">
        <f t="shared" si="35"/>
        <v>0</v>
      </c>
      <c r="D92" s="240">
        <v>3428</v>
      </c>
      <c r="E92" s="240">
        <f t="shared" si="33"/>
        <v>27424</v>
      </c>
      <c r="F92" s="241" t="str">
        <f t="shared" si="32"/>
        <v/>
      </c>
      <c r="G92" s="214">
        <f t="shared" si="31"/>
        <v>0</v>
      </c>
      <c r="H92" s="242">
        <f t="shared" si="34"/>
        <v>0</v>
      </c>
    </row>
    <row r="93" spans="1:8" ht="19.5" customHeight="1" x14ac:dyDescent="0.25">
      <c r="A93" s="238">
        <v>44075</v>
      </c>
      <c r="B93" s="239"/>
      <c r="C93" s="240">
        <f t="shared" si="35"/>
        <v>0</v>
      </c>
      <c r="D93" s="240">
        <v>3428</v>
      </c>
      <c r="E93" s="240">
        <f t="shared" si="33"/>
        <v>30852</v>
      </c>
      <c r="F93" s="241" t="str">
        <f t="shared" si="32"/>
        <v/>
      </c>
      <c r="G93" s="214">
        <f t="shared" si="31"/>
        <v>0</v>
      </c>
      <c r="H93" s="242">
        <f t="shared" si="34"/>
        <v>0</v>
      </c>
    </row>
    <row r="94" spans="1:8" ht="19.5" customHeight="1" x14ac:dyDescent="0.25">
      <c r="A94" s="238">
        <v>44105</v>
      </c>
      <c r="B94" s="239"/>
      <c r="C94" s="240">
        <f t="shared" si="35"/>
        <v>0</v>
      </c>
      <c r="D94" s="240">
        <v>3428</v>
      </c>
      <c r="E94" s="240">
        <f t="shared" si="33"/>
        <v>34280</v>
      </c>
      <c r="F94" s="241" t="str">
        <f t="shared" si="32"/>
        <v/>
      </c>
      <c r="G94" s="214">
        <f t="shared" si="31"/>
        <v>0</v>
      </c>
      <c r="H94" s="242">
        <f t="shared" si="34"/>
        <v>0</v>
      </c>
    </row>
    <row r="95" spans="1:8" ht="19.5" customHeight="1" x14ac:dyDescent="0.25">
      <c r="A95" s="238">
        <v>44136</v>
      </c>
      <c r="B95" s="239"/>
      <c r="C95" s="240">
        <f t="shared" si="35"/>
        <v>0</v>
      </c>
      <c r="D95" s="240">
        <v>3428</v>
      </c>
      <c r="E95" s="240">
        <f t="shared" si="33"/>
        <v>37708</v>
      </c>
      <c r="F95" s="241" t="str">
        <f t="shared" si="32"/>
        <v/>
      </c>
      <c r="G95" s="214">
        <f t="shared" si="31"/>
        <v>0</v>
      </c>
      <c r="H95" s="242">
        <f t="shared" si="34"/>
        <v>0</v>
      </c>
    </row>
    <row r="96" spans="1:8" ht="19.5" customHeight="1" thickBot="1" x14ac:dyDescent="0.3">
      <c r="A96" s="243">
        <v>44166</v>
      </c>
      <c r="B96" s="244"/>
      <c r="C96" s="245">
        <f t="shared" si="35"/>
        <v>0</v>
      </c>
      <c r="D96" s="245">
        <v>3428</v>
      </c>
      <c r="E96" s="245">
        <f t="shared" si="33"/>
        <v>41136</v>
      </c>
      <c r="F96" s="246" t="str">
        <f t="shared" si="32"/>
        <v/>
      </c>
      <c r="G96" s="220">
        <f t="shared" si="31"/>
        <v>0</v>
      </c>
      <c r="H96" s="247">
        <f t="shared" si="34"/>
        <v>0</v>
      </c>
    </row>
  </sheetData>
  <mergeCells count="1">
    <mergeCell ref="A62:H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Normal="100" workbookViewId="0">
      <selection activeCell="A19" sqref="A19"/>
    </sheetView>
  </sheetViews>
  <sheetFormatPr baseColWidth="10" defaultRowHeight="15" x14ac:dyDescent="0.25"/>
  <cols>
    <col min="1" max="1" width="35.140625" style="1" customWidth="1"/>
    <col min="2" max="2" width="49.42578125" style="1" bestFit="1" customWidth="1"/>
    <col min="3" max="16384" width="11.42578125" style="1"/>
  </cols>
  <sheetData>
    <row r="1" spans="1:7" ht="23.25" x14ac:dyDescent="0.25">
      <c r="A1" s="20" t="s">
        <v>17</v>
      </c>
    </row>
    <row r="3" spans="1:7" ht="24" customHeight="1" thickBot="1" x14ac:dyDescent="0.3">
      <c r="A3" s="21" t="s">
        <v>18</v>
      </c>
    </row>
    <row r="4" spans="1:7" ht="24" customHeight="1" x14ac:dyDescent="0.25">
      <c r="A4" s="13" t="s">
        <v>19</v>
      </c>
      <c r="B4" s="27" t="s">
        <v>59</v>
      </c>
      <c r="E4" s="2"/>
    </row>
    <row r="5" spans="1:7" ht="24" customHeight="1" x14ac:dyDescent="0.25">
      <c r="A5" s="14" t="s">
        <v>20</v>
      </c>
      <c r="B5" s="28" t="s">
        <v>21</v>
      </c>
      <c r="E5" s="3"/>
      <c r="F5" s="3"/>
      <c r="G5" s="3"/>
    </row>
    <row r="6" spans="1:7" ht="24" customHeight="1" x14ac:dyDescent="0.25">
      <c r="A6" s="539" t="s">
        <v>22</v>
      </c>
      <c r="B6" s="540"/>
      <c r="E6" s="3"/>
      <c r="F6" s="3"/>
      <c r="G6" s="3"/>
    </row>
    <row r="7" spans="1:7" ht="24" customHeight="1" x14ac:dyDescent="0.25">
      <c r="A7" s="14" t="s">
        <v>84</v>
      </c>
      <c r="B7" s="28" t="s">
        <v>23</v>
      </c>
      <c r="E7" s="3"/>
      <c r="F7" s="3"/>
      <c r="G7" s="3"/>
    </row>
    <row r="8" spans="1:7" ht="24" customHeight="1" x14ac:dyDescent="0.25">
      <c r="A8" s="14" t="s">
        <v>83</v>
      </c>
      <c r="B8" s="23">
        <v>0.05</v>
      </c>
      <c r="E8" s="3"/>
      <c r="F8" s="3"/>
      <c r="G8" s="3"/>
    </row>
    <row r="9" spans="1:7" ht="24" customHeight="1" thickBot="1" x14ac:dyDescent="0.3">
      <c r="A9" s="18" t="s">
        <v>24</v>
      </c>
      <c r="B9" s="24">
        <v>0.1</v>
      </c>
      <c r="E9" s="3"/>
      <c r="F9" s="3"/>
      <c r="G9" s="3"/>
    </row>
    <row r="10" spans="1:7" ht="24" customHeight="1" thickBot="1" x14ac:dyDescent="0.3">
      <c r="E10" s="3"/>
      <c r="F10" s="3"/>
      <c r="G10" s="3"/>
    </row>
    <row r="11" spans="1:7" ht="24" customHeight="1" thickBot="1" x14ac:dyDescent="0.3">
      <c r="A11" s="25" t="s">
        <v>30</v>
      </c>
      <c r="B11" s="26" t="s">
        <v>31</v>
      </c>
    </row>
    <row r="13" spans="1:7" ht="24" customHeight="1" thickBot="1" x14ac:dyDescent="0.3">
      <c r="A13" s="21" t="s">
        <v>51</v>
      </c>
    </row>
    <row r="14" spans="1:7" ht="21.75" customHeight="1" x14ac:dyDescent="0.25">
      <c r="A14" s="13" t="s">
        <v>48</v>
      </c>
      <c r="B14" s="38" t="s">
        <v>47</v>
      </c>
    </row>
    <row r="15" spans="1:7" ht="21.75" customHeight="1" x14ac:dyDescent="0.25">
      <c r="A15" s="14" t="s">
        <v>49</v>
      </c>
      <c r="B15" s="22" t="s">
        <v>57</v>
      </c>
    </row>
    <row r="16" spans="1:7" ht="21.75" customHeight="1" thickBot="1" x14ac:dyDescent="0.3">
      <c r="A16" s="18" t="s">
        <v>50</v>
      </c>
      <c r="B16" s="19" t="s">
        <v>58</v>
      </c>
    </row>
    <row r="17" spans="1:2" ht="15.75" thickBot="1" x14ac:dyDescent="0.3"/>
    <row r="18" spans="1:2" ht="19.5" thickBot="1" x14ac:dyDescent="0.3">
      <c r="A18" s="25" t="s">
        <v>295</v>
      </c>
      <c r="B18" s="34">
        <v>2.7E-2</v>
      </c>
    </row>
  </sheetData>
  <mergeCells count="1">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F6" sqref="F6"/>
    </sheetView>
  </sheetViews>
  <sheetFormatPr baseColWidth="10" defaultRowHeight="15" x14ac:dyDescent="0.25"/>
  <cols>
    <col min="1" max="1" width="39.140625" style="1" bestFit="1" customWidth="1"/>
    <col min="2" max="5" width="11.42578125" style="1"/>
    <col min="6" max="6" width="14.42578125" style="1" customWidth="1"/>
    <col min="7" max="16384" width="11.42578125" style="1"/>
  </cols>
  <sheetData>
    <row r="1" spans="1:6" ht="23.25" x14ac:dyDescent="0.25">
      <c r="A1" s="541" t="s">
        <v>27</v>
      </c>
      <c r="B1" s="541"/>
      <c r="C1" s="541"/>
      <c r="D1" s="541"/>
      <c r="E1" s="541"/>
      <c r="F1" s="541"/>
    </row>
    <row r="3" spans="1:6" ht="15.75" thickBot="1" x14ac:dyDescent="0.3"/>
    <row r="4" spans="1:6" ht="26.25" customHeight="1" x14ac:dyDescent="0.25">
      <c r="A4" s="13"/>
      <c r="B4" s="6" t="s">
        <v>0</v>
      </c>
      <c r="C4" s="6" t="s">
        <v>1</v>
      </c>
      <c r="D4" s="6" t="s">
        <v>2</v>
      </c>
      <c r="E4" s="6" t="s">
        <v>3</v>
      </c>
      <c r="F4" s="7" t="s">
        <v>4</v>
      </c>
    </row>
    <row r="5" spans="1:6" ht="24.75" customHeight="1" x14ac:dyDescent="0.25">
      <c r="A5" s="14" t="s">
        <v>14</v>
      </c>
      <c r="B5" s="15">
        <v>2000</v>
      </c>
      <c r="C5" s="15">
        <v>3500</v>
      </c>
      <c r="D5" s="15">
        <v>2500</v>
      </c>
      <c r="E5" s="15" t="s">
        <v>26</v>
      </c>
      <c r="F5" s="16">
        <v>5000</v>
      </c>
    </row>
    <row r="6" spans="1:6" ht="39" customHeight="1" x14ac:dyDescent="0.25">
      <c r="A6" s="31" t="s">
        <v>53</v>
      </c>
      <c r="B6" s="32">
        <v>1</v>
      </c>
      <c r="C6" s="32">
        <v>1</v>
      </c>
      <c r="D6" s="32" t="s">
        <v>54</v>
      </c>
      <c r="E6" s="32" t="s">
        <v>55</v>
      </c>
      <c r="F6" s="33" t="s">
        <v>56</v>
      </c>
    </row>
    <row r="7" spans="1:6" ht="24.75" customHeight="1" thickBot="1" x14ac:dyDescent="0.3">
      <c r="A7" s="18" t="s">
        <v>52</v>
      </c>
      <c r="B7" s="29">
        <v>4.4999999999999998E-2</v>
      </c>
      <c r="C7" s="30">
        <v>0.13</v>
      </c>
      <c r="D7" s="29">
        <v>3.5000000000000003E-2</v>
      </c>
      <c r="E7" s="29">
        <v>1.4999999999999999E-2</v>
      </c>
      <c r="F7" s="24">
        <v>0.18</v>
      </c>
    </row>
    <row r="8" spans="1:6" ht="21" customHeight="1" x14ac:dyDescent="0.25"/>
  </sheetData>
  <mergeCells count="1">
    <mergeCell ref="A1:F1"/>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topLeftCell="A18" workbookViewId="0">
      <selection sqref="A1:F1"/>
    </sheetView>
  </sheetViews>
  <sheetFormatPr baseColWidth="10" defaultRowHeight="15" x14ac:dyDescent="0.25"/>
  <cols>
    <col min="1" max="1" width="20.42578125" style="4" bestFit="1" customWidth="1"/>
    <col min="4" max="4" width="13" bestFit="1" customWidth="1"/>
  </cols>
  <sheetData>
    <row r="1" spans="1:8" ht="18.75" x14ac:dyDescent="0.3">
      <c r="A1" s="542" t="s">
        <v>91</v>
      </c>
      <c r="B1" s="542"/>
      <c r="C1" s="542"/>
      <c r="D1" s="542"/>
      <c r="E1" s="542"/>
      <c r="F1" s="542"/>
    </row>
    <row r="2" spans="1:8" ht="18.75" x14ac:dyDescent="0.3">
      <c r="A2" s="12"/>
      <c r="B2" s="12"/>
      <c r="C2" s="12"/>
      <c r="D2" s="12"/>
      <c r="E2" s="12"/>
      <c r="F2" s="12"/>
    </row>
    <row r="3" spans="1:8" ht="15.75" thickBot="1" x14ac:dyDescent="0.3"/>
    <row r="4" spans="1:8" x14ac:dyDescent="0.25">
      <c r="A4" s="5"/>
      <c r="B4" s="6" t="s">
        <v>0</v>
      </c>
      <c r="C4" s="6" t="s">
        <v>1</v>
      </c>
      <c r="D4" s="6" t="s">
        <v>2</v>
      </c>
      <c r="E4" s="6" t="s">
        <v>3</v>
      </c>
      <c r="F4" s="7" t="s">
        <v>4</v>
      </c>
    </row>
    <row r="5" spans="1:8" x14ac:dyDescent="0.25">
      <c r="A5" s="40">
        <v>43948</v>
      </c>
      <c r="B5" s="8">
        <v>7</v>
      </c>
      <c r="C5" s="8">
        <v>7</v>
      </c>
      <c r="D5" s="8">
        <v>7</v>
      </c>
      <c r="E5" s="8">
        <v>4.8</v>
      </c>
      <c r="F5" s="9">
        <v>9</v>
      </c>
    </row>
    <row r="6" spans="1:8" x14ac:dyDescent="0.25">
      <c r="A6" s="40">
        <v>43949</v>
      </c>
      <c r="B6" s="8">
        <v>7</v>
      </c>
      <c r="C6" s="8">
        <v>7</v>
      </c>
      <c r="D6" s="8">
        <v>7</v>
      </c>
      <c r="E6" s="8">
        <v>4.8</v>
      </c>
      <c r="F6" s="9">
        <v>9</v>
      </c>
    </row>
    <row r="7" spans="1:8" x14ac:dyDescent="0.25">
      <c r="A7" s="40">
        <v>43950</v>
      </c>
      <c r="B7" s="8">
        <v>7</v>
      </c>
      <c r="C7" s="8">
        <v>7</v>
      </c>
      <c r="D7" s="8">
        <v>7</v>
      </c>
      <c r="E7" s="8">
        <v>4.8</v>
      </c>
      <c r="F7" s="9">
        <v>9</v>
      </c>
    </row>
    <row r="8" spans="1:8" x14ac:dyDescent="0.25">
      <c r="A8" s="40">
        <v>43951</v>
      </c>
      <c r="B8" s="8">
        <v>7</v>
      </c>
      <c r="C8" s="8">
        <v>7</v>
      </c>
      <c r="D8" s="8">
        <v>7</v>
      </c>
      <c r="E8" s="8">
        <v>4.8</v>
      </c>
      <c r="F8" s="9">
        <v>9</v>
      </c>
      <c r="G8" s="39"/>
    </row>
    <row r="9" spans="1:8" x14ac:dyDescent="0.25">
      <c r="A9" s="40">
        <v>43952</v>
      </c>
      <c r="B9" s="543" t="s">
        <v>66</v>
      </c>
      <c r="C9" s="543"/>
      <c r="D9" s="543"/>
      <c r="E9" s="543"/>
      <c r="F9" s="544"/>
      <c r="G9" s="39"/>
    </row>
    <row r="10" spans="1:8" x14ac:dyDescent="0.25">
      <c r="A10" s="40">
        <v>43953</v>
      </c>
      <c r="B10" s="8"/>
      <c r="C10" s="8"/>
      <c r="D10" s="8"/>
      <c r="E10" s="8"/>
      <c r="F10" s="9"/>
      <c r="G10" s="39"/>
    </row>
    <row r="11" spans="1:8" x14ac:dyDescent="0.25">
      <c r="A11" s="40">
        <v>43954</v>
      </c>
      <c r="B11" s="8"/>
      <c r="C11" s="8"/>
      <c r="D11" s="8"/>
      <c r="E11" s="8"/>
      <c r="F11" s="9"/>
      <c r="G11" s="39"/>
    </row>
    <row r="12" spans="1:8" x14ac:dyDescent="0.25">
      <c r="A12" s="40">
        <v>43955</v>
      </c>
      <c r="B12" s="8">
        <v>7</v>
      </c>
      <c r="C12" s="8">
        <v>7</v>
      </c>
      <c r="D12" s="8">
        <v>7</v>
      </c>
      <c r="E12" s="8">
        <v>4.8</v>
      </c>
      <c r="F12" s="9">
        <v>9</v>
      </c>
      <c r="G12" s="39"/>
    </row>
    <row r="13" spans="1:8" x14ac:dyDescent="0.25">
      <c r="A13" s="40">
        <v>43956</v>
      </c>
      <c r="B13" s="8">
        <v>7</v>
      </c>
      <c r="C13" s="8">
        <v>7</v>
      </c>
      <c r="D13" s="8">
        <v>7</v>
      </c>
      <c r="E13" s="8">
        <v>4.8</v>
      </c>
      <c r="F13" s="9">
        <v>9</v>
      </c>
      <c r="G13" s="39"/>
    </row>
    <row r="14" spans="1:8" x14ac:dyDescent="0.25">
      <c r="A14" s="40">
        <v>43957</v>
      </c>
      <c r="B14" s="8">
        <v>7</v>
      </c>
      <c r="C14" s="8">
        <v>7</v>
      </c>
      <c r="D14" s="8">
        <v>7</v>
      </c>
      <c r="E14" s="8">
        <v>4.8</v>
      </c>
      <c r="F14" s="9">
        <v>9</v>
      </c>
      <c r="G14" s="39"/>
    </row>
    <row r="15" spans="1:8" x14ac:dyDescent="0.25">
      <c r="A15" s="40">
        <v>43958</v>
      </c>
      <c r="B15" s="8">
        <v>7</v>
      </c>
      <c r="C15" s="8">
        <v>7</v>
      </c>
      <c r="D15" s="8">
        <v>7</v>
      </c>
      <c r="E15" s="8">
        <v>4.8</v>
      </c>
      <c r="F15" s="9">
        <v>9</v>
      </c>
      <c r="G15" s="39"/>
      <c r="H15" s="39"/>
    </row>
    <row r="16" spans="1:8" x14ac:dyDescent="0.25">
      <c r="A16" s="40">
        <v>43959</v>
      </c>
      <c r="B16" s="543" t="s">
        <v>66</v>
      </c>
      <c r="C16" s="543"/>
      <c r="D16" s="543"/>
      <c r="E16" s="543"/>
      <c r="F16" s="544"/>
      <c r="G16" s="39"/>
    </row>
    <row r="17" spans="1:7" x14ac:dyDescent="0.25">
      <c r="A17" s="40">
        <v>43960</v>
      </c>
      <c r="B17" s="8"/>
      <c r="C17" s="8"/>
      <c r="D17" s="8"/>
      <c r="E17" s="8"/>
      <c r="F17" s="9"/>
      <c r="G17" s="39"/>
    </row>
    <row r="18" spans="1:7" x14ac:dyDescent="0.25">
      <c r="A18" s="40">
        <v>43961</v>
      </c>
      <c r="B18" s="8"/>
      <c r="C18" s="8"/>
      <c r="D18" s="8"/>
      <c r="E18" s="8"/>
      <c r="F18" s="9"/>
      <c r="G18" s="39"/>
    </row>
    <row r="19" spans="1:7" x14ac:dyDescent="0.25">
      <c r="A19" s="40">
        <v>43962</v>
      </c>
      <c r="B19" s="8">
        <v>7</v>
      </c>
      <c r="C19" s="8">
        <v>7</v>
      </c>
      <c r="D19" s="8">
        <v>7</v>
      </c>
      <c r="E19" s="8">
        <v>4.8</v>
      </c>
      <c r="F19" s="9">
        <v>10</v>
      </c>
      <c r="G19" s="39"/>
    </row>
    <row r="20" spans="1:7" x14ac:dyDescent="0.25">
      <c r="A20" s="40">
        <v>43963</v>
      </c>
      <c r="B20" s="8">
        <v>7</v>
      </c>
      <c r="C20" s="8">
        <v>7</v>
      </c>
      <c r="D20" s="8">
        <v>7</v>
      </c>
      <c r="E20" s="8">
        <v>4.8</v>
      </c>
      <c r="F20" s="9">
        <v>10</v>
      </c>
      <c r="G20" s="39"/>
    </row>
    <row r="21" spans="1:7" x14ac:dyDescent="0.25">
      <c r="A21" s="40">
        <v>43964</v>
      </c>
      <c r="B21" s="8">
        <v>7</v>
      </c>
      <c r="C21" s="8">
        <v>7</v>
      </c>
      <c r="D21" s="8">
        <v>7</v>
      </c>
      <c r="E21" s="8">
        <v>4.8</v>
      </c>
      <c r="F21" s="9">
        <v>10</v>
      </c>
      <c r="G21" s="39"/>
    </row>
    <row r="22" spans="1:7" x14ac:dyDescent="0.25">
      <c r="A22" s="40">
        <v>43965</v>
      </c>
      <c r="B22" s="8">
        <v>7</v>
      </c>
      <c r="C22" s="8">
        <v>7</v>
      </c>
      <c r="D22" s="8">
        <v>7</v>
      </c>
      <c r="E22" s="8">
        <v>4.8</v>
      </c>
      <c r="F22" s="9">
        <v>10</v>
      </c>
      <c r="G22" s="39"/>
    </row>
    <row r="23" spans="1:7" x14ac:dyDescent="0.25">
      <c r="A23" s="40">
        <v>43966</v>
      </c>
      <c r="B23" s="8">
        <v>7</v>
      </c>
      <c r="C23" s="8">
        <v>7</v>
      </c>
      <c r="D23" s="8">
        <v>7</v>
      </c>
      <c r="E23" s="8">
        <v>4.8</v>
      </c>
      <c r="F23" s="9">
        <v>10</v>
      </c>
      <c r="G23" s="39"/>
    </row>
    <row r="24" spans="1:7" x14ac:dyDescent="0.25">
      <c r="A24" s="40">
        <v>43967</v>
      </c>
      <c r="B24" s="10"/>
      <c r="C24" s="10"/>
      <c r="D24" s="35"/>
      <c r="E24" s="10"/>
      <c r="F24" s="11"/>
      <c r="G24" s="39"/>
    </row>
    <row r="25" spans="1:7" x14ac:dyDescent="0.25">
      <c r="A25" s="40">
        <v>43968</v>
      </c>
      <c r="B25" s="10"/>
      <c r="C25" s="10"/>
      <c r="D25" s="35"/>
      <c r="E25" s="10"/>
      <c r="F25" s="11"/>
      <c r="G25" s="39"/>
    </row>
    <row r="26" spans="1:7" x14ac:dyDescent="0.25">
      <c r="A26" s="40">
        <v>43969</v>
      </c>
      <c r="B26" s="8">
        <v>7</v>
      </c>
      <c r="C26" s="8">
        <v>7</v>
      </c>
      <c r="D26" s="8">
        <v>7</v>
      </c>
      <c r="E26" s="8">
        <v>4.8</v>
      </c>
      <c r="F26" s="9">
        <v>12</v>
      </c>
      <c r="G26" s="39"/>
    </row>
    <row r="27" spans="1:7" x14ac:dyDescent="0.25">
      <c r="A27" s="40">
        <v>43970</v>
      </c>
      <c r="B27" s="8">
        <v>7</v>
      </c>
      <c r="C27" s="8">
        <v>7</v>
      </c>
      <c r="D27" s="8">
        <v>7</v>
      </c>
      <c r="E27" s="8">
        <v>4.8</v>
      </c>
      <c r="F27" s="9">
        <v>12</v>
      </c>
      <c r="G27" s="39"/>
    </row>
    <row r="28" spans="1:7" x14ac:dyDescent="0.25">
      <c r="A28" s="40">
        <v>43971</v>
      </c>
      <c r="B28" s="8">
        <v>7</v>
      </c>
      <c r="C28" s="8">
        <v>7</v>
      </c>
      <c r="D28" s="8">
        <v>7</v>
      </c>
      <c r="E28" s="8">
        <v>4.8</v>
      </c>
      <c r="F28" s="9">
        <v>12</v>
      </c>
      <c r="G28" s="39"/>
    </row>
    <row r="29" spans="1:7" x14ac:dyDescent="0.25">
      <c r="A29" s="40">
        <v>43972</v>
      </c>
      <c r="B29" s="543" t="s">
        <v>66</v>
      </c>
      <c r="C29" s="543"/>
      <c r="D29" s="543"/>
      <c r="E29" s="543"/>
      <c r="F29" s="544"/>
      <c r="G29" s="39"/>
    </row>
    <row r="30" spans="1:7" x14ac:dyDescent="0.25">
      <c r="A30" s="40">
        <v>43973</v>
      </c>
      <c r="B30" s="8">
        <v>7</v>
      </c>
      <c r="C30" s="8">
        <v>7</v>
      </c>
      <c r="D30" s="8">
        <v>7</v>
      </c>
      <c r="E30" s="8">
        <v>4.8</v>
      </c>
      <c r="F30" s="9">
        <v>12</v>
      </c>
      <c r="G30" s="39"/>
    </row>
    <row r="31" spans="1:7" x14ac:dyDescent="0.25">
      <c r="A31" s="40">
        <v>43974</v>
      </c>
      <c r="B31" s="8"/>
      <c r="C31" s="8"/>
      <c r="D31" s="8"/>
      <c r="E31" s="8"/>
      <c r="F31" s="9"/>
      <c r="G31" s="39"/>
    </row>
    <row r="32" spans="1:7" x14ac:dyDescent="0.25">
      <c r="A32" s="40">
        <v>43975</v>
      </c>
      <c r="B32" s="8"/>
      <c r="C32" s="8"/>
      <c r="D32" s="8"/>
      <c r="E32" s="8"/>
      <c r="F32" s="9"/>
      <c r="G32" s="39"/>
    </row>
    <row r="33" spans="1:7" x14ac:dyDescent="0.25">
      <c r="A33" s="40">
        <v>43976</v>
      </c>
      <c r="B33" s="8">
        <v>7</v>
      </c>
      <c r="C33" s="8">
        <v>7</v>
      </c>
      <c r="D33" s="8">
        <v>7</v>
      </c>
      <c r="E33" s="8">
        <v>4.8</v>
      </c>
      <c r="F33" s="9">
        <v>15</v>
      </c>
      <c r="G33" s="39"/>
    </row>
    <row r="34" spans="1:7" x14ac:dyDescent="0.25">
      <c r="A34" s="40">
        <v>43977</v>
      </c>
      <c r="B34" s="8">
        <v>7</v>
      </c>
      <c r="C34" s="8">
        <v>7</v>
      </c>
      <c r="D34" s="8">
        <v>7</v>
      </c>
      <c r="E34" s="8">
        <v>4.8</v>
      </c>
      <c r="F34" s="9">
        <v>5</v>
      </c>
      <c r="G34" s="39"/>
    </row>
    <row r="35" spans="1:7" x14ac:dyDescent="0.25">
      <c r="A35" s="40">
        <v>43978</v>
      </c>
      <c r="B35" s="8">
        <v>7</v>
      </c>
      <c r="C35" s="8">
        <v>7</v>
      </c>
      <c r="D35" s="8">
        <v>7</v>
      </c>
      <c r="E35" s="8">
        <v>4.8</v>
      </c>
      <c r="F35" s="28">
        <v>2</v>
      </c>
      <c r="G35" s="39"/>
    </row>
    <row r="36" spans="1:7" x14ac:dyDescent="0.25">
      <c r="A36" s="40">
        <v>43979</v>
      </c>
      <c r="B36" s="8">
        <v>7</v>
      </c>
      <c r="C36" s="8">
        <v>7</v>
      </c>
      <c r="D36" s="8">
        <v>7</v>
      </c>
      <c r="E36" s="8">
        <v>4.8</v>
      </c>
      <c r="F36" s="28">
        <v>9</v>
      </c>
      <c r="G36" s="39"/>
    </row>
    <row r="37" spans="1:7" x14ac:dyDescent="0.25">
      <c r="A37" s="40">
        <v>43980</v>
      </c>
      <c r="B37" s="8">
        <v>7</v>
      </c>
      <c r="C37" s="8">
        <v>7</v>
      </c>
      <c r="D37" s="8">
        <v>7</v>
      </c>
      <c r="E37" s="8">
        <v>4.8</v>
      </c>
      <c r="F37" s="28">
        <v>10</v>
      </c>
      <c r="G37" s="39"/>
    </row>
    <row r="38" spans="1:7" x14ac:dyDescent="0.25">
      <c r="A38" s="40">
        <v>43981</v>
      </c>
      <c r="B38" s="8"/>
      <c r="C38" s="8"/>
      <c r="D38" s="8"/>
      <c r="E38" s="8"/>
      <c r="F38" s="28">
        <v>12</v>
      </c>
      <c r="G38" s="39"/>
    </row>
    <row r="39" spans="1:7" ht="15.75" thickBot="1" x14ac:dyDescent="0.3">
      <c r="A39" s="41">
        <v>43982</v>
      </c>
      <c r="B39" s="42"/>
      <c r="C39" s="42"/>
      <c r="D39" s="42"/>
      <c r="E39" s="42"/>
      <c r="F39" s="43">
        <v>4</v>
      </c>
      <c r="G39" s="39"/>
    </row>
  </sheetData>
  <mergeCells count="4">
    <mergeCell ref="A1:F1"/>
    <mergeCell ref="B9:F9"/>
    <mergeCell ref="B16:F16"/>
    <mergeCell ref="B29:F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07E5-AE0C-426E-891D-F41B2182A710}">
  <dimension ref="A1:S204"/>
  <sheetViews>
    <sheetView topLeftCell="A84" workbookViewId="0">
      <selection activeCell="D98" sqref="D98"/>
    </sheetView>
  </sheetViews>
  <sheetFormatPr baseColWidth="10" defaultRowHeight="12.75" x14ac:dyDescent="0.25"/>
  <cols>
    <col min="1" max="1" width="55" style="254" customWidth="1"/>
    <col min="2" max="2" width="11.7109375" style="254" customWidth="1"/>
    <col min="3" max="3" width="11" style="254" bestFit="1" customWidth="1"/>
    <col min="4" max="4" width="21.7109375" style="254" bestFit="1" customWidth="1"/>
    <col min="5" max="5" width="10.85546875" style="254" bestFit="1" customWidth="1"/>
    <col min="6" max="6" width="11.85546875" style="254" bestFit="1" customWidth="1"/>
    <col min="7" max="7" width="20" style="254" customWidth="1"/>
    <col min="8" max="8" width="11.42578125" style="254"/>
    <col min="9" max="9" width="49.42578125" style="254" bestFit="1" customWidth="1"/>
    <col min="10" max="16384" width="11.42578125" style="254"/>
  </cols>
  <sheetData>
    <row r="1" spans="1:2" ht="13.5" thickBot="1" x14ac:dyDescent="0.3"/>
    <row r="2" spans="1:2" ht="13.5" thickBot="1" x14ac:dyDescent="0.3">
      <c r="A2" s="550" t="s">
        <v>234</v>
      </c>
      <c r="B2" s="551"/>
    </row>
    <row r="4" spans="1:2" ht="13.5" thickBot="1" x14ac:dyDescent="0.3"/>
    <row r="5" spans="1:2" x14ac:dyDescent="0.25">
      <c r="A5" s="255" t="s">
        <v>14</v>
      </c>
      <c r="B5" s="256" t="s">
        <v>235</v>
      </c>
    </row>
    <row r="6" spans="1:2" x14ac:dyDescent="0.25">
      <c r="A6" s="257" t="s">
        <v>34</v>
      </c>
      <c r="B6" s="258" t="s">
        <v>236</v>
      </c>
    </row>
    <row r="7" spans="1:2" x14ac:dyDescent="0.25">
      <c r="A7" s="257" t="s">
        <v>127</v>
      </c>
      <c r="B7" s="258">
        <v>8</v>
      </c>
    </row>
    <row r="8" spans="1:2" x14ac:dyDescent="0.25">
      <c r="A8" s="257" t="s">
        <v>33</v>
      </c>
      <c r="B8" s="258">
        <v>2</v>
      </c>
    </row>
    <row r="9" spans="1:2" x14ac:dyDescent="0.25">
      <c r="A9" s="257" t="s">
        <v>237</v>
      </c>
      <c r="B9" s="258" t="s">
        <v>238</v>
      </c>
    </row>
    <row r="10" spans="1:2" x14ac:dyDescent="0.25">
      <c r="A10" s="257" t="s">
        <v>239</v>
      </c>
      <c r="B10" s="259">
        <v>1.4999999999999999E-2</v>
      </c>
    </row>
    <row r="11" spans="1:2" x14ac:dyDescent="0.25">
      <c r="A11" s="257" t="s">
        <v>240</v>
      </c>
      <c r="B11" s="259">
        <v>2.5000000000000001E-3</v>
      </c>
    </row>
    <row r="12" spans="1:2" x14ac:dyDescent="0.25">
      <c r="A12" s="257" t="s">
        <v>241</v>
      </c>
      <c r="B12" s="259">
        <v>3.0000000000000001E-3</v>
      </c>
    </row>
    <row r="13" spans="1:2" x14ac:dyDescent="0.25">
      <c r="A13" s="257" t="s">
        <v>242</v>
      </c>
      <c r="B13" s="259">
        <v>1.7999999999999999E-2</v>
      </c>
    </row>
    <row r="14" spans="1:2" ht="13.5" thickBot="1" x14ac:dyDescent="0.3">
      <c r="A14" s="260" t="s">
        <v>52</v>
      </c>
      <c r="B14" s="261">
        <v>5.6000000000000001E-2</v>
      </c>
    </row>
    <row r="16" spans="1:2" ht="13.5" thickBot="1" x14ac:dyDescent="0.3"/>
    <row r="17" spans="1:10" s="265" customFormat="1" ht="23.25" thickBot="1" x14ac:dyDescent="0.3">
      <c r="A17" s="262" t="s">
        <v>92</v>
      </c>
      <c r="B17" s="263"/>
      <c r="C17" s="263"/>
      <c r="D17" s="263"/>
      <c r="E17" s="263"/>
      <c r="F17" s="264"/>
      <c r="I17" s="266" t="s">
        <v>243</v>
      </c>
    </row>
    <row r="18" spans="1:10" s="265" customFormat="1" ht="15.75" thickBot="1" x14ac:dyDescent="0.3">
      <c r="A18" s="267" t="s">
        <v>93</v>
      </c>
      <c r="B18" s="268"/>
      <c r="C18" s="269"/>
      <c r="D18" s="270" t="s">
        <v>94</v>
      </c>
      <c r="E18" s="271"/>
      <c r="F18" s="272" t="s">
        <v>244</v>
      </c>
    </row>
    <row r="19" spans="1:10" s="265" customFormat="1" ht="15" x14ac:dyDescent="0.25">
      <c r="A19" s="273" t="s">
        <v>95</v>
      </c>
      <c r="B19" s="274"/>
      <c r="C19" s="275"/>
      <c r="D19" s="276" t="s">
        <v>95</v>
      </c>
      <c r="E19" s="277"/>
      <c r="F19" s="278"/>
      <c r="I19" s="270" t="s">
        <v>14</v>
      </c>
      <c r="J19" s="279">
        <v>2200</v>
      </c>
    </row>
    <row r="20" spans="1:10" s="265" customFormat="1" ht="15" x14ac:dyDescent="0.25">
      <c r="A20" s="273" t="s">
        <v>96</v>
      </c>
      <c r="B20" s="274"/>
      <c r="C20" s="275"/>
      <c r="D20" s="276" t="s">
        <v>97</v>
      </c>
      <c r="E20" s="277"/>
      <c r="F20" s="278"/>
      <c r="I20" s="276" t="s">
        <v>245</v>
      </c>
      <c r="J20" s="278">
        <v>151.66999999999999</v>
      </c>
    </row>
    <row r="21" spans="1:10" s="265" customFormat="1" ht="15" x14ac:dyDescent="0.25">
      <c r="A21" s="273" t="s">
        <v>98</v>
      </c>
      <c r="B21" s="274"/>
      <c r="C21" s="275"/>
      <c r="D21" s="276" t="s">
        <v>99</v>
      </c>
      <c r="E21" s="277"/>
      <c r="F21" s="278"/>
      <c r="I21" s="276" t="s">
        <v>246</v>
      </c>
      <c r="J21" s="278"/>
    </row>
    <row r="22" spans="1:10" s="265" customFormat="1" ht="15" x14ac:dyDescent="0.25">
      <c r="A22" s="273" t="s">
        <v>98</v>
      </c>
      <c r="B22" s="274"/>
      <c r="C22" s="275"/>
      <c r="D22" s="276" t="s">
        <v>100</v>
      </c>
      <c r="E22" s="277"/>
      <c r="F22" s="278"/>
      <c r="I22" s="280" t="s">
        <v>237</v>
      </c>
      <c r="J22" s="281">
        <v>8</v>
      </c>
    </row>
    <row r="23" spans="1:10" s="265" customFormat="1" ht="15" x14ac:dyDescent="0.25">
      <c r="A23" s="273" t="s">
        <v>101</v>
      </c>
      <c r="B23" s="274"/>
      <c r="C23" s="275"/>
      <c r="D23" s="276"/>
      <c r="E23" s="277"/>
      <c r="F23" s="278"/>
      <c r="I23" s="276" t="s">
        <v>247</v>
      </c>
      <c r="J23" s="282">
        <v>1.7999999999999999E-2</v>
      </c>
    </row>
    <row r="24" spans="1:10" s="265" customFormat="1" ht="15" x14ac:dyDescent="0.25">
      <c r="A24" s="273" t="s">
        <v>102</v>
      </c>
      <c r="B24" s="274"/>
      <c r="C24" s="275"/>
      <c r="D24" s="276" t="s">
        <v>103</v>
      </c>
      <c r="E24" s="277"/>
      <c r="F24" s="278"/>
      <c r="I24" s="283" t="s">
        <v>248</v>
      </c>
      <c r="J24" s="284">
        <v>0</v>
      </c>
    </row>
    <row r="25" spans="1:10" s="265" customFormat="1" ht="15" x14ac:dyDescent="0.25">
      <c r="A25" s="273" t="s">
        <v>104</v>
      </c>
      <c r="B25" s="274"/>
      <c r="C25" s="275"/>
      <c r="D25" s="276" t="s">
        <v>105</v>
      </c>
      <c r="E25" s="277"/>
      <c r="F25" s="278"/>
      <c r="I25" s="276" t="s">
        <v>249</v>
      </c>
      <c r="J25" s="285">
        <v>11.27</v>
      </c>
    </row>
    <row r="26" spans="1:10" s="265" customFormat="1" ht="15" x14ac:dyDescent="0.25">
      <c r="A26" s="273" t="s">
        <v>106</v>
      </c>
      <c r="B26" s="274"/>
      <c r="C26" s="275"/>
      <c r="D26" s="276" t="s">
        <v>107</v>
      </c>
      <c r="E26" s="277"/>
      <c r="F26" s="278"/>
      <c r="I26" s="276"/>
      <c r="J26" s="286"/>
    </row>
    <row r="27" spans="1:10" s="265" customFormat="1" ht="15" x14ac:dyDescent="0.25">
      <c r="A27" s="273" t="s">
        <v>108</v>
      </c>
      <c r="B27" s="274"/>
      <c r="C27" s="275"/>
      <c r="D27" s="276" t="s">
        <v>109</v>
      </c>
      <c r="E27" s="277"/>
      <c r="F27" s="278"/>
      <c r="I27" s="276" t="s">
        <v>250</v>
      </c>
      <c r="J27" s="278">
        <v>0</v>
      </c>
    </row>
    <row r="28" spans="1:10" s="265" customFormat="1" ht="15" x14ac:dyDescent="0.25">
      <c r="A28" s="273" t="s">
        <v>110</v>
      </c>
      <c r="B28" s="274"/>
      <c r="C28" s="275"/>
      <c r="D28" s="276" t="s">
        <v>111</v>
      </c>
      <c r="E28" s="277"/>
      <c r="F28" s="278"/>
      <c r="I28" s="276" t="s">
        <v>127</v>
      </c>
      <c r="J28" s="278">
        <f>B7</f>
        <v>8</v>
      </c>
    </row>
    <row r="29" spans="1:10" s="265" customFormat="1" ht="15" x14ac:dyDescent="0.25">
      <c r="A29" s="273" t="s">
        <v>112</v>
      </c>
      <c r="B29" s="274"/>
      <c r="C29" s="275"/>
      <c r="D29" s="276" t="s">
        <v>113</v>
      </c>
      <c r="E29" s="277"/>
      <c r="F29" s="278"/>
      <c r="I29" s="276" t="s">
        <v>33</v>
      </c>
      <c r="J29" s="278">
        <f>B8</f>
        <v>2</v>
      </c>
    </row>
    <row r="30" spans="1:10" s="265" customFormat="1" ht="15" x14ac:dyDescent="0.25">
      <c r="A30" s="273"/>
      <c r="B30" s="274"/>
      <c r="C30" s="275"/>
      <c r="D30" s="276" t="s">
        <v>114</v>
      </c>
      <c r="E30" s="277"/>
      <c r="F30" s="278"/>
      <c r="I30" s="276" t="s">
        <v>251</v>
      </c>
      <c r="J30" s="278"/>
    </row>
    <row r="31" spans="1:10" s="265" customFormat="1" ht="15" x14ac:dyDescent="0.25">
      <c r="A31" s="276"/>
      <c r="B31" s="274"/>
      <c r="C31" s="275"/>
      <c r="D31" s="276"/>
      <c r="E31" s="277"/>
      <c r="F31" s="278"/>
      <c r="I31" s="276" t="s">
        <v>252</v>
      </c>
      <c r="J31" s="278"/>
    </row>
    <row r="32" spans="1:10" s="265" customFormat="1" ht="15.75" thickBot="1" x14ac:dyDescent="0.3">
      <c r="A32" s="287"/>
      <c r="B32" s="288"/>
      <c r="C32" s="289"/>
      <c r="D32" s="287"/>
      <c r="E32" s="290"/>
      <c r="F32" s="291"/>
      <c r="I32" s="280" t="s">
        <v>253</v>
      </c>
      <c r="J32" s="278"/>
    </row>
    <row r="33" spans="1:16" s="265" customFormat="1" ht="15.75" thickBot="1" x14ac:dyDescent="0.3">
      <c r="A33" s="292" t="s">
        <v>115</v>
      </c>
      <c r="B33" s="552">
        <v>44927</v>
      </c>
      <c r="C33" s="553"/>
      <c r="D33" s="294" t="s">
        <v>116</v>
      </c>
      <c r="E33" s="295"/>
      <c r="F33" s="293">
        <v>44957</v>
      </c>
      <c r="I33" s="280" t="s">
        <v>125</v>
      </c>
      <c r="J33" s="296">
        <f>D53</f>
        <v>0</v>
      </c>
    </row>
    <row r="34" spans="1:16" s="265" customFormat="1" ht="20.25" customHeight="1" thickBot="1" x14ac:dyDescent="0.3">
      <c r="A34" s="297" t="s">
        <v>117</v>
      </c>
      <c r="B34" s="298"/>
      <c r="C34" s="298"/>
      <c r="D34" s="298"/>
      <c r="E34" s="299"/>
      <c r="F34" s="300"/>
      <c r="I34" s="280" t="s">
        <v>126</v>
      </c>
      <c r="J34" s="301">
        <v>0</v>
      </c>
    </row>
    <row r="35" spans="1:16" s="265" customFormat="1" ht="24" customHeight="1" thickBot="1" x14ac:dyDescent="0.3">
      <c r="A35" s="302" t="s">
        <v>117</v>
      </c>
      <c r="B35" s="303" t="s">
        <v>118</v>
      </c>
      <c r="C35" s="303" t="s">
        <v>119</v>
      </c>
      <c r="D35" s="304" t="s">
        <v>120</v>
      </c>
      <c r="E35" s="305"/>
      <c r="F35" s="306"/>
      <c r="I35" s="276" t="s">
        <v>254</v>
      </c>
      <c r="J35" s="278">
        <v>0.31909999999999999</v>
      </c>
    </row>
    <row r="36" spans="1:16" s="314" customFormat="1" ht="15" x14ac:dyDescent="0.2">
      <c r="A36" s="270" t="s">
        <v>14</v>
      </c>
      <c r="B36" s="307"/>
      <c r="C36" s="308"/>
      <c r="D36" s="309"/>
      <c r="E36" s="310"/>
      <c r="F36" s="311"/>
      <c r="G36" s="265"/>
      <c r="H36" s="265"/>
      <c r="I36" s="312" t="s">
        <v>52</v>
      </c>
      <c r="J36" s="313">
        <v>5.6000000000000001E-2</v>
      </c>
      <c r="K36" s="265"/>
      <c r="L36" s="265"/>
      <c r="M36" s="265"/>
      <c r="N36" s="265"/>
      <c r="O36" s="265"/>
      <c r="P36" s="265"/>
    </row>
    <row r="37" spans="1:16" s="314" customFormat="1" ht="15" x14ac:dyDescent="0.25">
      <c r="A37" s="315" t="s">
        <v>255</v>
      </c>
      <c r="B37" s="316"/>
      <c r="C37" s="317"/>
      <c r="D37" s="318"/>
      <c r="E37" s="319"/>
      <c r="F37" s="320"/>
      <c r="I37" s="276" t="s">
        <v>49</v>
      </c>
      <c r="J37" s="321">
        <v>2.5000000000000001E-3</v>
      </c>
      <c r="K37" s="265"/>
      <c r="L37" s="265"/>
      <c r="M37" s="265"/>
      <c r="N37" s="265"/>
      <c r="O37" s="265"/>
      <c r="P37" s="265"/>
    </row>
    <row r="38" spans="1:16" s="314" customFormat="1" ht="15" x14ac:dyDescent="0.25">
      <c r="A38" s="315" t="s">
        <v>32</v>
      </c>
      <c r="B38" s="322"/>
      <c r="C38" s="323"/>
      <c r="D38" s="324"/>
      <c r="E38" s="325"/>
      <c r="F38" s="320"/>
      <c r="I38" s="276" t="s">
        <v>50</v>
      </c>
      <c r="J38" s="321">
        <v>3.0000000000000001E-3</v>
      </c>
      <c r="K38" s="265"/>
      <c r="L38" s="265"/>
      <c r="M38" s="265"/>
      <c r="N38" s="265"/>
      <c r="O38" s="265"/>
      <c r="P38" s="265"/>
    </row>
    <row r="39" spans="1:16" s="314" customFormat="1" ht="15" x14ac:dyDescent="0.25">
      <c r="A39" s="315" t="s">
        <v>256</v>
      </c>
      <c r="B39" s="316"/>
      <c r="C39" s="317"/>
      <c r="D39" s="326"/>
      <c r="E39" s="327"/>
      <c r="F39" s="320"/>
      <c r="I39" s="276" t="s">
        <v>257</v>
      </c>
      <c r="J39" s="286"/>
      <c r="K39" s="265"/>
      <c r="L39" s="265"/>
      <c r="M39" s="265"/>
      <c r="N39" s="265"/>
      <c r="O39" s="265"/>
      <c r="P39" s="265"/>
    </row>
    <row r="40" spans="1:16" s="265" customFormat="1" ht="15.75" thickBot="1" x14ac:dyDescent="0.3">
      <c r="A40" s="276" t="s">
        <v>127</v>
      </c>
      <c r="B40" s="328"/>
      <c r="C40" s="329">
        <f>D36/J20*1.25</f>
        <v>0</v>
      </c>
      <c r="D40" s="329">
        <f>C40*B40</f>
        <v>0</v>
      </c>
      <c r="E40" s="330"/>
      <c r="F40" s="331"/>
      <c r="I40" s="287" t="s">
        <v>239</v>
      </c>
      <c r="J40" s="332">
        <v>1.4999999999999999E-2</v>
      </c>
    </row>
    <row r="41" spans="1:16" s="265" customFormat="1" ht="15" x14ac:dyDescent="0.25">
      <c r="A41" s="276" t="s">
        <v>33</v>
      </c>
      <c r="B41" s="328"/>
      <c r="C41" s="329">
        <f>J19/J20*1.5</f>
        <v>21.757763565635923</v>
      </c>
      <c r="D41" s="329">
        <f>C41*B41</f>
        <v>0</v>
      </c>
      <c r="E41" s="330"/>
      <c r="F41" s="333"/>
    </row>
    <row r="42" spans="1:16" s="265" customFormat="1" ht="15" x14ac:dyDescent="0.25">
      <c r="A42" s="276" t="s">
        <v>251</v>
      </c>
      <c r="B42" s="328"/>
      <c r="C42" s="329"/>
      <c r="D42" s="329"/>
      <c r="E42" s="330"/>
      <c r="F42" s="333"/>
    </row>
    <row r="43" spans="1:16" s="265" customFormat="1" ht="15" x14ac:dyDescent="0.25">
      <c r="A43" s="276" t="s">
        <v>252</v>
      </c>
      <c r="B43" s="328"/>
      <c r="C43" s="329"/>
      <c r="D43" s="329"/>
      <c r="E43" s="330"/>
      <c r="F43" s="333"/>
    </row>
    <row r="44" spans="1:16" s="265" customFormat="1" ht="15" x14ac:dyDescent="0.25">
      <c r="A44" s="276" t="s">
        <v>141</v>
      </c>
      <c r="B44" s="334"/>
      <c r="C44" s="335"/>
      <c r="D44" s="336"/>
      <c r="E44" s="337"/>
      <c r="F44" s="333"/>
    </row>
    <row r="45" spans="1:16" s="265" customFormat="1" ht="27" x14ac:dyDescent="0.25">
      <c r="A45" s="276" t="s">
        <v>258</v>
      </c>
      <c r="B45" s="338"/>
      <c r="C45" s="328"/>
      <c r="D45" s="329"/>
      <c r="E45" s="330"/>
      <c r="F45" s="339"/>
      <c r="I45" s="340"/>
    </row>
    <row r="46" spans="1:16" s="265" customFormat="1" ht="15" x14ac:dyDescent="0.25">
      <c r="A46" s="276" t="s">
        <v>259</v>
      </c>
      <c r="B46" s="341"/>
      <c r="C46" s="335"/>
      <c r="D46" s="336"/>
      <c r="E46" s="337"/>
      <c r="F46" s="339"/>
    </row>
    <row r="47" spans="1:16" s="265" customFormat="1" ht="15" x14ac:dyDescent="0.25">
      <c r="A47" s="276"/>
      <c r="B47" s="342"/>
      <c r="C47" s="343"/>
      <c r="D47" s="344"/>
      <c r="E47" s="345"/>
      <c r="F47" s="346"/>
    </row>
    <row r="48" spans="1:16" s="265" customFormat="1" ht="15.75" thickBot="1" x14ac:dyDescent="0.3">
      <c r="A48" s="265" t="s">
        <v>137</v>
      </c>
      <c r="B48" s="347"/>
      <c r="C48" s="348"/>
      <c r="D48" s="349"/>
      <c r="E48" s="350"/>
      <c r="F48" s="351"/>
    </row>
    <row r="49" spans="1:8" s="265" customFormat="1" ht="15" x14ac:dyDescent="0.25">
      <c r="A49" s="352" t="s">
        <v>139</v>
      </c>
      <c r="B49" s="353"/>
      <c r="C49" s="354"/>
      <c r="D49" s="355"/>
      <c r="E49" s="356"/>
      <c r="F49" s="357"/>
    </row>
    <row r="50" spans="1:8" s="265" customFormat="1" ht="15" x14ac:dyDescent="0.25">
      <c r="A50" s="265" t="s">
        <v>140</v>
      </c>
      <c r="B50" s="353"/>
      <c r="C50" s="354"/>
      <c r="D50" s="355"/>
      <c r="E50" s="356"/>
      <c r="F50" s="357"/>
    </row>
    <row r="51" spans="1:8" s="265" customFormat="1" ht="15" x14ac:dyDescent="0.25">
      <c r="A51" s="352" t="s">
        <v>260</v>
      </c>
      <c r="B51" s="353"/>
      <c r="C51" s="358"/>
      <c r="D51" s="355"/>
      <c r="E51" s="356"/>
      <c r="F51" s="357"/>
    </row>
    <row r="52" spans="1:8" s="265" customFormat="1" ht="15.75" thickBot="1" x14ac:dyDescent="0.3">
      <c r="A52" s="359" t="s">
        <v>18</v>
      </c>
      <c r="B52" s="353"/>
      <c r="C52" s="360"/>
      <c r="D52" s="361"/>
      <c r="E52" s="356"/>
      <c r="F52" s="357"/>
    </row>
    <row r="53" spans="1:8" s="265" customFormat="1" ht="16.5" thickTop="1" thickBot="1" x14ac:dyDescent="0.3">
      <c r="A53" s="362" t="s">
        <v>34</v>
      </c>
      <c r="B53" s="363"/>
      <c r="C53" s="364"/>
      <c r="D53" s="365">
        <f>SUM(D36:D52)</f>
        <v>0</v>
      </c>
      <c r="E53" s="366"/>
      <c r="F53" s="357"/>
    </row>
    <row r="54" spans="1:8" s="265" customFormat="1" ht="15" x14ac:dyDescent="0.25">
      <c r="A54" s="367"/>
      <c r="B54" s="368"/>
      <c r="C54" s="369"/>
      <c r="D54" s="370"/>
      <c r="E54" s="371"/>
      <c r="F54" s="372"/>
    </row>
    <row r="55" spans="1:8" s="265" customFormat="1" ht="28.5" x14ac:dyDescent="0.25">
      <c r="A55" s="373" t="s">
        <v>142</v>
      </c>
      <c r="B55" s="374" t="s">
        <v>44</v>
      </c>
      <c r="C55" s="374" t="s">
        <v>261</v>
      </c>
      <c r="D55" s="374" t="s">
        <v>262</v>
      </c>
      <c r="E55" s="375"/>
      <c r="F55" s="376" t="s">
        <v>263</v>
      </c>
    </row>
    <row r="56" spans="1:8" s="265" customFormat="1" ht="15" x14ac:dyDescent="0.25">
      <c r="A56" s="377" t="s">
        <v>35</v>
      </c>
      <c r="B56" s="378"/>
      <c r="C56" s="379"/>
      <c r="D56" s="379"/>
      <c r="E56" s="380"/>
      <c r="F56" s="381"/>
    </row>
    <row r="57" spans="1:8" s="265" customFormat="1" ht="15" x14ac:dyDescent="0.25">
      <c r="A57" s="382" t="s">
        <v>143</v>
      </c>
      <c r="B57" s="383">
        <f>$D$53</f>
        <v>0</v>
      </c>
      <c r="C57" s="384"/>
      <c r="D57" s="385"/>
      <c r="E57" s="386">
        <v>7.0000000000000007E-2</v>
      </c>
      <c r="F57" s="387">
        <f>E57*B57</f>
        <v>0</v>
      </c>
      <c r="G57" s="388"/>
      <c r="H57" s="388"/>
    </row>
    <row r="58" spans="1:8" s="265" customFormat="1" ht="15" x14ac:dyDescent="0.25">
      <c r="A58" s="389" t="s">
        <v>264</v>
      </c>
      <c r="B58" s="383">
        <f>$D$53</f>
        <v>0</v>
      </c>
      <c r="C58" s="390">
        <f>J37</f>
        <v>2.5000000000000001E-3</v>
      </c>
      <c r="D58" s="391">
        <f>B58*C58</f>
        <v>0</v>
      </c>
      <c r="E58" s="392">
        <f>J38</f>
        <v>3.0000000000000001E-3</v>
      </c>
      <c r="F58" s="387">
        <f t="shared" ref="F58:F71" si="0">E58*B58</f>
        <v>0</v>
      </c>
      <c r="G58" s="388"/>
      <c r="H58" s="388"/>
    </row>
    <row r="59" spans="1:8" s="265" customFormat="1" ht="15" x14ac:dyDescent="0.25">
      <c r="A59" s="382" t="s">
        <v>144</v>
      </c>
      <c r="B59" s="383">
        <f>$D$53</f>
        <v>0</v>
      </c>
      <c r="C59" s="390"/>
      <c r="D59" s="391"/>
      <c r="E59" s="393">
        <f>J40</f>
        <v>1.4999999999999999E-2</v>
      </c>
      <c r="F59" s="387">
        <f t="shared" si="0"/>
        <v>0</v>
      </c>
      <c r="G59" s="388"/>
      <c r="H59" s="388"/>
    </row>
    <row r="60" spans="1:8" s="265" customFormat="1" ht="15" x14ac:dyDescent="0.25">
      <c r="A60" s="382" t="s">
        <v>145</v>
      </c>
      <c r="B60" s="383"/>
      <c r="C60" s="390"/>
      <c r="D60" s="391"/>
      <c r="E60" s="394"/>
      <c r="F60" s="387">
        <f t="shared" si="0"/>
        <v>0</v>
      </c>
      <c r="G60" s="388"/>
      <c r="H60" s="388"/>
    </row>
    <row r="61" spans="1:8" s="265" customFormat="1" ht="15" x14ac:dyDescent="0.25">
      <c r="A61" s="377" t="s">
        <v>37</v>
      </c>
      <c r="B61" s="383">
        <f t="shared" ref="B61:B70" si="1">$D$53</f>
        <v>0</v>
      </c>
      <c r="C61" s="389"/>
      <c r="D61" s="383"/>
      <c r="E61" s="395">
        <f>J23</f>
        <v>1.7999999999999999E-2</v>
      </c>
      <c r="F61" s="387">
        <f t="shared" si="0"/>
        <v>0</v>
      </c>
      <c r="G61" s="388"/>
      <c r="H61" s="388"/>
    </row>
    <row r="62" spans="1:8" s="265" customFormat="1" ht="15" x14ac:dyDescent="0.25">
      <c r="A62" s="377" t="s">
        <v>38</v>
      </c>
      <c r="B62" s="383"/>
      <c r="C62" s="379"/>
      <c r="D62" s="379"/>
      <c r="E62" s="380"/>
      <c r="F62" s="387">
        <f t="shared" si="0"/>
        <v>0</v>
      </c>
      <c r="G62" s="388"/>
      <c r="H62" s="388"/>
    </row>
    <row r="63" spans="1:8" s="265" customFormat="1" ht="15" x14ac:dyDescent="0.25">
      <c r="A63" s="382" t="s">
        <v>62</v>
      </c>
      <c r="B63" s="383">
        <f t="shared" si="1"/>
        <v>0</v>
      </c>
      <c r="C63" s="390">
        <v>6.9000000000000006E-2</v>
      </c>
      <c r="D63" s="391">
        <f>C63*B63</f>
        <v>0</v>
      </c>
      <c r="E63" s="393">
        <v>8.5500000000000007E-2</v>
      </c>
      <c r="F63" s="387">
        <f t="shared" si="0"/>
        <v>0</v>
      </c>
      <c r="G63" s="388"/>
      <c r="H63" s="388"/>
    </row>
    <row r="64" spans="1:8" s="265" customFormat="1" ht="15" x14ac:dyDescent="0.25">
      <c r="A64" s="382" t="s">
        <v>64</v>
      </c>
      <c r="B64" s="383">
        <f t="shared" si="1"/>
        <v>0</v>
      </c>
      <c r="C64" s="390">
        <v>4.0000000000000001E-3</v>
      </c>
      <c r="D64" s="391">
        <f t="shared" ref="D64:D67" si="2">C64*B64</f>
        <v>0</v>
      </c>
      <c r="E64" s="393">
        <v>2.0199999999999999E-2</v>
      </c>
      <c r="F64" s="387">
        <f t="shared" si="0"/>
        <v>0</v>
      </c>
      <c r="G64" s="388"/>
      <c r="H64" s="388"/>
    </row>
    <row r="65" spans="1:18" s="265" customFormat="1" ht="15" x14ac:dyDescent="0.25">
      <c r="A65" s="382" t="s">
        <v>65</v>
      </c>
      <c r="B65" s="383">
        <f t="shared" si="1"/>
        <v>0</v>
      </c>
      <c r="C65" s="390">
        <v>4.0099999999999997E-2</v>
      </c>
      <c r="D65" s="391">
        <f t="shared" si="2"/>
        <v>0</v>
      </c>
      <c r="E65" s="393">
        <v>6.0100000000000001E-2</v>
      </c>
      <c r="F65" s="387">
        <f t="shared" si="0"/>
        <v>0</v>
      </c>
      <c r="G65" s="388"/>
      <c r="H65" s="388"/>
    </row>
    <row r="66" spans="1:18" s="265" customFormat="1" ht="15" x14ac:dyDescent="0.25">
      <c r="A66" s="382" t="s">
        <v>265</v>
      </c>
      <c r="B66" s="383"/>
      <c r="C66" s="390">
        <v>9.7199999999999995E-2</v>
      </c>
      <c r="D66" s="391">
        <f t="shared" si="2"/>
        <v>0</v>
      </c>
      <c r="E66" s="393">
        <v>0.1457</v>
      </c>
      <c r="F66" s="387">
        <f t="shared" si="0"/>
        <v>0</v>
      </c>
      <c r="G66" s="388"/>
      <c r="H66" s="388"/>
    </row>
    <row r="67" spans="1:18" s="265" customFormat="1" ht="15" x14ac:dyDescent="0.25">
      <c r="A67" s="382" t="s">
        <v>147</v>
      </c>
      <c r="B67" s="383"/>
      <c r="C67" s="390">
        <v>1.4E-3</v>
      </c>
      <c r="D67" s="391">
        <f t="shared" si="2"/>
        <v>0</v>
      </c>
      <c r="E67" s="393">
        <v>2.0999999999999999E-3</v>
      </c>
      <c r="F67" s="387">
        <f t="shared" si="0"/>
        <v>0</v>
      </c>
      <c r="G67" s="388"/>
      <c r="H67" s="388"/>
    </row>
    <row r="68" spans="1:18" s="265" customFormat="1" ht="15" x14ac:dyDescent="0.25">
      <c r="A68" s="382" t="s">
        <v>148</v>
      </c>
      <c r="B68" s="383"/>
      <c r="C68" s="390"/>
      <c r="D68" s="391"/>
      <c r="E68" s="394"/>
      <c r="F68" s="387">
        <f t="shared" si="0"/>
        <v>0</v>
      </c>
      <c r="G68" s="388"/>
      <c r="H68" s="388"/>
    </row>
    <row r="69" spans="1:18" s="265" customFormat="1" ht="15" x14ac:dyDescent="0.25">
      <c r="A69" s="377" t="s">
        <v>149</v>
      </c>
      <c r="B69" s="383">
        <f t="shared" si="1"/>
        <v>0</v>
      </c>
      <c r="C69" s="396"/>
      <c r="D69" s="383"/>
      <c r="E69" s="395">
        <v>3.4500000000000003E-2</v>
      </c>
      <c r="F69" s="387">
        <f t="shared" si="0"/>
        <v>0</v>
      </c>
      <c r="G69" s="388"/>
      <c r="H69" s="388"/>
    </row>
    <row r="70" spans="1:18" s="265" customFormat="1" ht="15" x14ac:dyDescent="0.25">
      <c r="A70" s="377" t="s">
        <v>63</v>
      </c>
      <c r="B70" s="383">
        <f t="shared" si="1"/>
        <v>0</v>
      </c>
      <c r="C70" s="396"/>
      <c r="D70" s="383"/>
      <c r="E70" s="395">
        <v>4.2500000000000003E-2</v>
      </c>
      <c r="F70" s="387">
        <f t="shared" si="0"/>
        <v>0</v>
      </c>
      <c r="G70" s="388"/>
      <c r="H70" s="388"/>
    </row>
    <row r="71" spans="1:18" s="265" customFormat="1" ht="15" x14ac:dyDescent="0.25">
      <c r="A71" s="382" t="s">
        <v>151</v>
      </c>
      <c r="B71" s="383"/>
      <c r="C71" s="397">
        <v>2.4000000000000001E-4</v>
      </c>
      <c r="D71" s="383"/>
      <c r="E71" s="398">
        <v>3.6000000000000002E-4</v>
      </c>
      <c r="F71" s="387">
        <f t="shared" si="0"/>
        <v>0</v>
      </c>
      <c r="G71" s="388"/>
      <c r="H71" s="388"/>
    </row>
    <row r="72" spans="1:18" s="265" customFormat="1" ht="15" x14ac:dyDescent="0.25">
      <c r="A72" s="377" t="s">
        <v>61</v>
      </c>
      <c r="B72" s="383">
        <f t="shared" ref="B72" si="3">$D$49</f>
        <v>0</v>
      </c>
      <c r="C72" s="396"/>
      <c r="D72" s="383"/>
      <c r="E72" s="399"/>
      <c r="F72" s="387">
        <f>D162</f>
        <v>0</v>
      </c>
      <c r="G72" s="388"/>
      <c r="H72" s="388"/>
      <c r="R72" s="400"/>
    </row>
    <row r="73" spans="1:18" s="265" customFormat="1" ht="15" x14ac:dyDescent="0.25">
      <c r="A73" s="377"/>
      <c r="B73" s="383"/>
      <c r="C73" s="383"/>
      <c r="D73" s="383"/>
      <c r="E73" s="399"/>
      <c r="F73" s="401"/>
      <c r="G73" s="388"/>
      <c r="H73" s="388"/>
    </row>
    <row r="74" spans="1:18" s="265" customFormat="1" ht="25.5" x14ac:dyDescent="0.25">
      <c r="A74" s="402" t="s">
        <v>266</v>
      </c>
      <c r="B74" s="383"/>
      <c r="C74" s="383"/>
      <c r="D74" s="383"/>
      <c r="E74" s="399"/>
      <c r="F74" s="401"/>
      <c r="G74" s="388"/>
      <c r="H74" s="388"/>
    </row>
    <row r="75" spans="1:18" s="265" customFormat="1" ht="18" customHeight="1" x14ac:dyDescent="0.25">
      <c r="A75" s="382"/>
      <c r="B75" s="383"/>
      <c r="C75" s="397"/>
      <c r="D75" s="383"/>
      <c r="E75" s="399"/>
      <c r="F75" s="387"/>
      <c r="G75" s="388"/>
      <c r="H75" s="388"/>
    </row>
    <row r="76" spans="1:18" s="265" customFormat="1" ht="18" customHeight="1" x14ac:dyDescent="0.25">
      <c r="A76" s="377" t="s">
        <v>153</v>
      </c>
      <c r="B76" s="383">
        <f>(D36*0.9825)+F59+F58</f>
        <v>0</v>
      </c>
      <c r="C76" s="390">
        <v>6.8000000000000005E-2</v>
      </c>
      <c r="D76" s="391">
        <f t="shared" ref="D76:D78" si="4">C76*B76</f>
        <v>0</v>
      </c>
      <c r="E76" s="394"/>
      <c r="F76" s="387"/>
    </row>
    <row r="77" spans="1:18" s="265" customFormat="1" ht="18" customHeight="1" x14ac:dyDescent="0.25">
      <c r="A77" s="403" t="s">
        <v>154</v>
      </c>
      <c r="B77" s="404">
        <f>B76</f>
        <v>0</v>
      </c>
      <c r="C77" s="405">
        <v>2.9000000000000001E-2</v>
      </c>
      <c r="D77" s="391">
        <f t="shared" si="4"/>
        <v>0</v>
      </c>
      <c r="E77" s="394"/>
      <c r="F77" s="406"/>
    </row>
    <row r="78" spans="1:18" s="265" customFormat="1" ht="27.75" customHeight="1" x14ac:dyDescent="0.25">
      <c r="A78" s="407" t="s">
        <v>155</v>
      </c>
      <c r="B78" s="404">
        <f>(D40+D41)*0.9825</f>
        <v>0</v>
      </c>
      <c r="C78" s="405">
        <v>9.7000000000000003E-2</v>
      </c>
      <c r="D78" s="391">
        <f t="shared" si="4"/>
        <v>0</v>
      </c>
      <c r="E78" s="408"/>
      <c r="F78" s="406"/>
    </row>
    <row r="79" spans="1:18" s="265" customFormat="1" ht="18" customHeight="1" x14ac:dyDescent="0.25">
      <c r="A79" s="409" t="s">
        <v>267</v>
      </c>
      <c r="B79" s="410"/>
      <c r="C79" s="410"/>
      <c r="D79" s="411">
        <f>-(D40+D41)*11.31%</f>
        <v>0</v>
      </c>
      <c r="E79" s="410"/>
      <c r="F79" s="412"/>
    </row>
    <row r="80" spans="1:18" s="265" customFormat="1" ht="18" customHeight="1" x14ac:dyDescent="0.25">
      <c r="A80" s="409"/>
      <c r="B80" s="410"/>
      <c r="C80" s="410"/>
      <c r="D80" s="410"/>
      <c r="E80" s="410"/>
      <c r="F80" s="413"/>
    </row>
    <row r="81" spans="1:19" s="265" customFormat="1" ht="18" customHeight="1" x14ac:dyDescent="0.25">
      <c r="A81" s="403" t="s">
        <v>39</v>
      </c>
      <c r="B81" s="411"/>
      <c r="C81" s="414"/>
      <c r="D81" s="415">
        <f>SUM(D57:D80)</f>
        <v>0</v>
      </c>
      <c r="E81" s="415"/>
      <c r="F81" s="415">
        <f>SUM(F57:F80)</f>
        <v>0</v>
      </c>
    </row>
    <row r="82" spans="1:19" s="265" customFormat="1" ht="18" customHeight="1" x14ac:dyDescent="0.25">
      <c r="A82" s="403"/>
      <c r="B82" s="411"/>
      <c r="C82" s="414"/>
      <c r="D82" s="415"/>
      <c r="E82" s="416"/>
      <c r="F82" s="417"/>
    </row>
    <row r="83" spans="1:19" s="265" customFormat="1" ht="15" x14ac:dyDescent="0.25">
      <c r="A83" s="418" t="s">
        <v>156</v>
      </c>
      <c r="B83" s="411"/>
      <c r="C83" s="414"/>
      <c r="D83" s="415">
        <f>-B15</f>
        <v>0</v>
      </c>
      <c r="E83" s="416"/>
      <c r="F83" s="417"/>
    </row>
    <row r="84" spans="1:19" s="265" customFormat="1" ht="15" x14ac:dyDescent="0.25">
      <c r="A84" s="418" t="s">
        <v>123</v>
      </c>
      <c r="B84" s="411"/>
      <c r="C84" s="414"/>
      <c r="D84" s="415"/>
      <c r="E84" s="416"/>
      <c r="F84" s="417"/>
    </row>
    <row r="85" spans="1:19" s="265" customFormat="1" ht="15" x14ac:dyDescent="0.25">
      <c r="A85" s="418" t="s">
        <v>157</v>
      </c>
      <c r="B85" s="411"/>
      <c r="C85" s="414"/>
      <c r="D85" s="415"/>
      <c r="E85" s="416"/>
      <c r="F85" s="417"/>
    </row>
    <row r="86" spans="1:19" s="265" customFormat="1" ht="15.75" customHeight="1" x14ac:dyDescent="0.25">
      <c r="A86" s="418" t="s">
        <v>158</v>
      </c>
      <c r="B86" s="419"/>
      <c r="C86" s="414"/>
      <c r="D86" s="415"/>
      <c r="E86" s="416"/>
      <c r="F86" s="417"/>
    </row>
    <row r="87" spans="1:19" s="265" customFormat="1" ht="15" x14ac:dyDescent="0.25">
      <c r="A87" s="418" t="s">
        <v>268</v>
      </c>
      <c r="B87" s="411"/>
      <c r="C87" s="414"/>
      <c r="D87" s="415"/>
      <c r="E87" s="416"/>
      <c r="F87" s="417"/>
    </row>
    <row r="88" spans="1:19" s="265" customFormat="1" ht="15" x14ac:dyDescent="0.25">
      <c r="A88" s="418"/>
      <c r="B88" s="411"/>
      <c r="C88" s="414"/>
      <c r="D88" s="415"/>
      <c r="E88" s="416"/>
      <c r="F88" s="417"/>
    </row>
    <row r="89" spans="1:19" s="265" customFormat="1" ht="15.75" thickBot="1" x14ac:dyDescent="0.3">
      <c r="A89" s="403" t="s">
        <v>294</v>
      </c>
      <c r="B89" s="411"/>
      <c r="C89" s="414"/>
      <c r="D89" s="415"/>
      <c r="E89" s="416"/>
      <c r="F89" s="420">
        <f>+D53-D81</f>
        <v>0</v>
      </c>
    </row>
    <row r="90" spans="1:19" s="265" customFormat="1" ht="15.75" thickBot="1" x14ac:dyDescent="0.3">
      <c r="A90" s="421" t="s">
        <v>40</v>
      </c>
      <c r="B90" s="422"/>
      <c r="C90" s="423"/>
      <c r="D90" s="424"/>
      <c r="E90" s="425"/>
      <c r="F90" s="426">
        <f>D53-D81+D83</f>
        <v>0</v>
      </c>
    </row>
    <row r="91" spans="1:19" s="342" customFormat="1" ht="28.5" x14ac:dyDescent="0.25">
      <c r="A91" s="427" t="s">
        <v>41</v>
      </c>
      <c r="B91" s="423"/>
      <c r="C91" s="428"/>
      <c r="D91" s="428"/>
      <c r="E91" s="429"/>
      <c r="F91" s="430">
        <f>D142</f>
        <v>0</v>
      </c>
      <c r="J91" s="265"/>
      <c r="S91" s="305"/>
    </row>
    <row r="92" spans="1:19" s="342" customFormat="1" ht="28.5" x14ac:dyDescent="0.25">
      <c r="A92" s="428" t="s">
        <v>42</v>
      </c>
      <c r="B92" s="428" t="s">
        <v>43</v>
      </c>
      <c r="C92" s="428" t="s">
        <v>22</v>
      </c>
      <c r="D92" s="431" t="s">
        <v>159</v>
      </c>
      <c r="E92" s="431"/>
      <c r="F92" s="432" t="s">
        <v>269</v>
      </c>
      <c r="J92" s="265"/>
    </row>
    <row r="93" spans="1:19" s="342" customFormat="1" ht="15" x14ac:dyDescent="0.25">
      <c r="A93" s="433" t="s">
        <v>270</v>
      </c>
      <c r="B93" s="434"/>
      <c r="C93" s="423"/>
      <c r="D93" s="435">
        <f>D36+F58+D77+D78-D81</f>
        <v>0</v>
      </c>
      <c r="E93" s="436"/>
      <c r="F93" s="437">
        <f>D93</f>
        <v>0</v>
      </c>
    </row>
    <row r="94" spans="1:19" s="342" customFormat="1" ht="15" x14ac:dyDescent="0.25">
      <c r="A94" s="433" t="s">
        <v>271</v>
      </c>
      <c r="B94" s="438">
        <f>D93</f>
        <v>0</v>
      </c>
      <c r="C94" s="439">
        <f>J36</f>
        <v>5.6000000000000001E-2</v>
      </c>
      <c r="D94" s="435">
        <f>C94*B94</f>
        <v>0</v>
      </c>
      <c r="E94" s="436"/>
      <c r="F94" s="437">
        <f t="shared" ref="F94:F95" si="5">D94</f>
        <v>0</v>
      </c>
    </row>
    <row r="95" spans="1:19" s="342" customFormat="1" ht="15" x14ac:dyDescent="0.25">
      <c r="A95" s="433" t="s">
        <v>272</v>
      </c>
      <c r="B95" s="434"/>
      <c r="C95" s="435"/>
      <c r="D95" s="435">
        <f>D40+D41</f>
        <v>0</v>
      </c>
      <c r="E95" s="436"/>
      <c r="F95" s="437">
        <f t="shared" si="5"/>
        <v>0</v>
      </c>
    </row>
    <row r="96" spans="1:19" s="342" customFormat="1" ht="15" x14ac:dyDescent="0.25">
      <c r="A96" s="433"/>
      <c r="B96" s="434"/>
      <c r="C96" s="423"/>
      <c r="D96" s="423"/>
      <c r="E96" s="436"/>
      <c r="F96" s="440"/>
    </row>
    <row r="97" spans="1:6" s="342" customFormat="1" ht="15" x14ac:dyDescent="0.25">
      <c r="A97" s="421" t="s">
        <v>273</v>
      </c>
      <c r="B97" s="423"/>
      <c r="C97" s="423"/>
      <c r="D97" s="435">
        <f>F90-D94</f>
        <v>0</v>
      </c>
      <c r="E97" s="436"/>
      <c r="F97" s="437"/>
    </row>
    <row r="98" spans="1:6" s="342" customFormat="1" ht="15" x14ac:dyDescent="0.25">
      <c r="A98" s="433" t="s">
        <v>274</v>
      </c>
      <c r="B98" s="423"/>
      <c r="C98" s="423"/>
      <c r="D98" s="435"/>
      <c r="E98" s="436"/>
      <c r="F98" s="437"/>
    </row>
    <row r="99" spans="1:6" s="342" customFormat="1" ht="15" x14ac:dyDescent="0.25">
      <c r="A99" s="433" t="s">
        <v>275</v>
      </c>
      <c r="B99" s="441"/>
      <c r="C99" s="423"/>
      <c r="D99" s="435">
        <f>D53+F81</f>
        <v>0</v>
      </c>
      <c r="E99" s="436"/>
      <c r="F99" s="437"/>
    </row>
    <row r="100" spans="1:6" s="342" customFormat="1" ht="15.75" thickBot="1" x14ac:dyDescent="0.3">
      <c r="A100" s="442" t="s">
        <v>161</v>
      </c>
      <c r="B100" s="443"/>
      <c r="C100" s="443"/>
      <c r="D100" s="443"/>
      <c r="E100" s="444"/>
      <c r="F100" s="445"/>
    </row>
    <row r="101" spans="1:6" s="265" customFormat="1" ht="15" x14ac:dyDescent="0.25"/>
    <row r="102" spans="1:6" s="265" customFormat="1" ht="15" hidden="1" x14ac:dyDescent="0.25"/>
    <row r="103" spans="1:6" s="265" customFormat="1" ht="15" hidden="1" x14ac:dyDescent="0.25">
      <c r="A103" s="554" t="s">
        <v>61</v>
      </c>
      <c r="B103" s="555"/>
    </row>
    <row r="104" spans="1:6" s="265" customFormat="1" ht="15" hidden="1" x14ac:dyDescent="0.25">
      <c r="A104" s="446"/>
      <c r="B104" s="447"/>
      <c r="C104" s="556">
        <f>D53</f>
        <v>0</v>
      </c>
      <c r="D104" s="448"/>
    </row>
    <row r="105" spans="1:6" s="265" customFormat="1" ht="15" hidden="1" x14ac:dyDescent="0.25">
      <c r="A105" s="449" t="s">
        <v>276</v>
      </c>
      <c r="B105" s="450">
        <f>IF(I18&gt;=11,I20,0)</f>
        <v>0</v>
      </c>
      <c r="C105" s="557"/>
      <c r="D105" s="451">
        <f>$C$88*B105</f>
        <v>0</v>
      </c>
    </row>
    <row r="106" spans="1:6" s="265" customFormat="1" ht="15" hidden="1" x14ac:dyDescent="0.25">
      <c r="A106" s="449" t="s">
        <v>277</v>
      </c>
      <c r="B106" s="450">
        <f>IF(I18&lt;50,0%,0.5%)</f>
        <v>0</v>
      </c>
      <c r="C106" s="557"/>
      <c r="D106" s="451">
        <f t="shared" ref="D106:D111" si="6">$C$88*B106</f>
        <v>0</v>
      </c>
    </row>
    <row r="107" spans="1:6" s="265" customFormat="1" ht="15" hidden="1" x14ac:dyDescent="0.25">
      <c r="A107" s="449" t="s">
        <v>67</v>
      </c>
      <c r="B107" s="450">
        <v>1.6000000000000001E-4</v>
      </c>
      <c r="C107" s="557"/>
      <c r="D107" s="451">
        <f t="shared" si="6"/>
        <v>0</v>
      </c>
    </row>
    <row r="108" spans="1:6" s="265" customFormat="1" ht="15" hidden="1" x14ac:dyDescent="0.25">
      <c r="A108" s="449" t="s">
        <v>68</v>
      </c>
      <c r="B108" s="450">
        <v>3.0000000000000001E-3</v>
      </c>
      <c r="C108" s="557"/>
      <c r="D108" s="451">
        <f t="shared" si="6"/>
        <v>0</v>
      </c>
    </row>
    <row r="109" spans="1:6" s="265" customFormat="1" ht="15" hidden="1" x14ac:dyDescent="0.25">
      <c r="A109" s="449" t="s">
        <v>69</v>
      </c>
      <c r="B109" s="450">
        <v>5.8999999999999999E-3</v>
      </c>
      <c r="C109" s="557"/>
      <c r="D109" s="451">
        <f t="shared" si="6"/>
        <v>0</v>
      </c>
    </row>
    <row r="110" spans="1:6" s="265" customFormat="1" ht="15" hidden="1" x14ac:dyDescent="0.25">
      <c r="A110" s="449" t="s">
        <v>278</v>
      </c>
      <c r="B110" s="450">
        <f>IF(I18&lt;11,0.55%,1%)</f>
        <v>5.5000000000000005E-3</v>
      </c>
      <c r="C110" s="557"/>
      <c r="D110" s="451">
        <f t="shared" si="6"/>
        <v>0</v>
      </c>
    </row>
    <row r="111" spans="1:6" s="265" customFormat="1" ht="15" hidden="1" x14ac:dyDescent="0.25">
      <c r="A111" s="449" t="s">
        <v>164</v>
      </c>
      <c r="B111" s="450">
        <f>IF(I18&lt;=50,0,0.45%)</f>
        <v>0</v>
      </c>
      <c r="C111" s="557"/>
      <c r="D111" s="451">
        <f t="shared" si="6"/>
        <v>0</v>
      </c>
    </row>
    <row r="112" spans="1:6" s="265" customFormat="1" ht="15" hidden="1" x14ac:dyDescent="0.25">
      <c r="A112" s="276"/>
      <c r="B112" s="328"/>
      <c r="C112" s="328"/>
      <c r="D112" s="278"/>
    </row>
    <row r="113" spans="1:4" s="265" customFormat="1" ht="15" hidden="1" x14ac:dyDescent="0.25">
      <c r="A113" s="276" t="s">
        <v>279</v>
      </c>
      <c r="B113" s="452">
        <f>IF(I18&gt;=11,+F54+F55+F56,0)</f>
        <v>0</v>
      </c>
      <c r="C113" s="453">
        <v>0.08</v>
      </c>
      <c r="D113" s="454">
        <f>C113*B113</f>
        <v>0</v>
      </c>
    </row>
    <row r="114" spans="1:4" s="265" customFormat="1" ht="15.75" hidden="1" thickBot="1" x14ac:dyDescent="0.3">
      <c r="A114" s="287" t="s">
        <v>280</v>
      </c>
      <c r="B114" s="455">
        <f>D53</f>
        <v>0</v>
      </c>
      <c r="C114" s="456">
        <v>1E-3</v>
      </c>
      <c r="D114" s="457">
        <f>C114*B114</f>
        <v>0</v>
      </c>
    </row>
    <row r="115" spans="1:4" s="265" customFormat="1" ht="15" hidden="1" x14ac:dyDescent="0.25"/>
    <row r="116" spans="1:4" s="265" customFormat="1" ht="15.75" hidden="1" thickBot="1" x14ac:dyDescent="0.3">
      <c r="A116" s="458" t="s">
        <v>71</v>
      </c>
      <c r="B116" s="459"/>
      <c r="C116" s="459"/>
      <c r="D116" s="460">
        <f>SUM(D105:D114)</f>
        <v>0</v>
      </c>
    </row>
    <row r="117" spans="1:4" s="265" customFormat="1" ht="15" hidden="1" x14ac:dyDescent="0.25"/>
    <row r="118" spans="1:4" s="265" customFormat="1" ht="15.75" hidden="1" thickBot="1" x14ac:dyDescent="0.3">
      <c r="A118" s="558" t="s">
        <v>72</v>
      </c>
      <c r="B118" s="559"/>
      <c r="C118" s="559"/>
      <c r="D118" s="560"/>
    </row>
    <row r="119" spans="1:4" s="265" customFormat="1" ht="15" hidden="1" x14ac:dyDescent="0.25">
      <c r="A119" s="461" t="s">
        <v>73</v>
      </c>
      <c r="B119" s="462">
        <f>D53</f>
        <v>0</v>
      </c>
      <c r="C119" s="463">
        <v>2.4E-2</v>
      </c>
      <c r="D119" s="464">
        <f>C119*B119</f>
        <v>0</v>
      </c>
    </row>
    <row r="120" spans="1:4" s="265" customFormat="1" ht="15" hidden="1" x14ac:dyDescent="0.25">
      <c r="A120" s="465" t="s">
        <v>74</v>
      </c>
      <c r="B120" s="462">
        <f>B119</f>
        <v>0</v>
      </c>
      <c r="C120" s="466">
        <v>7.4999999999999997E-3</v>
      </c>
      <c r="D120" s="467">
        <f>C120*B120</f>
        <v>0</v>
      </c>
    </row>
    <row r="121" spans="1:4" s="265" customFormat="1" ht="15" hidden="1" x14ac:dyDescent="0.25">
      <c r="A121" s="465" t="s">
        <v>75</v>
      </c>
      <c r="B121" s="462">
        <f>B76</f>
        <v>0</v>
      </c>
      <c r="C121" s="466">
        <v>-1.7000000000000001E-2</v>
      </c>
      <c r="D121" s="467">
        <f>C121*B121</f>
        <v>0</v>
      </c>
    </row>
    <row r="122" spans="1:4" s="265" customFormat="1" ht="15" hidden="1" x14ac:dyDescent="0.25">
      <c r="A122" s="403"/>
      <c r="B122" s="468"/>
      <c r="C122" s="469"/>
      <c r="D122" s="470"/>
    </row>
    <row r="123" spans="1:4" s="265" customFormat="1" ht="15.75" hidden="1" thickBot="1" x14ac:dyDescent="0.3">
      <c r="A123" s="471" t="s">
        <v>76</v>
      </c>
      <c r="B123" s="472"/>
      <c r="C123" s="473"/>
      <c r="D123" s="474">
        <f>SUM(D119:D122)</f>
        <v>0</v>
      </c>
    </row>
    <row r="124" spans="1:4" s="265" customFormat="1" ht="15" hidden="1" x14ac:dyDescent="0.25">
      <c r="A124" s="254"/>
      <c r="B124" s="254"/>
      <c r="C124" s="254"/>
      <c r="D124" s="254"/>
    </row>
    <row r="125" spans="1:4" s="265" customFormat="1" ht="15" hidden="1" x14ac:dyDescent="0.25">
      <c r="A125" s="254"/>
      <c r="B125" s="254"/>
      <c r="C125" s="254"/>
      <c r="D125" s="254"/>
    </row>
    <row r="126" spans="1:4" s="265" customFormat="1" ht="15.75" hidden="1" thickBot="1" x14ac:dyDescent="0.3">
      <c r="A126" s="558" t="s">
        <v>82</v>
      </c>
      <c r="B126" s="559"/>
      <c r="C126" s="559"/>
      <c r="D126" s="560"/>
    </row>
    <row r="127" spans="1:4" s="265" customFormat="1" ht="15" hidden="1" x14ac:dyDescent="0.25">
      <c r="A127" s="475" t="s">
        <v>77</v>
      </c>
      <c r="B127" s="476"/>
      <c r="C127" s="476"/>
      <c r="D127" s="477">
        <f>-F79</f>
        <v>0</v>
      </c>
    </row>
    <row r="128" spans="1:4" s="265" customFormat="1" ht="15" hidden="1" x14ac:dyDescent="0.25">
      <c r="A128" s="478" t="s">
        <v>78</v>
      </c>
      <c r="B128" s="479">
        <f>B78</f>
        <v>0</v>
      </c>
      <c r="C128" s="480">
        <v>1.5</v>
      </c>
      <c r="D128" s="481">
        <f>C128*B128</f>
        <v>0</v>
      </c>
    </row>
    <row r="129" spans="1:4" s="265" customFormat="1" ht="15" hidden="1" x14ac:dyDescent="0.25">
      <c r="A129" s="478" t="s">
        <v>79</v>
      </c>
      <c r="B129" s="482">
        <f>D53</f>
        <v>0</v>
      </c>
      <c r="C129" s="466">
        <v>1.7999999999999999E-2</v>
      </c>
      <c r="D129" s="481">
        <f>C129*B129</f>
        <v>0</v>
      </c>
    </row>
    <row r="130" spans="1:4" s="265" customFormat="1" ht="15" hidden="1" x14ac:dyDescent="0.25">
      <c r="A130" s="478" t="s">
        <v>80</v>
      </c>
      <c r="B130" s="482">
        <f>B129</f>
        <v>0</v>
      </c>
      <c r="C130" s="466">
        <v>0.06</v>
      </c>
      <c r="D130" s="481">
        <f>C130*B130</f>
        <v>0</v>
      </c>
    </row>
    <row r="131" spans="1:4" s="265" customFormat="1" ht="15.75" hidden="1" thickBot="1" x14ac:dyDescent="0.3">
      <c r="A131" s="483" t="s">
        <v>81</v>
      </c>
      <c r="B131" s="484"/>
      <c r="C131" s="484"/>
      <c r="D131" s="485">
        <f>D127+D128+D129+D130</f>
        <v>0</v>
      </c>
    </row>
    <row r="132" spans="1:4" s="265" customFormat="1" ht="15" hidden="1" x14ac:dyDescent="0.25"/>
    <row r="133" spans="1:4" s="265" customFormat="1" ht="15" hidden="1" x14ac:dyDescent="0.25"/>
    <row r="134" spans="1:4" s="265" customFormat="1" ht="15" hidden="1" x14ac:dyDescent="0.25"/>
    <row r="135" spans="1:4" s="265" customFormat="1" ht="15" hidden="1" x14ac:dyDescent="0.25"/>
    <row r="136" spans="1:4" s="265" customFormat="1" ht="15" x14ac:dyDescent="0.25"/>
    <row r="137" spans="1:4" s="265" customFormat="1" ht="15.75" customHeight="1" thickBot="1" x14ac:dyDescent="0.3">
      <c r="A137" s="545" t="s">
        <v>72</v>
      </c>
      <c r="B137" s="546"/>
      <c r="C137" s="546"/>
      <c r="D137" s="547"/>
    </row>
    <row r="138" spans="1:4" s="265" customFormat="1" ht="15" x14ac:dyDescent="0.25">
      <c r="A138" s="486" t="s">
        <v>73</v>
      </c>
      <c r="B138" s="487">
        <f>D53</f>
        <v>0</v>
      </c>
      <c r="C138" s="488">
        <v>2.4E-2</v>
      </c>
      <c r="D138" s="489">
        <f t="shared" ref="D138:D140" si="7">B138*C138</f>
        <v>0</v>
      </c>
    </row>
    <row r="139" spans="1:4" s="265" customFormat="1" ht="15" x14ac:dyDescent="0.25">
      <c r="A139" s="490" t="s">
        <v>74</v>
      </c>
      <c r="B139" s="491">
        <f>B138</f>
        <v>0</v>
      </c>
      <c r="C139" s="492">
        <v>7.4999999999999997E-3</v>
      </c>
      <c r="D139" s="493">
        <f t="shared" si="7"/>
        <v>0</v>
      </c>
    </row>
    <row r="140" spans="1:4" s="265" customFormat="1" ht="15" x14ac:dyDescent="0.25">
      <c r="A140" s="490" t="s">
        <v>281</v>
      </c>
      <c r="B140" s="491">
        <f>B77+B78</f>
        <v>0</v>
      </c>
      <c r="C140" s="494">
        <v>-1.7000000000000001E-2</v>
      </c>
      <c r="D140" s="493">
        <f t="shared" si="7"/>
        <v>0</v>
      </c>
    </row>
    <row r="141" spans="1:4" s="265" customFormat="1" ht="15" x14ac:dyDescent="0.25">
      <c r="A141" s="490" t="s">
        <v>22</v>
      </c>
      <c r="B141" s="495"/>
      <c r="C141" s="496"/>
      <c r="D141" s="497"/>
    </row>
    <row r="142" spans="1:4" s="265" customFormat="1" ht="15.75" thickBot="1" x14ac:dyDescent="0.3">
      <c r="A142" s="498" t="s">
        <v>76</v>
      </c>
      <c r="B142" s="499"/>
      <c r="C142" s="500"/>
      <c r="D142" s="501">
        <f>SUM(D138:D141)</f>
        <v>0</v>
      </c>
    </row>
    <row r="143" spans="1:4" s="265" customFormat="1" ht="15" x14ac:dyDescent="0.25">
      <c r="A143" s="502"/>
      <c r="B143" s="503"/>
      <c r="C143" s="504"/>
      <c r="D143" s="505"/>
    </row>
    <row r="144" spans="1:4" s="265" customFormat="1" ht="15" x14ac:dyDescent="0.25">
      <c r="A144" s="502"/>
      <c r="B144" s="503"/>
      <c r="C144" s="504"/>
      <c r="D144" s="505"/>
    </row>
    <row r="145" spans="1:4" s="265" customFormat="1" ht="15.75" thickBot="1" x14ac:dyDescent="0.3">
      <c r="A145" s="506" t="s">
        <v>274</v>
      </c>
    </row>
    <row r="146" spans="1:4" s="265" customFormat="1" ht="15" x14ac:dyDescent="0.25">
      <c r="A146" s="507" t="s">
        <v>282</v>
      </c>
      <c r="B146" s="508"/>
      <c r="C146" s="268"/>
      <c r="D146" s="509" t="e">
        <f>H169</f>
        <v>#DIV/0!</v>
      </c>
    </row>
    <row r="147" spans="1:4" s="265" customFormat="1" ht="15" x14ac:dyDescent="0.25">
      <c r="A147" s="510" t="s">
        <v>283</v>
      </c>
      <c r="B147" s="511">
        <f>D53</f>
        <v>0</v>
      </c>
      <c r="C147" s="512">
        <v>0.06</v>
      </c>
      <c r="D147" s="513">
        <f>C147*B147</f>
        <v>0</v>
      </c>
    </row>
    <row r="148" spans="1:4" s="265" customFormat="1" ht="15" x14ac:dyDescent="0.25">
      <c r="A148" s="510" t="s">
        <v>284</v>
      </c>
      <c r="B148" s="511">
        <f>B147</f>
        <v>0</v>
      </c>
      <c r="C148" s="453">
        <v>1.7999999999999999E-2</v>
      </c>
      <c r="D148" s="513">
        <f>C148*B148</f>
        <v>0</v>
      </c>
    </row>
    <row r="149" spans="1:4" s="265" customFormat="1" ht="15.75" thickBot="1" x14ac:dyDescent="0.3">
      <c r="A149" s="514" t="s">
        <v>81</v>
      </c>
      <c r="B149" s="515"/>
      <c r="C149" s="516"/>
      <c r="D149" s="517" t="e">
        <f>SUM(D146:D148)</f>
        <v>#DIV/0!</v>
      </c>
    </row>
    <row r="150" spans="1:4" s="265" customFormat="1" ht="15" x14ac:dyDescent="0.25"/>
    <row r="151" spans="1:4" s="265" customFormat="1" ht="15.75" thickBot="1" x14ac:dyDescent="0.3"/>
    <row r="152" spans="1:4" s="265" customFormat="1" ht="15" x14ac:dyDescent="0.25">
      <c r="A152" s="518" t="s">
        <v>61</v>
      </c>
      <c r="B152" s="519" t="s">
        <v>43</v>
      </c>
      <c r="C152" s="519" t="s">
        <v>22</v>
      </c>
      <c r="D152" s="520" t="s">
        <v>120</v>
      </c>
    </row>
    <row r="153" spans="1:4" s="265" customFormat="1" ht="16.5" x14ac:dyDescent="0.25">
      <c r="A153" s="521" t="s">
        <v>285</v>
      </c>
      <c r="B153" s="462">
        <f>D53</f>
        <v>0</v>
      </c>
      <c r="C153" s="522"/>
      <c r="D153" s="523"/>
    </row>
    <row r="154" spans="1:4" s="265" customFormat="1" ht="16.5" x14ac:dyDescent="0.25">
      <c r="A154" s="521" t="s">
        <v>286</v>
      </c>
      <c r="B154" s="462">
        <f>B153</f>
        <v>0</v>
      </c>
      <c r="C154" s="522"/>
      <c r="D154" s="523"/>
    </row>
    <row r="155" spans="1:4" s="265" customFormat="1" ht="16.5" x14ac:dyDescent="0.25">
      <c r="A155" s="521" t="s">
        <v>287</v>
      </c>
      <c r="B155" s="462">
        <f t="shared" ref="B155:B158" si="8">B154</f>
        <v>0</v>
      </c>
      <c r="C155" s="466">
        <v>3.0000000000000001E-3</v>
      </c>
      <c r="D155" s="524">
        <f t="shared" ref="D155:D160" si="9">C155*B155</f>
        <v>0</v>
      </c>
    </row>
    <row r="156" spans="1:4" s="265" customFormat="1" ht="16.5" x14ac:dyDescent="0.25">
      <c r="A156" s="521" t="s">
        <v>288</v>
      </c>
      <c r="B156" s="462">
        <f t="shared" si="8"/>
        <v>0</v>
      </c>
      <c r="C156" s="466">
        <v>6.7999999999999996E-3</v>
      </c>
      <c r="D156" s="524">
        <f t="shared" si="9"/>
        <v>0</v>
      </c>
    </row>
    <row r="157" spans="1:4" s="265" customFormat="1" ht="16.5" x14ac:dyDescent="0.25">
      <c r="A157" s="521" t="s">
        <v>278</v>
      </c>
      <c r="B157" s="462">
        <f t="shared" si="8"/>
        <v>0</v>
      </c>
      <c r="C157" s="466">
        <v>5.4999999999999997E-3</v>
      </c>
      <c r="D157" s="524">
        <f t="shared" si="9"/>
        <v>0</v>
      </c>
    </row>
    <row r="158" spans="1:4" s="265" customFormat="1" ht="16.5" x14ac:dyDescent="0.25">
      <c r="A158" s="521" t="s">
        <v>233</v>
      </c>
      <c r="B158" s="462">
        <f t="shared" si="8"/>
        <v>0</v>
      </c>
      <c r="C158" s="525">
        <v>1.6000000000000001E-4</v>
      </c>
      <c r="D158" s="524">
        <f t="shared" si="9"/>
        <v>0</v>
      </c>
    </row>
    <row r="159" spans="1:4" s="265" customFormat="1" ht="16.5" x14ac:dyDescent="0.25">
      <c r="A159" s="521" t="s">
        <v>289</v>
      </c>
      <c r="B159" s="522"/>
      <c r="C159" s="522"/>
      <c r="D159" s="526">
        <f>SUM(D155:D158)</f>
        <v>0</v>
      </c>
    </row>
    <row r="160" spans="1:4" s="265" customFormat="1" ht="16.5" x14ac:dyDescent="0.25">
      <c r="A160" s="521" t="s">
        <v>279</v>
      </c>
      <c r="B160" s="462">
        <f>J33</f>
        <v>0</v>
      </c>
      <c r="C160" s="466">
        <v>1E-3</v>
      </c>
      <c r="D160" s="524">
        <f t="shared" si="9"/>
        <v>0</v>
      </c>
    </row>
    <row r="161" spans="1:8" s="265" customFormat="1" ht="16.5" x14ac:dyDescent="0.25">
      <c r="A161" s="521"/>
      <c r="B161" s="522"/>
      <c r="C161" s="522"/>
      <c r="D161" s="523"/>
    </row>
    <row r="162" spans="1:8" s="265" customFormat="1" ht="17.25" thickBot="1" x14ac:dyDescent="0.3">
      <c r="A162" s="527" t="s">
        <v>290</v>
      </c>
      <c r="B162" s="363"/>
      <c r="C162" s="363"/>
      <c r="D162" s="528">
        <f>SUM(D159:D160)</f>
        <v>0</v>
      </c>
    </row>
    <row r="163" spans="1:8" s="265" customFormat="1" ht="15" x14ac:dyDescent="0.25"/>
    <row r="164" spans="1:8" s="265" customFormat="1" ht="15" x14ac:dyDescent="0.25"/>
    <row r="165" spans="1:8" s="265" customFormat="1" ht="21.75" thickBot="1" x14ac:dyDescent="0.3">
      <c r="A165" s="548" t="s">
        <v>291</v>
      </c>
      <c r="B165" s="549"/>
      <c r="C165" s="549"/>
      <c r="D165" s="549"/>
      <c r="E165" s="549"/>
      <c r="F165" s="549"/>
      <c r="G165" s="549"/>
      <c r="H165" s="549"/>
    </row>
    <row r="166" spans="1:8" s="265" customFormat="1" ht="15.75" thickBot="1" x14ac:dyDescent="0.3">
      <c r="A166" s="226" t="s">
        <v>202</v>
      </c>
      <c r="B166" s="227">
        <v>0.31940000000000002</v>
      </c>
      <c r="C166" s="1"/>
      <c r="D166" s="1"/>
      <c r="E166" s="1"/>
      <c r="F166" s="1"/>
      <c r="G166" s="1"/>
      <c r="H166" s="1"/>
    </row>
    <row r="167" spans="1:8" s="265" customFormat="1" ht="15.75" thickBot="1" x14ac:dyDescent="0.3">
      <c r="A167" s="1"/>
      <c r="B167" s="1"/>
      <c r="C167" s="1"/>
      <c r="D167" s="1"/>
      <c r="E167" s="1"/>
      <c r="F167" s="1"/>
      <c r="G167" s="1"/>
      <c r="H167" s="1"/>
    </row>
    <row r="168" spans="1:8" s="265" customFormat="1" ht="45" x14ac:dyDescent="0.25">
      <c r="A168" s="13" t="s">
        <v>90</v>
      </c>
      <c r="B168" s="6" t="s">
        <v>203</v>
      </c>
      <c r="C168" s="6" t="s">
        <v>204</v>
      </c>
      <c r="D168" s="209" t="s">
        <v>175</v>
      </c>
      <c r="E168" s="191" t="s">
        <v>205</v>
      </c>
      <c r="F168" s="191" t="s">
        <v>206</v>
      </c>
      <c r="G168" s="191" t="s">
        <v>207</v>
      </c>
      <c r="H168" s="191" t="s">
        <v>208</v>
      </c>
    </row>
    <row r="169" spans="1:8" s="530" customFormat="1" ht="15" x14ac:dyDescent="0.25">
      <c r="A169" s="193" t="s">
        <v>182</v>
      </c>
      <c r="B169" s="228">
        <f>D53</f>
        <v>0</v>
      </c>
      <c r="C169" s="229">
        <f>B169</f>
        <v>0</v>
      </c>
      <c r="D169" s="529"/>
      <c r="E169" s="228">
        <f>+D169</f>
        <v>0</v>
      </c>
      <c r="F169" s="231" t="e">
        <f>ROUND(($B$166/0.6)*((1.6*E169/C169)-1),4)</f>
        <v>#DIV/0!</v>
      </c>
      <c r="G169" s="229" t="e">
        <f>IF(F169&gt;0,F169*C169,0)</f>
        <v>#DIV/0!</v>
      </c>
      <c r="H169" s="232" t="e">
        <f>G169</f>
        <v>#DIV/0!</v>
      </c>
    </row>
    <row r="170" spans="1:8" s="530" customFormat="1" ht="15" x14ac:dyDescent="0.25">
      <c r="D170" s="531"/>
    </row>
    <row r="171" spans="1:8" s="530" customFormat="1" ht="15" x14ac:dyDescent="0.25"/>
    <row r="172" spans="1:8" s="530" customFormat="1" ht="15" x14ac:dyDescent="0.25"/>
    <row r="173" spans="1:8" s="530" customFormat="1" ht="15" x14ac:dyDescent="0.25"/>
    <row r="174" spans="1:8" s="530" customFormat="1" ht="15" x14ac:dyDescent="0.25"/>
    <row r="175" spans="1:8" s="530" customFormat="1" ht="15" x14ac:dyDescent="0.25"/>
    <row r="176" spans="1:8" s="530" customFormat="1" ht="15" x14ac:dyDescent="0.25"/>
    <row r="177" s="530" customFormat="1" ht="15" x14ac:dyDescent="0.25"/>
    <row r="178" s="530" customFormat="1" ht="15" x14ac:dyDescent="0.25"/>
    <row r="179" s="530" customFormat="1" ht="15" x14ac:dyDescent="0.25"/>
    <row r="180" s="530" customFormat="1" ht="15" x14ac:dyDescent="0.25"/>
    <row r="181" s="530" customFormat="1" ht="15" x14ac:dyDescent="0.25"/>
    <row r="182" s="530" customFormat="1" ht="15" x14ac:dyDescent="0.25"/>
    <row r="183" s="530" customFormat="1" ht="15" x14ac:dyDescent="0.25"/>
    <row r="184" s="530" customFormat="1" ht="15" x14ac:dyDescent="0.25"/>
    <row r="185" s="530" customFormat="1" ht="15" x14ac:dyDescent="0.25"/>
    <row r="186" s="530" customFormat="1" ht="15" x14ac:dyDescent="0.25"/>
    <row r="187" s="530" customFormat="1" ht="15" x14ac:dyDescent="0.25"/>
    <row r="188" s="530" customFormat="1" ht="15" x14ac:dyDescent="0.25"/>
    <row r="189" s="530" customFormat="1" ht="15" x14ac:dyDescent="0.25"/>
    <row r="190" s="530" customFormat="1" ht="15" x14ac:dyDescent="0.25"/>
    <row r="191" s="530" customFormat="1" ht="15" x14ac:dyDescent="0.25"/>
    <row r="192" s="530" customFormat="1" ht="15" x14ac:dyDescent="0.25"/>
    <row r="193" s="530" customFormat="1" ht="15" x14ac:dyDescent="0.25"/>
    <row r="194" s="530" customFormat="1" ht="15" x14ac:dyDescent="0.25"/>
    <row r="195" s="530" customFormat="1" ht="15" x14ac:dyDescent="0.25"/>
    <row r="196" s="530" customFormat="1" ht="15" x14ac:dyDescent="0.25"/>
    <row r="197" s="530" customFormat="1" ht="15" x14ac:dyDescent="0.25"/>
    <row r="198" s="530" customFormat="1" ht="15" x14ac:dyDescent="0.25"/>
    <row r="199" s="530" customFormat="1" ht="15" x14ac:dyDescent="0.25"/>
    <row r="200" s="530" customFormat="1" ht="15" x14ac:dyDescent="0.25"/>
    <row r="201" s="530" customFormat="1" ht="15" x14ac:dyDescent="0.25"/>
    <row r="202" s="530" customFormat="1" ht="15" x14ac:dyDescent="0.25"/>
    <row r="203" s="530" customFormat="1" ht="15" x14ac:dyDescent="0.25"/>
    <row r="204" s="530" customFormat="1" ht="15" x14ac:dyDescent="0.25"/>
  </sheetData>
  <mergeCells count="8">
    <mergeCell ref="A137:D137"/>
    <mergeCell ref="A165:H165"/>
    <mergeCell ref="A2:B2"/>
    <mergeCell ref="B33:C33"/>
    <mergeCell ref="A103:B103"/>
    <mergeCell ref="C104:C111"/>
    <mergeCell ref="A118:D118"/>
    <mergeCell ref="A126:D1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5E4-46CE-46E7-B643-0773E1474069}">
  <dimension ref="A1:O137"/>
  <sheetViews>
    <sheetView topLeftCell="A106" zoomScale="75" zoomScaleNormal="75" workbookViewId="0">
      <selection activeCell="K118" sqref="K118"/>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8"/>
      <c r="C17" s="579"/>
      <c r="D17" s="58" t="s">
        <v>116</v>
      </c>
      <c r="E17" s="578"/>
      <c r="F17" s="580"/>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13.18652337311268</v>
      </c>
      <c r="D20" s="70">
        <v>2000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f>+D41</f>
        <v>2090</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16.483154216390851</v>
      </c>
      <c r="D24" s="83">
        <f>C24*B24</f>
        <v>0</v>
      </c>
      <c r="E24" s="64"/>
      <c r="F24" s="84"/>
      <c r="H24" s="56" t="s">
        <v>128</v>
      </c>
      <c r="I24" s="80"/>
    </row>
    <row r="25" spans="1:15" x14ac:dyDescent="0.25">
      <c r="A25" s="56" t="s">
        <v>33</v>
      </c>
      <c r="B25" s="81"/>
      <c r="C25" s="83">
        <f>D20/151.67*1.5</f>
        <v>19.77978505966902</v>
      </c>
      <c r="D25" s="83">
        <f>C25*B25</f>
        <v>0</v>
      </c>
      <c r="E25" s="64"/>
      <c r="F25" s="65"/>
      <c r="H25" s="56" t="s">
        <v>129</v>
      </c>
      <c r="I25" s="80"/>
    </row>
    <row r="26" spans="1:15" x14ac:dyDescent="0.25">
      <c r="A26" s="56"/>
      <c r="B26" s="53"/>
      <c r="C26" s="53"/>
      <c r="D26" s="53"/>
      <c r="E26" s="64"/>
      <c r="F26" s="65"/>
      <c r="H26" s="56" t="s">
        <v>130</v>
      </c>
      <c r="I26" s="80">
        <f>+H129</f>
        <v>392.29300000000012</v>
      </c>
    </row>
    <row r="27" spans="1:15" x14ac:dyDescent="0.25">
      <c r="A27" s="56" t="s">
        <v>131</v>
      </c>
      <c r="B27" s="81"/>
      <c r="C27" s="85"/>
      <c r="D27" s="86">
        <f>C27*B27</f>
        <v>0</v>
      </c>
      <c r="E27" s="64"/>
      <c r="F27" s="65"/>
      <c r="H27" s="56" t="s">
        <v>132</v>
      </c>
      <c r="I27" s="80">
        <v>1800</v>
      </c>
    </row>
    <row r="28" spans="1:15" x14ac:dyDescent="0.25">
      <c r="A28" s="56"/>
      <c r="B28" s="53"/>
      <c r="C28" s="53"/>
      <c r="D28" s="53"/>
      <c r="E28" s="64"/>
      <c r="F28" s="65"/>
      <c r="H28" s="56" t="s">
        <v>133</v>
      </c>
      <c r="I28" s="87">
        <v>0.05</v>
      </c>
    </row>
    <row r="29" spans="1:15" x14ac:dyDescent="0.25">
      <c r="A29" s="56"/>
      <c r="B29" s="88"/>
      <c r="C29" s="89"/>
      <c r="D29" s="90"/>
      <c r="E29" s="91"/>
      <c r="F29" s="92"/>
      <c r="H29" s="56" t="s">
        <v>49</v>
      </c>
      <c r="I29" s="80">
        <v>20</v>
      </c>
    </row>
    <row r="30" spans="1:15" x14ac:dyDescent="0.25">
      <c r="A30" s="56" t="s">
        <v>134</v>
      </c>
      <c r="B30" s="93"/>
      <c r="C30" s="94"/>
      <c r="D30" s="94"/>
      <c r="E30" s="91"/>
      <c r="F30" s="92"/>
      <c r="H30" s="56" t="s">
        <v>50</v>
      </c>
      <c r="I30" s="80">
        <v>24</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4.4999999999999998E-2</v>
      </c>
    </row>
    <row r="36" spans="1:9" x14ac:dyDescent="0.25">
      <c r="A36" s="102"/>
      <c r="B36" s="103"/>
      <c r="C36" s="104"/>
      <c r="D36" s="105"/>
      <c r="E36" s="99"/>
      <c r="F36" s="71"/>
    </row>
    <row r="37" spans="1:9" x14ac:dyDescent="0.25">
      <c r="A37" s="56" t="s">
        <v>18</v>
      </c>
      <c r="B37" s="95">
        <f>+I27</f>
        <v>1800</v>
      </c>
      <c r="C37" s="96">
        <f>I28</f>
        <v>0.05</v>
      </c>
      <c r="D37" s="83">
        <f>C37*B37</f>
        <v>90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2090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2090</v>
      </c>
      <c r="C45" s="118"/>
      <c r="D45" s="119"/>
      <c r="E45" s="120">
        <f>I19</f>
        <v>7.0000000000000007E-2</v>
      </c>
      <c r="F45" s="185">
        <f>+E45*B45</f>
        <v>146.30000000000001</v>
      </c>
    </row>
    <row r="46" spans="1:9" x14ac:dyDescent="0.25">
      <c r="A46" s="121" t="s">
        <v>144</v>
      </c>
      <c r="B46" s="103">
        <f>$I$22</f>
        <v>2090</v>
      </c>
      <c r="C46" s="122"/>
      <c r="D46" s="123"/>
      <c r="E46" s="124"/>
      <c r="F46" s="54"/>
    </row>
    <row r="47" spans="1:9" x14ac:dyDescent="0.25">
      <c r="A47" s="121" t="s">
        <v>145</v>
      </c>
      <c r="B47" s="103">
        <f>$I$23</f>
        <v>0</v>
      </c>
      <c r="C47" s="122"/>
      <c r="D47" s="123"/>
      <c r="E47" s="53"/>
      <c r="F47" s="125"/>
    </row>
    <row r="48" spans="1:9" x14ac:dyDescent="0.25">
      <c r="A48" s="121" t="s">
        <v>36</v>
      </c>
      <c r="B48" s="103"/>
      <c r="C48" s="122"/>
      <c r="D48" s="123">
        <f>I29</f>
        <v>20</v>
      </c>
      <c r="E48" s="53"/>
      <c r="F48" s="126">
        <f>+I30</f>
        <v>24</v>
      </c>
    </row>
    <row r="49" spans="1:6" x14ac:dyDescent="0.25">
      <c r="A49" s="106" t="s">
        <v>37</v>
      </c>
      <c r="B49" s="103">
        <f>$D$41</f>
        <v>2090</v>
      </c>
      <c r="C49" s="53"/>
      <c r="D49" s="103"/>
      <c r="E49" s="127">
        <f>I21</f>
        <v>2.7E-2</v>
      </c>
      <c r="F49" s="126">
        <f>+E49*B49</f>
        <v>56.43</v>
      </c>
    </row>
    <row r="50" spans="1:6" x14ac:dyDescent="0.25">
      <c r="A50" s="112" t="s">
        <v>38</v>
      </c>
      <c r="B50" s="113"/>
      <c r="C50" s="114"/>
      <c r="D50" s="114"/>
      <c r="E50" s="114"/>
      <c r="F50" s="115"/>
    </row>
    <row r="51" spans="1:6" x14ac:dyDescent="0.25">
      <c r="A51" s="121" t="s">
        <v>62</v>
      </c>
      <c r="B51" s="103">
        <f>$I$22</f>
        <v>2090</v>
      </c>
      <c r="C51" s="122">
        <v>6.9000000000000006E-2</v>
      </c>
      <c r="D51" s="123">
        <f>C51*B51</f>
        <v>144.21</v>
      </c>
      <c r="E51" s="127">
        <v>8.5500000000000007E-2</v>
      </c>
      <c r="F51" s="126">
        <f>E51*B51</f>
        <v>178.69500000000002</v>
      </c>
    </row>
    <row r="52" spans="1:6" x14ac:dyDescent="0.25">
      <c r="A52" s="121" t="s">
        <v>64</v>
      </c>
      <c r="B52" s="117">
        <f>$D$41</f>
        <v>2090</v>
      </c>
      <c r="C52" s="122">
        <v>4.0000000000000001E-3</v>
      </c>
      <c r="D52" s="123">
        <f t="shared" ref="D52:D55" si="0">C52*B52</f>
        <v>8.36</v>
      </c>
      <c r="E52" s="127">
        <v>2.0199999999999999E-2</v>
      </c>
      <c r="F52" s="126">
        <f t="shared" ref="F52:F54" si="1">E52*B52</f>
        <v>42.217999999999996</v>
      </c>
    </row>
    <row r="53" spans="1:6" x14ac:dyDescent="0.25">
      <c r="A53" s="121" t="s">
        <v>65</v>
      </c>
      <c r="B53" s="103">
        <f>$I$22</f>
        <v>2090</v>
      </c>
      <c r="C53" s="122">
        <v>4.0099999999999997E-2</v>
      </c>
      <c r="D53" s="123">
        <f t="shared" si="0"/>
        <v>83.808999999999997</v>
      </c>
      <c r="E53" s="127">
        <v>6.0100000000000001E-2</v>
      </c>
      <c r="F53" s="126">
        <f t="shared" si="1"/>
        <v>125.60899999999999</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2090</v>
      </c>
      <c r="C57" s="129"/>
      <c r="D57" s="103"/>
      <c r="E57" s="130">
        <f>+I20</f>
        <v>3.4500000000000003E-2</v>
      </c>
      <c r="F57" s="126">
        <f>E57*B57</f>
        <v>72.105000000000004</v>
      </c>
    </row>
    <row r="58" spans="1:6" x14ac:dyDescent="0.25">
      <c r="A58" s="112" t="s">
        <v>63</v>
      </c>
      <c r="B58" s="131"/>
      <c r="C58" s="131"/>
      <c r="D58" s="131"/>
      <c r="E58" s="131"/>
      <c r="F58" s="132"/>
    </row>
    <row r="59" spans="1:6" x14ac:dyDescent="0.25">
      <c r="A59" s="121" t="s">
        <v>150</v>
      </c>
      <c r="B59" s="117">
        <f>$D$41</f>
        <v>2090</v>
      </c>
      <c r="C59" s="129"/>
      <c r="D59" s="103"/>
      <c r="E59" s="130">
        <v>4.2500000000000003E-2</v>
      </c>
      <c r="F59" s="126">
        <f t="shared" ref="F59:F60" si="2">E59*B59</f>
        <v>88.825000000000003</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34.40140000000001</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2077.4250000000002</v>
      </c>
      <c r="C65" s="122">
        <v>6.8000000000000005E-2</v>
      </c>
      <c r="D65" s="123">
        <f>C65*B65</f>
        <v>141.26490000000001</v>
      </c>
      <c r="E65" s="103"/>
      <c r="F65" s="134"/>
    </row>
    <row r="66" spans="1:6" x14ac:dyDescent="0.25">
      <c r="A66" s="106" t="s">
        <v>154</v>
      </c>
      <c r="B66" s="103">
        <f>B65</f>
        <v>2077.4250000000002</v>
      </c>
      <c r="C66" s="122">
        <v>2.9000000000000001E-2</v>
      </c>
      <c r="D66" s="123">
        <f>C66*B66</f>
        <v>60.245325000000008</v>
      </c>
      <c r="E66" s="136"/>
      <c r="F66" s="126"/>
    </row>
    <row r="67" spans="1:6" x14ac:dyDescent="0.25">
      <c r="A67" s="137" t="s">
        <v>155</v>
      </c>
      <c r="B67" s="103">
        <f>(D24+D25)*0.9825</f>
        <v>0</v>
      </c>
      <c r="C67" s="122">
        <v>9.7000000000000003E-2</v>
      </c>
      <c r="D67" s="123">
        <f>C67*B67</f>
        <v>0</v>
      </c>
      <c r="E67" s="127"/>
      <c r="F67" s="126"/>
    </row>
    <row r="68" spans="1:6" x14ac:dyDescent="0.25">
      <c r="A68" s="137"/>
      <c r="B68" s="103">
        <f>D24+D25</f>
        <v>0</v>
      </c>
      <c r="C68" s="122">
        <v>-0.11310000000000001</v>
      </c>
      <c r="D68" s="123">
        <f>C68*B68</f>
        <v>0</v>
      </c>
      <c r="E68" s="127"/>
      <c r="F68" s="126"/>
    </row>
    <row r="69" spans="1:6" x14ac:dyDescent="0.25">
      <c r="A69" s="409" t="s">
        <v>267</v>
      </c>
      <c r="B69" s="103"/>
      <c r="C69" s="122"/>
      <c r="D69" s="123"/>
      <c r="E69" s="127"/>
      <c r="F69" s="126">
        <f>-I26</f>
        <v>-392.29300000000012</v>
      </c>
    </row>
    <row r="70" spans="1:6" x14ac:dyDescent="0.25">
      <c r="A70" s="106"/>
      <c r="B70" s="138"/>
      <c r="C70" s="53"/>
      <c r="D70" s="123"/>
      <c r="E70" s="123"/>
      <c r="F70" s="134"/>
    </row>
    <row r="71" spans="1:6" x14ac:dyDescent="0.25">
      <c r="A71" s="106" t="s">
        <v>39</v>
      </c>
      <c r="B71" s="123"/>
      <c r="C71" s="139"/>
      <c r="D71" s="140">
        <f>SUM(D45:D70)</f>
        <v>457.88922500000001</v>
      </c>
      <c r="E71" s="127"/>
      <c r="F71" s="141">
        <f>SUM(F45:F70)</f>
        <v>376.29039999999998</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1632.1107750000001</v>
      </c>
    </row>
    <row r="80" spans="1:6" x14ac:dyDescent="0.25">
      <c r="A80" s="143" t="s">
        <v>40</v>
      </c>
      <c r="B80" s="123"/>
      <c r="C80" s="139"/>
      <c r="D80" s="140"/>
      <c r="E80" s="140"/>
      <c r="F80" s="144">
        <f>D41-D71+D73+D74+D75+D76+D77+D78+D79</f>
        <v>1632.1107750000001</v>
      </c>
    </row>
    <row r="81" spans="1:9" ht="33" x14ac:dyDescent="0.25">
      <c r="A81" s="106" t="s">
        <v>41</v>
      </c>
      <c r="B81" s="145"/>
      <c r="C81" s="146"/>
      <c r="D81" s="142"/>
      <c r="E81" s="142"/>
      <c r="F81" s="147">
        <f>D111</f>
        <v>30.518775000000005</v>
      </c>
    </row>
    <row r="82" spans="1:9" x14ac:dyDescent="0.25">
      <c r="A82" s="581" t="s">
        <v>42</v>
      </c>
      <c r="B82" s="581" t="s">
        <v>43</v>
      </c>
      <c r="C82" s="581" t="s">
        <v>22</v>
      </c>
      <c r="D82" s="581" t="s">
        <v>159</v>
      </c>
      <c r="E82" s="581"/>
      <c r="F82" s="581" t="s">
        <v>269</v>
      </c>
    </row>
    <row r="83" spans="1:9" x14ac:dyDescent="0.25">
      <c r="A83" s="582" t="s">
        <v>42</v>
      </c>
      <c r="B83" s="582"/>
      <c r="C83" s="582"/>
      <c r="D83" s="582"/>
      <c r="E83" s="582"/>
      <c r="F83" s="582"/>
    </row>
    <row r="84" spans="1:9" x14ac:dyDescent="0.25">
      <c r="A84" s="433" t="s">
        <v>270</v>
      </c>
      <c r="B84" s="434"/>
      <c r="C84" s="423"/>
      <c r="D84" s="435">
        <f>D41+F48+D66-D71</f>
        <v>1716.3561</v>
      </c>
      <c r="E84" s="436"/>
      <c r="F84" s="437">
        <f>D84*5</f>
        <v>8581.7805000000008</v>
      </c>
    </row>
    <row r="85" spans="1:9" x14ac:dyDescent="0.25">
      <c r="A85" s="433" t="s">
        <v>271</v>
      </c>
      <c r="B85" s="438">
        <f>D84</f>
        <v>1716.3561</v>
      </c>
      <c r="C85" s="439">
        <f>I35</f>
        <v>4.4999999999999998E-2</v>
      </c>
      <c r="D85" s="435">
        <f>C85*B85</f>
        <v>77.236024499999999</v>
      </c>
      <c r="E85" s="436"/>
      <c r="F85" s="437">
        <f>D85*5</f>
        <v>386.18012249999998</v>
      </c>
    </row>
    <row r="86" spans="1:9" x14ac:dyDescent="0.25">
      <c r="A86" s="433" t="s">
        <v>272</v>
      </c>
      <c r="B86" s="150"/>
      <c r="C86" s="108"/>
      <c r="D86" s="151"/>
      <c r="E86" s="151"/>
      <c r="F86" s="149"/>
    </row>
    <row r="87" spans="1:9" x14ac:dyDescent="0.25">
      <c r="A87" s="421" t="s">
        <v>273</v>
      </c>
      <c r="B87" s="148"/>
      <c r="C87" s="152"/>
      <c r="D87" s="532">
        <f>F80-D85</f>
        <v>1554.8747505000001</v>
      </c>
      <c r="E87" s="151"/>
      <c r="F87" s="437">
        <f t="shared" ref="F87:F89" si="3">D87*5</f>
        <v>7774.3737525000006</v>
      </c>
    </row>
    <row r="88" spans="1:9" x14ac:dyDescent="0.25">
      <c r="A88" s="433" t="s">
        <v>274</v>
      </c>
      <c r="B88" s="151"/>
      <c r="C88" s="151"/>
      <c r="D88" s="532">
        <f>D119</f>
        <v>555.3130000000001</v>
      </c>
      <c r="E88" s="151"/>
      <c r="F88" s="437">
        <f t="shared" si="3"/>
        <v>2776.5650000000005</v>
      </c>
    </row>
    <row r="89" spans="1:9" x14ac:dyDescent="0.25">
      <c r="A89" s="433" t="s">
        <v>275</v>
      </c>
      <c r="B89" s="151"/>
      <c r="C89" s="151"/>
      <c r="D89" s="532">
        <f>D41+F71</f>
        <v>2466.2903999999999</v>
      </c>
      <c r="E89" s="151"/>
      <c r="F89" s="437">
        <f t="shared" si="3"/>
        <v>12331.451999999999</v>
      </c>
    </row>
    <row r="90" spans="1:9" ht="17.25" thickBot="1" x14ac:dyDescent="0.3">
      <c r="A90" s="153" t="s">
        <v>161</v>
      </c>
      <c r="B90" s="154"/>
      <c r="C90" s="154"/>
      <c r="D90" s="154"/>
      <c r="E90" s="154"/>
      <c r="F90" s="155"/>
    </row>
    <row r="93" spans="1:9" ht="17.25" thickBot="1" x14ac:dyDescent="0.3">
      <c r="A93" s="561" t="s">
        <v>61</v>
      </c>
      <c r="B93" s="562"/>
      <c r="I93" s="156"/>
    </row>
    <row r="94" spans="1:9" x14ac:dyDescent="0.25">
      <c r="A94" s="44"/>
      <c r="B94" s="563">
        <f>D41</f>
        <v>2090</v>
      </c>
      <c r="C94" s="566">
        <f>0.016%+0.3%+0.68%+0.55%</f>
        <v>1.5460000000000002E-2</v>
      </c>
      <c r="D94" s="569">
        <f>C94*B94</f>
        <v>32.311400000000006</v>
      </c>
      <c r="I94" s="156"/>
    </row>
    <row r="95" spans="1:9" x14ac:dyDescent="0.25">
      <c r="A95" s="45" t="s">
        <v>162</v>
      </c>
      <c r="B95" s="564"/>
      <c r="C95" s="567"/>
      <c r="D95" s="570"/>
      <c r="E95" s="156"/>
      <c r="F95" s="156"/>
      <c r="G95" s="156"/>
      <c r="I95" s="156"/>
    </row>
    <row r="96" spans="1:9" s="156" customFormat="1" x14ac:dyDescent="0.25">
      <c r="A96" s="45" t="s">
        <v>67</v>
      </c>
      <c r="B96" s="564"/>
      <c r="C96" s="567"/>
      <c r="D96" s="570"/>
      <c r="H96" s="51"/>
    </row>
    <row r="97" spans="1:4" s="156" customFormat="1" ht="15" x14ac:dyDescent="0.25">
      <c r="A97" s="45" t="s">
        <v>68</v>
      </c>
      <c r="B97" s="564"/>
      <c r="C97" s="567"/>
      <c r="D97" s="570"/>
    </row>
    <row r="98" spans="1:4" s="156" customFormat="1" ht="15" x14ac:dyDescent="0.25">
      <c r="A98" s="45" t="s">
        <v>69</v>
      </c>
      <c r="B98" s="564"/>
      <c r="C98" s="567"/>
      <c r="D98" s="570"/>
    </row>
    <row r="99" spans="1:4" s="156" customFormat="1" ht="15" x14ac:dyDescent="0.25">
      <c r="A99" s="45" t="s">
        <v>163</v>
      </c>
      <c r="B99" s="564"/>
      <c r="C99" s="567"/>
      <c r="D99" s="570"/>
    </row>
    <row r="100" spans="1:4" s="156" customFormat="1" ht="15.75" thickBot="1" x14ac:dyDescent="0.3">
      <c r="A100" s="46" t="s">
        <v>296</v>
      </c>
      <c r="B100" s="565"/>
      <c r="C100" s="568"/>
      <c r="D100" s="571"/>
    </row>
    <row r="101" spans="1:4" s="156" customFormat="1" ht="17.25" thickBot="1" x14ac:dyDescent="0.3">
      <c r="A101" s="51"/>
      <c r="B101" s="157"/>
      <c r="C101" s="157"/>
      <c r="D101" s="157"/>
    </row>
    <row r="102" spans="1:4" s="156" customFormat="1" ht="17.25" thickBot="1" x14ac:dyDescent="0.3">
      <c r="A102" s="158" t="s">
        <v>70</v>
      </c>
      <c r="B102" s="159">
        <f>I22</f>
        <v>2090</v>
      </c>
      <c r="C102" s="160">
        <v>1E-3</v>
      </c>
      <c r="D102" s="161">
        <f>C102*B102</f>
        <v>2.09</v>
      </c>
    </row>
    <row r="103" spans="1:4" s="156" customFormat="1" ht="17.25" thickBot="1" x14ac:dyDescent="0.3">
      <c r="A103" s="51"/>
      <c r="B103" s="51"/>
      <c r="C103" s="51"/>
      <c r="D103" s="51"/>
    </row>
    <row r="104" spans="1:4" s="156" customFormat="1" ht="17.25" thickBot="1" x14ac:dyDescent="0.3">
      <c r="A104" s="162" t="s">
        <v>71</v>
      </c>
      <c r="B104" s="163"/>
      <c r="C104" s="163"/>
      <c r="D104" s="164">
        <f>D94+D102</f>
        <v>34.40140000000001</v>
      </c>
    </row>
    <row r="105" spans="1:4" s="156" customFormat="1" ht="17.25" thickBot="1" x14ac:dyDescent="0.3">
      <c r="A105" s="51"/>
      <c r="B105" s="51"/>
      <c r="C105" s="51"/>
      <c r="D105" s="51"/>
    </row>
    <row r="106" spans="1:4" s="156" customFormat="1" x14ac:dyDescent="0.25">
      <c r="A106" s="572" t="s">
        <v>72</v>
      </c>
      <c r="B106" s="573"/>
      <c r="C106" s="573"/>
      <c r="D106" s="574"/>
    </row>
    <row r="107" spans="1:4" s="156" customFormat="1" x14ac:dyDescent="0.25">
      <c r="A107" s="165" t="s">
        <v>73</v>
      </c>
      <c r="B107" s="166">
        <f>D41</f>
        <v>2090</v>
      </c>
      <c r="C107" s="167">
        <v>2.4E-2</v>
      </c>
      <c r="D107" s="168">
        <f>C107*B107</f>
        <v>50.160000000000004</v>
      </c>
    </row>
    <row r="108" spans="1:4" s="156" customFormat="1" x14ac:dyDescent="0.25">
      <c r="A108" s="165" t="s">
        <v>74</v>
      </c>
      <c r="B108" s="166">
        <f>B107</f>
        <v>2090</v>
      </c>
      <c r="C108" s="167">
        <v>7.4999999999999997E-3</v>
      </c>
      <c r="D108" s="168">
        <f t="shared" ref="D108:D109" si="4">C108*B108</f>
        <v>15.674999999999999</v>
      </c>
    </row>
    <row r="109" spans="1:4" s="156" customFormat="1" x14ac:dyDescent="0.25">
      <c r="A109" s="165" t="s">
        <v>75</v>
      </c>
      <c r="B109" s="166">
        <f>B66+B67</f>
        <v>2077.4250000000002</v>
      </c>
      <c r="C109" s="167">
        <v>-1.7000000000000001E-2</v>
      </c>
      <c r="D109" s="168">
        <f t="shared" si="4"/>
        <v>-35.316225000000003</v>
      </c>
    </row>
    <row r="110" spans="1:4" s="156" customFormat="1" x14ac:dyDescent="0.25">
      <c r="A110" s="169"/>
      <c r="B110" s="170"/>
      <c r="C110" s="171"/>
      <c r="D110" s="172"/>
    </row>
    <row r="111" spans="1:4" s="156" customFormat="1" ht="17.25" thickBot="1" x14ac:dyDescent="0.3">
      <c r="A111" s="173" t="s">
        <v>76</v>
      </c>
      <c r="B111" s="174"/>
      <c r="C111" s="175"/>
      <c r="D111" s="176">
        <f>SUM(D107:D110)</f>
        <v>30.518775000000005</v>
      </c>
    </row>
    <row r="112" spans="1:4" s="156" customFormat="1" ht="15" x14ac:dyDescent="0.25"/>
    <row r="113" spans="1:9" s="156" customFormat="1" ht="15.75" thickBot="1" x14ac:dyDescent="0.3"/>
    <row r="114" spans="1:9" s="156" customFormat="1" ht="17.25" thickBot="1" x14ac:dyDescent="0.3">
      <c r="A114" s="575" t="s">
        <v>82</v>
      </c>
      <c r="B114" s="576"/>
      <c r="C114" s="576"/>
      <c r="D114" s="577"/>
    </row>
    <row r="115" spans="1:9" s="156" customFormat="1" x14ac:dyDescent="0.25">
      <c r="A115" s="177" t="s">
        <v>77</v>
      </c>
      <c r="B115" s="178"/>
      <c r="C115" s="178"/>
      <c r="D115" s="179">
        <f>I26</f>
        <v>392.29300000000012</v>
      </c>
    </row>
    <row r="116" spans="1:9" s="156" customFormat="1" x14ac:dyDescent="0.25">
      <c r="A116" s="165" t="s">
        <v>78</v>
      </c>
      <c r="B116" s="180">
        <f>B24+B25</f>
        <v>0</v>
      </c>
      <c r="C116" s="181">
        <v>1.5</v>
      </c>
      <c r="D116" s="182">
        <f>C116*B116</f>
        <v>0</v>
      </c>
    </row>
    <row r="117" spans="1:9" s="156" customFormat="1" x14ac:dyDescent="0.25">
      <c r="A117" s="165" t="s">
        <v>79</v>
      </c>
      <c r="B117" s="166">
        <f>D41</f>
        <v>2090</v>
      </c>
      <c r="C117" s="167">
        <v>1.7999999999999999E-2</v>
      </c>
      <c r="D117" s="182">
        <f>C117*B117</f>
        <v>37.619999999999997</v>
      </c>
    </row>
    <row r="118" spans="1:9" s="156" customFormat="1" ht="15.75" customHeight="1" x14ac:dyDescent="0.25">
      <c r="A118" s="165" t="s">
        <v>80</v>
      </c>
      <c r="B118" s="166">
        <f>B117</f>
        <v>2090</v>
      </c>
      <c r="C118" s="167">
        <v>0.06</v>
      </c>
      <c r="D118" s="182">
        <f>C118*B118</f>
        <v>125.39999999999999</v>
      </c>
    </row>
    <row r="119" spans="1:9" s="156" customFormat="1" ht="15.75" customHeight="1" thickBot="1" x14ac:dyDescent="0.3">
      <c r="A119" s="173" t="s">
        <v>81</v>
      </c>
      <c r="B119" s="183"/>
      <c r="C119" s="183"/>
      <c r="D119" s="184">
        <f>SUM(D115:D118)</f>
        <v>555.3130000000001</v>
      </c>
    </row>
    <row r="120" spans="1:9" s="156" customFormat="1" ht="15.75" customHeight="1" x14ac:dyDescent="0.25">
      <c r="A120" s="51"/>
      <c r="B120" s="51"/>
      <c r="C120" s="51"/>
      <c r="D120" s="51"/>
      <c r="H120" s="51"/>
      <c r="I120" s="51"/>
    </row>
    <row r="121" spans="1:9" s="156" customFormat="1" ht="15.75" customHeight="1" thickBot="1" x14ac:dyDescent="0.3">
      <c r="A121" s="548" t="s">
        <v>226</v>
      </c>
      <c r="B121" s="549"/>
      <c r="C121" s="549"/>
      <c r="D121" s="549"/>
      <c r="E121" s="549"/>
      <c r="F121" s="549"/>
      <c r="G121" s="549"/>
      <c r="H121" s="549"/>
      <c r="I121" s="51"/>
    </row>
    <row r="122" spans="1:9" s="156" customFormat="1" ht="15.75" customHeight="1" thickBot="1" x14ac:dyDescent="0.3">
      <c r="A122" s="226" t="s">
        <v>202</v>
      </c>
      <c r="B122" s="227">
        <v>0.31940000000000002</v>
      </c>
      <c r="C122" s="1"/>
      <c r="D122" s="1"/>
      <c r="E122" s="1"/>
      <c r="F122" s="1"/>
      <c r="G122" s="1"/>
      <c r="H122" s="1"/>
      <c r="I122" s="51"/>
    </row>
    <row r="123" spans="1:9" ht="17.25" thickBot="1" x14ac:dyDescent="0.3">
      <c r="A123" s="1"/>
      <c r="B123" s="1"/>
      <c r="C123" s="1"/>
      <c r="D123" s="1"/>
      <c r="E123" s="1"/>
      <c r="F123" s="1"/>
      <c r="G123" s="1"/>
      <c r="H123" s="1"/>
    </row>
    <row r="124" spans="1:9" ht="30" x14ac:dyDescent="0.25">
      <c r="A124" s="13" t="s">
        <v>90</v>
      </c>
      <c r="B124" s="6" t="s">
        <v>203</v>
      </c>
      <c r="C124" s="6" t="s">
        <v>204</v>
      </c>
      <c r="D124" s="209" t="s">
        <v>175</v>
      </c>
      <c r="E124" s="191" t="s">
        <v>205</v>
      </c>
      <c r="F124" s="191" t="s">
        <v>206</v>
      </c>
      <c r="G124" s="191" t="s">
        <v>207</v>
      </c>
      <c r="H124" s="192" t="s">
        <v>227</v>
      </c>
    </row>
    <row r="125" spans="1:9" x14ac:dyDescent="0.25">
      <c r="A125" s="14" t="s">
        <v>210</v>
      </c>
      <c r="B125" s="228">
        <f>$D$41</f>
        <v>2090</v>
      </c>
      <c r="C125" s="229">
        <f>B125</f>
        <v>2090</v>
      </c>
      <c r="D125" s="230">
        <v>1766.92</v>
      </c>
      <c r="E125" s="228">
        <f>+D125</f>
        <v>1766.92</v>
      </c>
      <c r="F125" s="231">
        <f>ROUND(($B$122/0.6)*((1.6*E125/C125)-1),4)</f>
        <v>0.18770000000000001</v>
      </c>
      <c r="G125" s="229">
        <f>IF(F125&gt;0,F125*C125,0)</f>
        <v>392.29300000000001</v>
      </c>
      <c r="H125" s="248">
        <f>G125</f>
        <v>392.29300000000001</v>
      </c>
    </row>
    <row r="126" spans="1:9" x14ac:dyDescent="0.25">
      <c r="A126" s="14" t="s">
        <v>211</v>
      </c>
      <c r="B126" s="228">
        <f t="shared" ref="B126:B129" si="5">$D$41</f>
        <v>2090</v>
      </c>
      <c r="C126" s="229">
        <f>C125+B126</f>
        <v>4180</v>
      </c>
      <c r="D126" s="230">
        <f>+D125</f>
        <v>1766.92</v>
      </c>
      <c r="E126" s="228">
        <f>D126+E125</f>
        <v>3533.84</v>
      </c>
      <c r="F126" s="231">
        <f>ROUND(($B$122/0.6)*((1.6*E126/C126)-1),4)</f>
        <v>0.18770000000000001</v>
      </c>
      <c r="G126" s="229">
        <f t="shared" ref="G126:G129" si="6">IF(F126&gt;0,F126*C126,0)</f>
        <v>784.58600000000001</v>
      </c>
      <c r="H126" s="248">
        <f>G126-G125</f>
        <v>392.29300000000001</v>
      </c>
    </row>
    <row r="127" spans="1:9" x14ac:dyDescent="0.25">
      <c r="A127" s="14" t="s">
        <v>212</v>
      </c>
      <c r="B127" s="228">
        <f t="shared" si="5"/>
        <v>2090</v>
      </c>
      <c r="C127" s="229">
        <f t="shared" ref="C127:C129" si="7">C126+B127</f>
        <v>6270</v>
      </c>
      <c r="D127" s="230">
        <f t="shared" ref="D127:D129" si="8">+D126</f>
        <v>1766.92</v>
      </c>
      <c r="E127" s="228">
        <f t="shared" ref="E127:E129" si="9">D127+E126</f>
        <v>5300.76</v>
      </c>
      <c r="F127" s="231">
        <f>ROUND(($B$122/0.6)*((1.6*E127/C127)-1),4)</f>
        <v>0.18770000000000001</v>
      </c>
      <c r="G127" s="229">
        <f t="shared" si="6"/>
        <v>1176.8790000000001</v>
      </c>
      <c r="H127" s="248">
        <f t="shared" ref="H127:H129" si="10">G127-G126</f>
        <v>392.29300000000012</v>
      </c>
    </row>
    <row r="128" spans="1:9" x14ac:dyDescent="0.25">
      <c r="A128" s="14" t="s">
        <v>213</v>
      </c>
      <c r="B128" s="228">
        <f t="shared" si="5"/>
        <v>2090</v>
      </c>
      <c r="C128" s="229">
        <f t="shared" si="7"/>
        <v>8360</v>
      </c>
      <c r="D128" s="230">
        <f t="shared" si="8"/>
        <v>1766.92</v>
      </c>
      <c r="E128" s="228">
        <f t="shared" si="9"/>
        <v>7067.68</v>
      </c>
      <c r="F128" s="231">
        <f>ROUND(($B$122/0.6)*((1.6*E128/C128)-1),4)</f>
        <v>0.18770000000000001</v>
      </c>
      <c r="G128" s="229">
        <f t="shared" si="6"/>
        <v>1569.172</v>
      </c>
      <c r="H128" s="248">
        <f t="shared" si="10"/>
        <v>392.29299999999989</v>
      </c>
    </row>
    <row r="129" spans="1:8" x14ac:dyDescent="0.25">
      <c r="A129" s="14" t="s">
        <v>214</v>
      </c>
      <c r="B129" s="228">
        <f t="shared" si="5"/>
        <v>2090</v>
      </c>
      <c r="C129" s="229">
        <f t="shared" si="7"/>
        <v>10450</v>
      </c>
      <c r="D129" s="230">
        <f t="shared" si="8"/>
        <v>1766.92</v>
      </c>
      <c r="E129" s="228">
        <f t="shared" si="9"/>
        <v>8834.6</v>
      </c>
      <c r="F129" s="231">
        <f>ROUND(($B$122/0.6)*((1.6*E129/C129)-1),4)</f>
        <v>0.18770000000000001</v>
      </c>
      <c r="G129" s="229">
        <f t="shared" si="6"/>
        <v>1961.4650000000001</v>
      </c>
      <c r="H129" s="248">
        <f t="shared" si="10"/>
        <v>392.29300000000012</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sheetData>
  <mergeCells count="15">
    <mergeCell ref="B17:C17"/>
    <mergeCell ref="E17:F17"/>
    <mergeCell ref="A82:A83"/>
    <mergeCell ref="B82:B83"/>
    <mergeCell ref="D82:D83"/>
    <mergeCell ref="C82:C83"/>
    <mergeCell ref="E82:E83"/>
    <mergeCell ref="F82:F83"/>
    <mergeCell ref="A121:H121"/>
    <mergeCell ref="A93:B93"/>
    <mergeCell ref="B94:B100"/>
    <mergeCell ref="C94:C100"/>
    <mergeCell ref="D94:D100"/>
    <mergeCell ref="A106:D106"/>
    <mergeCell ref="A114:D1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2DD1-0DD4-4075-8D7E-9A7B17175858}">
  <dimension ref="D1:E22"/>
  <sheetViews>
    <sheetView workbookViewId="0">
      <selection activeCell="D1" sqref="D1:E22"/>
    </sheetView>
  </sheetViews>
  <sheetFormatPr baseColWidth="10" defaultRowHeight="15" x14ac:dyDescent="0.25"/>
  <sheetData>
    <row r="1" spans="4:5" x14ac:dyDescent="0.25">
      <c r="D1" t="s">
        <v>85</v>
      </c>
      <c r="E1">
        <v>1</v>
      </c>
    </row>
    <row r="2" spans="4:5" x14ac:dyDescent="0.25">
      <c r="D2" t="s">
        <v>86</v>
      </c>
      <c r="E2">
        <v>2</v>
      </c>
    </row>
    <row r="3" spans="4:5" x14ac:dyDescent="0.25">
      <c r="D3" t="s">
        <v>87</v>
      </c>
      <c r="E3">
        <v>5</v>
      </c>
    </row>
    <row r="4" spans="4:5" x14ac:dyDescent="0.25">
      <c r="D4" t="s">
        <v>88</v>
      </c>
      <c r="E4">
        <v>6</v>
      </c>
    </row>
    <row r="5" spans="4:5" x14ac:dyDescent="0.25">
      <c r="D5" t="s">
        <v>89</v>
      </c>
      <c r="E5">
        <v>7</v>
      </c>
    </row>
    <row r="6" spans="4:5" x14ac:dyDescent="0.25">
      <c r="D6" t="s">
        <v>85</v>
      </c>
      <c r="E6">
        <v>8</v>
      </c>
    </row>
    <row r="7" spans="4:5" x14ac:dyDescent="0.25">
      <c r="D7" t="s">
        <v>86</v>
      </c>
      <c r="E7">
        <v>9</v>
      </c>
    </row>
    <row r="8" spans="4:5" x14ac:dyDescent="0.25">
      <c r="D8" t="s">
        <v>87</v>
      </c>
      <c r="E8">
        <v>12</v>
      </c>
    </row>
    <row r="9" spans="4:5" x14ac:dyDescent="0.25">
      <c r="D9" t="s">
        <v>88</v>
      </c>
      <c r="E9">
        <v>13</v>
      </c>
    </row>
    <row r="10" spans="4:5" x14ac:dyDescent="0.25">
      <c r="D10" t="s">
        <v>89</v>
      </c>
      <c r="E10">
        <v>14</v>
      </c>
    </row>
    <row r="11" spans="4:5" x14ac:dyDescent="0.25">
      <c r="D11" t="s">
        <v>85</v>
      </c>
      <c r="E11">
        <v>15</v>
      </c>
    </row>
    <row r="12" spans="4:5" x14ac:dyDescent="0.25">
      <c r="D12" t="s">
        <v>86</v>
      </c>
      <c r="E12">
        <v>16</v>
      </c>
    </row>
    <row r="13" spans="4:5" x14ac:dyDescent="0.25">
      <c r="D13" t="s">
        <v>87</v>
      </c>
      <c r="E13">
        <v>19</v>
      </c>
    </row>
    <row r="14" spans="4:5" x14ac:dyDescent="0.25">
      <c r="D14" t="s">
        <v>88</v>
      </c>
      <c r="E14">
        <v>20</v>
      </c>
    </row>
    <row r="15" spans="4:5" x14ac:dyDescent="0.25">
      <c r="D15" t="s">
        <v>89</v>
      </c>
      <c r="E15">
        <v>21</v>
      </c>
    </row>
    <row r="16" spans="4:5" x14ac:dyDescent="0.25">
      <c r="D16" t="s">
        <v>85</v>
      </c>
      <c r="E16">
        <v>22</v>
      </c>
    </row>
    <row r="17" spans="4:5" x14ac:dyDescent="0.25">
      <c r="D17" t="s">
        <v>86</v>
      </c>
      <c r="E17">
        <v>23</v>
      </c>
    </row>
    <row r="18" spans="4:5" x14ac:dyDescent="0.25">
      <c r="D18" t="s">
        <v>87</v>
      </c>
      <c r="E18">
        <v>26</v>
      </c>
    </row>
    <row r="19" spans="4:5" x14ac:dyDescent="0.25">
      <c r="D19" t="s">
        <v>88</v>
      </c>
      <c r="E19">
        <v>27</v>
      </c>
    </row>
    <row r="20" spans="4:5" x14ac:dyDescent="0.25">
      <c r="D20" t="s">
        <v>89</v>
      </c>
      <c r="E20">
        <v>28</v>
      </c>
    </row>
    <row r="21" spans="4:5" x14ac:dyDescent="0.25">
      <c r="D21" t="s">
        <v>85</v>
      </c>
      <c r="E21">
        <v>29</v>
      </c>
    </row>
    <row r="22" spans="4:5" x14ac:dyDescent="0.25">
      <c r="D22" t="s">
        <v>86</v>
      </c>
      <c r="E22">
        <v>30</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EFBC-4232-4D24-B2A1-DCC84D61708F}">
  <dimension ref="A1:O118"/>
  <sheetViews>
    <sheetView zoomScale="75" zoomScaleNormal="75" workbookViewId="0">
      <selection activeCell="G107" sqref="G107"/>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8"/>
      <c r="C17" s="579"/>
      <c r="D17" s="58" t="s">
        <v>116</v>
      </c>
      <c r="E17" s="578"/>
      <c r="F17" s="580"/>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25.713720577569728</v>
      </c>
      <c r="D20" s="70">
        <v>3900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3864</v>
      </c>
      <c r="J22" s="51"/>
      <c r="K22" s="51"/>
      <c r="L22" s="51"/>
      <c r="M22" s="51"/>
      <c r="N22" s="51"/>
      <c r="O22" s="51"/>
    </row>
    <row r="23" spans="1:15" s="72" customFormat="1" x14ac:dyDescent="0.25">
      <c r="A23" s="56"/>
      <c r="B23" s="68"/>
      <c r="C23" s="69"/>
      <c r="D23" s="53"/>
      <c r="E23" s="64"/>
      <c r="F23" s="71"/>
      <c r="H23" s="56" t="s">
        <v>126</v>
      </c>
      <c r="I23" s="80">
        <f>+D41-I22</f>
        <v>346</v>
      </c>
      <c r="J23" s="51"/>
      <c r="K23" s="51"/>
      <c r="L23" s="51"/>
      <c r="M23" s="51"/>
      <c r="N23" s="51"/>
      <c r="O23" s="51"/>
    </row>
    <row r="24" spans="1:15" x14ac:dyDescent="0.25">
      <c r="A24" s="56" t="s">
        <v>127</v>
      </c>
      <c r="B24" s="81"/>
      <c r="C24" s="82">
        <f>D20/151.67*1.25</f>
        <v>32.14215072196216</v>
      </c>
      <c r="D24" s="83">
        <f>C24*B24</f>
        <v>0</v>
      </c>
      <c r="E24" s="64"/>
      <c r="F24" s="84"/>
      <c r="H24" s="56" t="s">
        <v>128</v>
      </c>
      <c r="I24" s="80">
        <f>D41</f>
        <v>4210</v>
      </c>
    </row>
    <row r="25" spans="1:15" x14ac:dyDescent="0.25">
      <c r="A25" s="56" t="s">
        <v>33</v>
      </c>
      <c r="B25" s="81"/>
      <c r="C25" s="83">
        <f>D20/151.67*1.5</f>
        <v>38.570580866354589</v>
      </c>
      <c r="D25" s="83">
        <f>C25*B25</f>
        <v>0</v>
      </c>
      <c r="E25" s="64"/>
      <c r="F25" s="65"/>
      <c r="H25" s="56" t="s">
        <v>129</v>
      </c>
      <c r="I25" s="80">
        <f>D41</f>
        <v>4210</v>
      </c>
    </row>
    <row r="26" spans="1:15" x14ac:dyDescent="0.25">
      <c r="A26" s="56"/>
      <c r="B26" s="53"/>
      <c r="C26" s="53"/>
      <c r="D26" s="53"/>
      <c r="E26" s="64"/>
      <c r="F26" s="65"/>
      <c r="H26" s="56" t="s">
        <v>130</v>
      </c>
      <c r="I26" s="80">
        <v>0</v>
      </c>
    </row>
    <row r="27" spans="1:15" x14ac:dyDescent="0.25">
      <c r="A27" s="56" t="s">
        <v>131</v>
      </c>
      <c r="B27" s="81"/>
      <c r="C27" s="85"/>
      <c r="D27" s="86">
        <f>C27*B27</f>
        <v>0</v>
      </c>
      <c r="E27" s="64"/>
      <c r="F27" s="65"/>
      <c r="H27" s="56" t="s">
        <v>132</v>
      </c>
      <c r="I27" s="80">
        <v>3100</v>
      </c>
    </row>
    <row r="28" spans="1:15" x14ac:dyDescent="0.25">
      <c r="A28" s="56"/>
      <c r="B28" s="53"/>
      <c r="C28" s="53"/>
      <c r="D28" s="53"/>
      <c r="E28" s="64"/>
      <c r="F28" s="65"/>
      <c r="H28" s="56" t="s">
        <v>133</v>
      </c>
      <c r="I28" s="87">
        <v>0.1</v>
      </c>
    </row>
    <row r="29" spans="1:15" x14ac:dyDescent="0.25">
      <c r="A29" s="56"/>
      <c r="B29" s="88"/>
      <c r="C29" s="89"/>
      <c r="D29" s="90"/>
      <c r="E29" s="91"/>
      <c r="F29" s="92"/>
      <c r="H29" s="56" t="s">
        <v>49</v>
      </c>
      <c r="I29" s="80">
        <v>20</v>
      </c>
    </row>
    <row r="30" spans="1:15" x14ac:dyDescent="0.25">
      <c r="A30" s="56" t="s">
        <v>134</v>
      </c>
      <c r="B30" s="93"/>
      <c r="C30" s="94"/>
      <c r="D30" s="94"/>
      <c r="E30" s="91"/>
      <c r="F30" s="92"/>
      <c r="H30" s="56" t="s">
        <v>50</v>
      </c>
      <c r="I30" s="80">
        <v>24</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0.13</v>
      </c>
    </row>
    <row r="36" spans="1:9" x14ac:dyDescent="0.25">
      <c r="A36" s="102"/>
      <c r="B36" s="103"/>
      <c r="C36" s="104"/>
      <c r="D36" s="105"/>
      <c r="E36" s="99"/>
      <c r="F36" s="71"/>
    </row>
    <row r="37" spans="1:9" x14ac:dyDescent="0.25">
      <c r="A37" s="56" t="s">
        <v>18</v>
      </c>
      <c r="B37" s="95">
        <f>I27</f>
        <v>3100</v>
      </c>
      <c r="C37" s="96">
        <f>I28</f>
        <v>0.1</v>
      </c>
      <c r="D37" s="83">
        <f>C37*B37</f>
        <v>310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4210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4210</v>
      </c>
      <c r="C45" s="118"/>
      <c r="D45" s="119"/>
      <c r="E45" s="120">
        <f>I19</f>
        <v>7.0000000000000007E-2</v>
      </c>
      <c r="F45" s="185">
        <f>+E45*B45</f>
        <v>294.70000000000005</v>
      </c>
    </row>
    <row r="46" spans="1:9" x14ac:dyDescent="0.25">
      <c r="A46" s="121" t="s">
        <v>144</v>
      </c>
      <c r="B46" s="103">
        <f>$I$22</f>
        <v>3864</v>
      </c>
      <c r="C46" s="122"/>
      <c r="D46" s="123"/>
      <c r="E46" s="124">
        <v>1.4999999999999999E-2</v>
      </c>
      <c r="F46" s="185">
        <f>+E46*B46</f>
        <v>57.96</v>
      </c>
    </row>
    <row r="47" spans="1:9" x14ac:dyDescent="0.25">
      <c r="A47" s="121" t="s">
        <v>145</v>
      </c>
      <c r="B47" s="103"/>
      <c r="C47" s="122"/>
      <c r="D47" s="123"/>
      <c r="E47" s="53"/>
      <c r="F47" s="125"/>
    </row>
    <row r="48" spans="1:9" x14ac:dyDescent="0.25">
      <c r="A48" s="121" t="s">
        <v>36</v>
      </c>
      <c r="B48" s="103"/>
      <c r="C48" s="122"/>
      <c r="D48" s="123">
        <f>I29</f>
        <v>20</v>
      </c>
      <c r="E48" s="53"/>
      <c r="F48" s="126">
        <f>+I30</f>
        <v>24</v>
      </c>
    </row>
    <row r="49" spans="1:6" x14ac:dyDescent="0.25">
      <c r="A49" s="106" t="s">
        <v>37</v>
      </c>
      <c r="B49" s="103">
        <f>$D$41</f>
        <v>4210</v>
      </c>
      <c r="C49" s="53"/>
      <c r="D49" s="103"/>
      <c r="E49" s="127">
        <f>I21</f>
        <v>2.7E-2</v>
      </c>
      <c r="F49" s="126">
        <f>+E49*B49</f>
        <v>113.67</v>
      </c>
    </row>
    <row r="50" spans="1:6" x14ac:dyDescent="0.25">
      <c r="A50" s="112" t="s">
        <v>38</v>
      </c>
      <c r="B50" s="113"/>
      <c r="C50" s="114"/>
      <c r="D50" s="114"/>
      <c r="E50" s="114"/>
      <c r="F50" s="115"/>
    </row>
    <row r="51" spans="1:6" x14ac:dyDescent="0.25">
      <c r="A51" s="121" t="s">
        <v>62</v>
      </c>
      <c r="B51" s="103">
        <f>$I$22</f>
        <v>3864</v>
      </c>
      <c r="C51" s="122">
        <v>6.9000000000000006E-2</v>
      </c>
      <c r="D51" s="123">
        <f>C51*B51</f>
        <v>266.61600000000004</v>
      </c>
      <c r="E51" s="127">
        <v>8.5500000000000007E-2</v>
      </c>
      <c r="F51" s="126">
        <f>E51*B51</f>
        <v>330.37200000000001</v>
      </c>
    </row>
    <row r="52" spans="1:6" x14ac:dyDescent="0.25">
      <c r="A52" s="121" t="s">
        <v>64</v>
      </c>
      <c r="B52" s="117">
        <f>$D$41</f>
        <v>4210</v>
      </c>
      <c r="C52" s="122">
        <v>4.0000000000000001E-3</v>
      </c>
      <c r="D52" s="123">
        <f t="shared" ref="D52:D55" si="0">C52*B52</f>
        <v>16.84</v>
      </c>
      <c r="E52" s="127">
        <v>2.0199999999999999E-2</v>
      </c>
      <c r="F52" s="126">
        <f t="shared" ref="F52:F54" si="1">E52*B52</f>
        <v>85.042000000000002</v>
      </c>
    </row>
    <row r="53" spans="1:6" x14ac:dyDescent="0.25">
      <c r="A53" s="121" t="s">
        <v>65</v>
      </c>
      <c r="B53" s="103">
        <f>$I$22</f>
        <v>3864</v>
      </c>
      <c r="C53" s="122">
        <v>4.0099999999999997E-2</v>
      </c>
      <c r="D53" s="123">
        <f t="shared" si="0"/>
        <v>154.94639999999998</v>
      </c>
      <c r="E53" s="127">
        <v>6.0100000000000001E-2</v>
      </c>
      <c r="F53" s="126">
        <f t="shared" si="1"/>
        <v>232.22640000000001</v>
      </c>
    </row>
    <row r="54" spans="1:6" x14ac:dyDescent="0.25">
      <c r="A54" s="121" t="s">
        <v>146</v>
      </c>
      <c r="B54" s="103">
        <f>$I$23</f>
        <v>346</v>
      </c>
      <c r="C54" s="122">
        <v>9.7199999999999995E-2</v>
      </c>
      <c r="D54" s="123">
        <f t="shared" si="0"/>
        <v>33.6312</v>
      </c>
      <c r="E54" s="127">
        <v>0.1457</v>
      </c>
      <c r="F54" s="126">
        <f t="shared" si="1"/>
        <v>50.412199999999999</v>
      </c>
    </row>
    <row r="55" spans="1:6" x14ac:dyDescent="0.25">
      <c r="A55" s="121" t="s">
        <v>147</v>
      </c>
      <c r="B55" s="103">
        <f>I24</f>
        <v>4210</v>
      </c>
      <c r="C55" s="122">
        <v>1.4E-3</v>
      </c>
      <c r="D55" s="123">
        <f t="shared" si="0"/>
        <v>5.8940000000000001</v>
      </c>
      <c r="E55" s="127">
        <v>2.0999999999999999E-3</v>
      </c>
      <c r="F55" s="126">
        <f>E55*B55</f>
        <v>8.8409999999999993</v>
      </c>
    </row>
    <row r="56" spans="1:6" x14ac:dyDescent="0.25">
      <c r="A56" s="121" t="s">
        <v>148</v>
      </c>
      <c r="B56" s="103"/>
      <c r="C56" s="122"/>
      <c r="D56" s="123"/>
      <c r="E56" s="53"/>
      <c r="F56" s="126">
        <f>E56*B56</f>
        <v>0</v>
      </c>
    </row>
    <row r="57" spans="1:6" x14ac:dyDescent="0.25">
      <c r="A57" s="128" t="s">
        <v>149</v>
      </c>
      <c r="B57" s="117">
        <f>$D$41</f>
        <v>4210</v>
      </c>
      <c r="C57" s="129"/>
      <c r="D57" s="103"/>
      <c r="E57" s="130">
        <f>+I20</f>
        <v>3.4500000000000003E-2</v>
      </c>
      <c r="F57" s="126">
        <f>E57*B57</f>
        <v>145.245</v>
      </c>
    </row>
    <row r="58" spans="1:6" x14ac:dyDescent="0.25">
      <c r="A58" s="112" t="s">
        <v>63</v>
      </c>
      <c r="B58" s="131"/>
      <c r="C58" s="131"/>
      <c r="D58" s="131"/>
      <c r="E58" s="131"/>
      <c r="F58" s="132"/>
    </row>
    <row r="59" spans="1:6" x14ac:dyDescent="0.25">
      <c r="A59" s="121" t="s">
        <v>150</v>
      </c>
      <c r="B59" s="117">
        <f>$D$41</f>
        <v>4210</v>
      </c>
      <c r="C59" s="129"/>
      <c r="D59" s="103"/>
      <c r="E59" s="130">
        <v>4.2500000000000003E-2</v>
      </c>
      <c r="F59" s="126">
        <f t="shared" ref="F59:F60" si="2">E59*B59</f>
        <v>178.92500000000001</v>
      </c>
    </row>
    <row r="60" spans="1:6" x14ac:dyDescent="0.25">
      <c r="A60" s="121" t="s">
        <v>151</v>
      </c>
      <c r="B60" s="103">
        <f>I25</f>
        <v>4210</v>
      </c>
      <c r="C60" s="133">
        <v>2.4000000000000001E-4</v>
      </c>
      <c r="D60" s="103">
        <f>+C60*B60</f>
        <v>1.0104</v>
      </c>
      <c r="E60" s="130">
        <v>3.6000000000000002E-4</v>
      </c>
      <c r="F60" s="126">
        <f t="shared" si="2"/>
        <v>1.5156000000000001</v>
      </c>
    </row>
    <row r="61" spans="1:6" x14ac:dyDescent="0.25">
      <c r="A61" s="112" t="s">
        <v>61</v>
      </c>
      <c r="B61" s="103"/>
      <c r="C61" s="129"/>
      <c r="D61" s="103"/>
      <c r="E61" s="130"/>
      <c r="F61" s="134">
        <f>D103</f>
        <v>68.950600000000009</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4218.2849999999999</v>
      </c>
      <c r="C65" s="122">
        <v>6.8000000000000005E-2</v>
      </c>
      <c r="D65" s="123">
        <f>C65*B65</f>
        <v>286.84338000000002</v>
      </c>
      <c r="E65" s="103"/>
      <c r="F65" s="134"/>
    </row>
    <row r="66" spans="1:6" x14ac:dyDescent="0.25">
      <c r="A66" s="106" t="s">
        <v>154</v>
      </c>
      <c r="B66" s="103">
        <f>B65</f>
        <v>4218.2849999999999</v>
      </c>
      <c r="C66" s="122">
        <v>2.9000000000000001E-2</v>
      </c>
      <c r="D66" s="123">
        <f>C66*B66</f>
        <v>122.330265</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-I26</f>
        <v>0</v>
      </c>
    </row>
    <row r="70" spans="1:6" x14ac:dyDescent="0.25">
      <c r="A70" s="106"/>
      <c r="B70" s="138"/>
      <c r="C70" s="53"/>
      <c r="D70" s="123"/>
      <c r="E70" s="123"/>
      <c r="F70" s="134"/>
    </row>
    <row r="71" spans="1:6" x14ac:dyDescent="0.25">
      <c r="A71" s="106" t="s">
        <v>39</v>
      </c>
      <c r="B71" s="123"/>
      <c r="C71" s="139"/>
      <c r="D71" s="140">
        <f>SUM(D45:D70)</f>
        <v>908.11164499999995</v>
      </c>
      <c r="E71" s="127"/>
      <c r="F71" s="141">
        <f>SUM(F45:F70)</f>
        <v>1591.8598000000002</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3301.888355</v>
      </c>
    </row>
    <row r="80" spans="1:6" x14ac:dyDescent="0.25">
      <c r="A80" s="143" t="s">
        <v>40</v>
      </c>
      <c r="B80" s="123"/>
      <c r="C80" s="139"/>
      <c r="D80" s="140"/>
      <c r="E80" s="140"/>
      <c r="F80" s="144">
        <f>D41-D71+D73+D74+D75+D76+D77+D78+D79</f>
        <v>3301.888355</v>
      </c>
    </row>
    <row r="81" spans="1:9" ht="33" x14ac:dyDescent="0.25">
      <c r="A81" s="106" t="s">
        <v>41</v>
      </c>
      <c r="B81" s="145"/>
      <c r="C81" s="146"/>
      <c r="D81" s="142"/>
      <c r="E81" s="142"/>
      <c r="F81" s="147">
        <f>D110</f>
        <v>60.904155000000003</v>
      </c>
    </row>
    <row r="82" spans="1:9" x14ac:dyDescent="0.25">
      <c r="A82" s="581" t="s">
        <v>42</v>
      </c>
      <c r="B82" s="581" t="s">
        <v>43</v>
      </c>
      <c r="C82" s="581" t="s">
        <v>22</v>
      </c>
      <c r="D82" s="581" t="s">
        <v>159</v>
      </c>
      <c r="E82" s="581"/>
      <c r="F82" s="581" t="s">
        <v>269</v>
      </c>
    </row>
    <row r="83" spans="1:9" x14ac:dyDescent="0.25">
      <c r="A83" s="582" t="s">
        <v>42</v>
      </c>
      <c r="B83" s="582"/>
      <c r="C83" s="582"/>
      <c r="D83" s="582"/>
      <c r="E83" s="582"/>
      <c r="F83" s="582"/>
    </row>
    <row r="84" spans="1:9" x14ac:dyDescent="0.25">
      <c r="A84" s="433" t="s">
        <v>270</v>
      </c>
      <c r="B84" s="434"/>
      <c r="C84" s="423"/>
      <c r="D84" s="435">
        <f>D41+F48+D66-D71</f>
        <v>3448.2186199999996</v>
      </c>
      <c r="E84" s="436"/>
      <c r="F84" s="437">
        <f>D84*5</f>
        <v>17241.093099999998</v>
      </c>
    </row>
    <row r="85" spans="1:9" x14ac:dyDescent="0.25">
      <c r="A85" s="433" t="s">
        <v>271</v>
      </c>
      <c r="B85" s="438">
        <f>D84</f>
        <v>3448.2186199999996</v>
      </c>
      <c r="C85" s="439">
        <f>I35</f>
        <v>0.13</v>
      </c>
      <c r="D85" s="435">
        <f>C85*B85</f>
        <v>448.26842059999996</v>
      </c>
      <c r="E85" s="436"/>
      <c r="F85" s="437">
        <f>D85*5</f>
        <v>2241.342103</v>
      </c>
    </row>
    <row r="86" spans="1:9" x14ac:dyDescent="0.25">
      <c r="A86" s="433" t="s">
        <v>272</v>
      </c>
      <c r="B86" s="150"/>
      <c r="C86" s="108"/>
      <c r="D86" s="151"/>
      <c r="E86" s="151"/>
      <c r="F86" s="149"/>
    </row>
    <row r="87" spans="1:9" x14ac:dyDescent="0.25">
      <c r="A87" s="421" t="s">
        <v>273</v>
      </c>
      <c r="B87" s="148"/>
      <c r="C87" s="152"/>
      <c r="D87" s="532">
        <f>F80-D85</f>
        <v>2853.6199344000001</v>
      </c>
      <c r="E87" s="151"/>
      <c r="F87" s="437">
        <f t="shared" ref="F87:F89" si="3">D87*5</f>
        <v>14268.099672</v>
      </c>
    </row>
    <row r="88" spans="1:9" x14ac:dyDescent="0.25">
      <c r="A88" s="433" t="s">
        <v>274</v>
      </c>
      <c r="B88" s="151"/>
      <c r="C88" s="151"/>
      <c r="D88" s="532">
        <f>D118</f>
        <v>328.38</v>
      </c>
      <c r="E88" s="151"/>
      <c r="F88" s="437">
        <f t="shared" si="3"/>
        <v>1641.9</v>
      </c>
    </row>
    <row r="89" spans="1:9" x14ac:dyDescent="0.25">
      <c r="A89" s="433" t="s">
        <v>275</v>
      </c>
      <c r="B89" s="151"/>
      <c r="C89" s="151"/>
      <c r="D89" s="532">
        <f>D41+F71</f>
        <v>5801.8598000000002</v>
      </c>
      <c r="E89" s="151"/>
      <c r="F89" s="437">
        <f t="shared" si="3"/>
        <v>29009.298999999999</v>
      </c>
    </row>
    <row r="92" spans="1:9" ht="17.25" thickBot="1" x14ac:dyDescent="0.3">
      <c r="A92" s="561" t="s">
        <v>61</v>
      </c>
      <c r="B92" s="562"/>
      <c r="I92" s="156"/>
    </row>
    <row r="93" spans="1:9" x14ac:dyDescent="0.25">
      <c r="A93" s="44"/>
      <c r="B93" s="583">
        <f>D41</f>
        <v>4210</v>
      </c>
      <c r="C93" s="566">
        <f>0.016%+0.3%+0.68%+0.55%</f>
        <v>1.5460000000000002E-2</v>
      </c>
      <c r="D93" s="586">
        <f>C93*B93</f>
        <v>65.086600000000004</v>
      </c>
      <c r="I93" s="156"/>
    </row>
    <row r="94" spans="1:9" x14ac:dyDescent="0.25">
      <c r="A94" s="45" t="s">
        <v>162</v>
      </c>
      <c r="B94" s="584"/>
      <c r="C94" s="567"/>
      <c r="D94" s="587"/>
      <c r="E94" s="156"/>
      <c r="F94" s="156"/>
      <c r="G94" s="156"/>
      <c r="I94" s="156"/>
    </row>
    <row r="95" spans="1:9" s="156" customFormat="1" x14ac:dyDescent="0.25">
      <c r="A95" s="45" t="s">
        <v>67</v>
      </c>
      <c r="B95" s="584"/>
      <c r="C95" s="567"/>
      <c r="D95" s="587"/>
      <c r="H95" s="51"/>
    </row>
    <row r="96" spans="1:9" s="156" customFormat="1" ht="15" x14ac:dyDescent="0.25">
      <c r="A96" s="45" t="s">
        <v>68</v>
      </c>
      <c r="B96" s="584"/>
      <c r="C96" s="567"/>
      <c r="D96" s="587"/>
    </row>
    <row r="97" spans="1:4" s="156" customFormat="1" ht="15" x14ac:dyDescent="0.25">
      <c r="A97" s="45" t="s">
        <v>69</v>
      </c>
      <c r="B97" s="584"/>
      <c r="C97" s="567"/>
      <c r="D97" s="587"/>
    </row>
    <row r="98" spans="1:4" s="156" customFormat="1" ht="15" x14ac:dyDescent="0.25">
      <c r="A98" s="45" t="s">
        <v>163</v>
      </c>
      <c r="B98" s="584"/>
      <c r="C98" s="567"/>
      <c r="D98" s="587"/>
    </row>
    <row r="99" spans="1:4" s="156" customFormat="1" ht="15.75" thickBot="1" x14ac:dyDescent="0.3">
      <c r="A99" s="46" t="s">
        <v>297</v>
      </c>
      <c r="B99" s="585"/>
      <c r="C99" s="568"/>
      <c r="D99" s="588"/>
    </row>
    <row r="100" spans="1:4" s="156" customFormat="1" ht="17.25" thickBot="1" x14ac:dyDescent="0.3">
      <c r="A100" s="51"/>
      <c r="B100" s="157"/>
      <c r="C100" s="157"/>
      <c r="D100" s="157"/>
    </row>
    <row r="101" spans="1:4" s="156" customFormat="1" ht="17.25" thickBot="1" x14ac:dyDescent="0.3">
      <c r="A101" s="158" t="s">
        <v>70</v>
      </c>
      <c r="B101" s="159">
        <f>I22</f>
        <v>3864</v>
      </c>
      <c r="C101" s="160">
        <v>1E-3</v>
      </c>
      <c r="D101" s="161">
        <f>C101*B101</f>
        <v>3.8639999999999999</v>
      </c>
    </row>
    <row r="102" spans="1:4" s="156" customFormat="1" ht="17.25" thickBot="1" x14ac:dyDescent="0.3">
      <c r="A102" s="51"/>
      <c r="B102" s="51"/>
      <c r="C102" s="51"/>
      <c r="D102" s="51"/>
    </row>
    <row r="103" spans="1:4" s="156" customFormat="1" ht="17.25" thickBot="1" x14ac:dyDescent="0.3">
      <c r="A103" s="162" t="s">
        <v>71</v>
      </c>
      <c r="B103" s="163"/>
      <c r="C103" s="163"/>
      <c r="D103" s="164">
        <f>D93+D101</f>
        <v>68.950600000000009</v>
      </c>
    </row>
    <row r="104" spans="1:4" s="156" customFormat="1" ht="17.25" thickBot="1" x14ac:dyDescent="0.3">
      <c r="A104" s="51"/>
      <c r="B104" s="51"/>
      <c r="C104" s="51"/>
      <c r="D104" s="51"/>
    </row>
    <row r="105" spans="1:4" s="156" customFormat="1" x14ac:dyDescent="0.25">
      <c r="A105" s="572" t="s">
        <v>72</v>
      </c>
      <c r="B105" s="573"/>
      <c r="C105" s="573"/>
      <c r="D105" s="574"/>
    </row>
    <row r="106" spans="1:4" s="156" customFormat="1" x14ac:dyDescent="0.25">
      <c r="A106" s="165" t="s">
        <v>73</v>
      </c>
      <c r="B106" s="166">
        <f>D41</f>
        <v>4210</v>
      </c>
      <c r="C106" s="167">
        <v>2.4E-2</v>
      </c>
      <c r="D106" s="168">
        <f>C106*B106</f>
        <v>101.04</v>
      </c>
    </row>
    <row r="107" spans="1:4" s="156" customFormat="1" x14ac:dyDescent="0.25">
      <c r="A107" s="165" t="s">
        <v>74</v>
      </c>
      <c r="B107" s="166">
        <f>B106</f>
        <v>4210</v>
      </c>
      <c r="C107" s="167">
        <v>7.4999999999999997E-3</v>
      </c>
      <c r="D107" s="168">
        <f t="shared" ref="D107:D108" si="4">C107*B107</f>
        <v>31.574999999999999</v>
      </c>
    </row>
    <row r="108" spans="1:4" s="156" customFormat="1" x14ac:dyDescent="0.25">
      <c r="A108" s="165" t="s">
        <v>75</v>
      </c>
      <c r="B108" s="166">
        <f>B66+B67</f>
        <v>4218.2849999999999</v>
      </c>
      <c r="C108" s="167">
        <v>-1.7000000000000001E-2</v>
      </c>
      <c r="D108" s="168">
        <f t="shared" si="4"/>
        <v>-71.710845000000006</v>
      </c>
    </row>
    <row r="109" spans="1:4" s="156" customFormat="1" x14ac:dyDescent="0.25">
      <c r="A109" s="169"/>
      <c r="B109" s="170"/>
      <c r="C109" s="171"/>
      <c r="D109" s="172"/>
    </row>
    <row r="110" spans="1:4" s="156" customFormat="1" ht="17.25" thickBot="1" x14ac:dyDescent="0.3">
      <c r="A110" s="173" t="s">
        <v>76</v>
      </c>
      <c r="B110" s="174"/>
      <c r="C110" s="175"/>
      <c r="D110" s="176">
        <f>SUM(D106:D109)</f>
        <v>60.904155000000003</v>
      </c>
    </row>
    <row r="111" spans="1:4" s="156" customFormat="1" ht="15" x14ac:dyDescent="0.25"/>
    <row r="112" spans="1:4" s="156" customFormat="1" ht="15.75" thickBot="1" x14ac:dyDescent="0.3"/>
    <row r="113" spans="1:4" ht="17.25" thickBot="1" x14ac:dyDescent="0.3">
      <c r="A113" s="575" t="s">
        <v>82</v>
      </c>
      <c r="B113" s="576"/>
      <c r="C113" s="576"/>
      <c r="D113" s="577"/>
    </row>
    <row r="114" spans="1:4" x14ac:dyDescent="0.25">
      <c r="A114" s="177" t="s">
        <v>77</v>
      </c>
      <c r="B114" s="178"/>
      <c r="C114" s="178"/>
      <c r="D114" s="179"/>
    </row>
    <row r="115" spans="1:4" x14ac:dyDescent="0.25">
      <c r="A115" s="165" t="s">
        <v>78</v>
      </c>
      <c r="B115" s="180">
        <f>B23+B24</f>
        <v>0</v>
      </c>
      <c r="C115" s="181">
        <v>1.5</v>
      </c>
      <c r="D115" s="182">
        <f>C115*B115</f>
        <v>0</v>
      </c>
    </row>
    <row r="116" spans="1:4" x14ac:dyDescent="0.25">
      <c r="A116" s="165" t="s">
        <v>79</v>
      </c>
      <c r="B116" s="166">
        <f>D41</f>
        <v>4210</v>
      </c>
      <c r="C116" s="167">
        <v>1.7999999999999999E-2</v>
      </c>
      <c r="D116" s="182">
        <f>C116*B116</f>
        <v>75.78</v>
      </c>
    </row>
    <row r="117" spans="1:4" x14ac:dyDescent="0.25">
      <c r="A117" s="165" t="s">
        <v>80</v>
      </c>
      <c r="B117" s="166">
        <f>B116</f>
        <v>4210</v>
      </c>
      <c r="C117" s="167">
        <v>0.06</v>
      </c>
      <c r="D117" s="182">
        <f>C117*B117</f>
        <v>252.6</v>
      </c>
    </row>
    <row r="118" spans="1:4" ht="17.25" thickBot="1" x14ac:dyDescent="0.3">
      <c r="A118" s="173" t="s">
        <v>81</v>
      </c>
      <c r="B118" s="183"/>
      <c r="C118" s="183"/>
      <c r="D118" s="184">
        <f>SUM(D114:D117)</f>
        <v>328.38</v>
      </c>
    </row>
  </sheetData>
  <mergeCells count="14">
    <mergeCell ref="A113:D113"/>
    <mergeCell ref="B17:C17"/>
    <mergeCell ref="E17:F17"/>
    <mergeCell ref="A82:A83"/>
    <mergeCell ref="B82:B83"/>
    <mergeCell ref="D82:D83"/>
    <mergeCell ref="C82:C83"/>
    <mergeCell ref="E82:E83"/>
    <mergeCell ref="F82:F83"/>
    <mergeCell ref="A92:B92"/>
    <mergeCell ref="B93:B99"/>
    <mergeCell ref="C93:C99"/>
    <mergeCell ref="D93:D99"/>
    <mergeCell ref="A105:D10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85D6-5532-4178-A20B-36AEB686B8F2}">
  <dimension ref="A1:O137"/>
  <sheetViews>
    <sheetView zoomScale="75" zoomScaleNormal="75" workbookViewId="0">
      <selection activeCell="H64" sqref="H64"/>
    </sheetView>
  </sheetViews>
  <sheetFormatPr baseColWidth="10" defaultRowHeight="16.5" x14ac:dyDescent="0.25"/>
  <cols>
    <col min="1" max="1" width="95.5703125" style="51" customWidth="1"/>
    <col min="2" max="2" width="18.85546875" style="51" bestFit="1" customWidth="1"/>
    <col min="3" max="3" width="17.140625" style="51" bestFit="1" customWidth="1"/>
    <col min="4" max="4" width="34.140625" style="51" customWidth="1"/>
    <col min="5" max="5" width="12.5703125" style="51" customWidth="1"/>
    <col min="6" max="6" width="18.28515625" style="51" customWidth="1"/>
    <col min="7" max="7" width="11.42578125" style="51"/>
    <col min="8" max="8" width="58.28515625" style="51" bestFit="1" customWidth="1"/>
    <col min="9" max="9" width="13" style="51" bestFit="1" customWidth="1"/>
    <col min="10" max="10" width="12" style="51" bestFit="1" customWidth="1"/>
    <col min="11" max="11" width="11.42578125" style="51"/>
    <col min="12" max="12" width="12.140625" style="51" bestFit="1" customWidth="1"/>
    <col min="13" max="14" width="12" style="51" bestFit="1" customWidth="1"/>
    <col min="15" max="16384" width="11.42578125" style="51"/>
  </cols>
  <sheetData>
    <row r="1" spans="1:6" x14ac:dyDescent="0.25">
      <c r="A1" s="48" t="s">
        <v>92</v>
      </c>
      <c r="B1" s="49"/>
      <c r="C1" s="49"/>
      <c r="D1" s="49"/>
      <c r="E1" s="49"/>
      <c r="F1" s="50"/>
    </row>
    <row r="2" spans="1:6" x14ac:dyDescent="0.25">
      <c r="A2" s="52" t="s">
        <v>93</v>
      </c>
      <c r="B2" s="53"/>
      <c r="C2" s="53"/>
      <c r="D2" s="53" t="s">
        <v>94</v>
      </c>
      <c r="E2" s="53"/>
      <c r="F2" s="54"/>
    </row>
    <row r="3" spans="1:6" x14ac:dyDescent="0.25">
      <c r="A3" s="55" t="s">
        <v>95</v>
      </c>
      <c r="B3" s="53"/>
      <c r="C3" s="53"/>
      <c r="D3" s="53" t="s">
        <v>95</v>
      </c>
      <c r="E3" s="53"/>
      <c r="F3" s="54"/>
    </row>
    <row r="4" spans="1:6" x14ac:dyDescent="0.25">
      <c r="A4" s="55" t="s">
        <v>96</v>
      </c>
      <c r="B4" s="53"/>
      <c r="C4" s="53"/>
      <c r="D4" s="53" t="s">
        <v>97</v>
      </c>
      <c r="E4" s="53"/>
      <c r="F4" s="54"/>
    </row>
    <row r="5" spans="1:6" x14ac:dyDescent="0.25">
      <c r="A5" s="55" t="s">
        <v>98</v>
      </c>
      <c r="B5" s="53"/>
      <c r="C5" s="53"/>
      <c r="D5" s="53" t="s">
        <v>99</v>
      </c>
      <c r="E5" s="53"/>
      <c r="F5" s="54"/>
    </row>
    <row r="6" spans="1:6" x14ac:dyDescent="0.25">
      <c r="A6" s="55" t="s">
        <v>98</v>
      </c>
      <c r="B6" s="53"/>
      <c r="C6" s="53"/>
      <c r="D6" s="53" t="s">
        <v>100</v>
      </c>
      <c r="E6" s="53"/>
      <c r="F6" s="54"/>
    </row>
    <row r="7" spans="1:6" x14ac:dyDescent="0.25">
      <c r="A7" s="55" t="s">
        <v>101</v>
      </c>
      <c r="B7" s="53"/>
      <c r="C7" s="53"/>
      <c r="D7" s="53"/>
      <c r="E7" s="53"/>
      <c r="F7" s="54"/>
    </row>
    <row r="8" spans="1:6" x14ac:dyDescent="0.25">
      <c r="A8" s="55" t="s">
        <v>102</v>
      </c>
      <c r="B8" s="53"/>
      <c r="C8" s="53"/>
      <c r="D8" s="53" t="s">
        <v>103</v>
      </c>
      <c r="E8" s="53"/>
      <c r="F8" s="54"/>
    </row>
    <row r="9" spans="1:6" x14ac:dyDescent="0.25">
      <c r="A9" s="55" t="s">
        <v>104</v>
      </c>
      <c r="B9" s="53"/>
      <c r="C9" s="53"/>
      <c r="D9" s="53" t="s">
        <v>105</v>
      </c>
      <c r="E9" s="53"/>
      <c r="F9" s="54"/>
    </row>
    <row r="10" spans="1:6" x14ac:dyDescent="0.25">
      <c r="A10" s="55" t="s">
        <v>106</v>
      </c>
      <c r="B10" s="53"/>
      <c r="C10" s="53"/>
      <c r="D10" s="53" t="s">
        <v>107</v>
      </c>
      <c r="E10" s="53"/>
      <c r="F10" s="54"/>
    </row>
    <row r="11" spans="1:6" x14ac:dyDescent="0.25">
      <c r="A11" s="55" t="s">
        <v>108</v>
      </c>
      <c r="B11" s="53"/>
      <c r="C11" s="53"/>
      <c r="D11" s="53" t="s">
        <v>109</v>
      </c>
      <c r="E11" s="53"/>
      <c r="F11" s="54" t="s">
        <v>12</v>
      </c>
    </row>
    <row r="12" spans="1:6" x14ac:dyDescent="0.25">
      <c r="A12" s="55" t="s">
        <v>110</v>
      </c>
      <c r="B12" s="53"/>
      <c r="C12" s="53"/>
      <c r="D12" s="53" t="s">
        <v>111</v>
      </c>
      <c r="E12" s="53"/>
      <c r="F12" s="54"/>
    </row>
    <row r="13" spans="1:6" x14ac:dyDescent="0.25">
      <c r="A13" s="55" t="s">
        <v>112</v>
      </c>
      <c r="B13" s="53"/>
      <c r="C13" s="53"/>
      <c r="D13" s="53" t="s">
        <v>113</v>
      </c>
      <c r="E13" s="53"/>
      <c r="F13" s="54"/>
    </row>
    <row r="14" spans="1:6" x14ac:dyDescent="0.25">
      <c r="A14" s="55"/>
      <c r="B14" s="53"/>
      <c r="C14" s="53"/>
      <c r="D14" s="53" t="s">
        <v>114</v>
      </c>
      <c r="E14" s="53"/>
      <c r="F14" s="54"/>
    </row>
    <row r="15" spans="1:6" x14ac:dyDescent="0.25">
      <c r="A15" s="56"/>
      <c r="B15" s="53"/>
      <c r="C15" s="53"/>
      <c r="D15" s="53"/>
      <c r="E15" s="53"/>
      <c r="F15" s="54"/>
    </row>
    <row r="16" spans="1:6" x14ac:dyDescent="0.25">
      <c r="A16" s="56"/>
      <c r="B16" s="53"/>
      <c r="C16" s="53"/>
      <c r="D16" s="53"/>
      <c r="E16" s="53"/>
      <c r="F16" s="54"/>
    </row>
    <row r="17" spans="1:15" x14ac:dyDescent="0.25">
      <c r="A17" s="57" t="s">
        <v>115</v>
      </c>
      <c r="B17" s="578"/>
      <c r="C17" s="579"/>
      <c r="D17" s="58" t="s">
        <v>116</v>
      </c>
      <c r="E17" s="578"/>
      <c r="F17" s="580"/>
    </row>
    <row r="18" spans="1:15" ht="20.25" customHeight="1" thickBot="1" x14ac:dyDescent="0.3">
      <c r="A18" s="59" t="s">
        <v>117</v>
      </c>
      <c r="B18" s="60"/>
      <c r="C18" s="60"/>
      <c r="D18" s="60"/>
      <c r="E18" s="60"/>
      <c r="F18" s="61"/>
    </row>
    <row r="19" spans="1:15" ht="24" customHeight="1" x14ac:dyDescent="0.25">
      <c r="A19" s="62" t="s">
        <v>117</v>
      </c>
      <c r="B19" s="63" t="s">
        <v>118</v>
      </c>
      <c r="C19" s="63" t="s">
        <v>119</v>
      </c>
      <c r="D19" s="63" t="s">
        <v>120</v>
      </c>
      <c r="E19" s="64"/>
      <c r="F19" s="65"/>
      <c r="H19" s="66" t="s">
        <v>121</v>
      </c>
      <c r="I19" s="67">
        <v>7.0000000000000007E-2</v>
      </c>
    </row>
    <row r="20" spans="1:15" s="72" customFormat="1" x14ac:dyDescent="0.25">
      <c r="A20" s="56" t="s">
        <v>14</v>
      </c>
      <c r="B20" s="68">
        <v>151.66999999999999</v>
      </c>
      <c r="C20" s="69">
        <f>D20/151.67</f>
        <v>16.483154216390851</v>
      </c>
      <c r="D20" s="70">
        <v>2500</v>
      </c>
      <c r="E20" s="64"/>
      <c r="F20" s="71"/>
      <c r="H20" s="73" t="s">
        <v>122</v>
      </c>
      <c r="I20" s="74">
        <v>3.4500000000000003E-2</v>
      </c>
      <c r="J20" s="51"/>
      <c r="K20" s="51"/>
      <c r="L20" s="51"/>
      <c r="M20" s="51"/>
      <c r="N20" s="51"/>
      <c r="O20" s="51"/>
    </row>
    <row r="21" spans="1:15" s="72" customFormat="1" x14ac:dyDescent="0.25">
      <c r="A21" s="56" t="s">
        <v>123</v>
      </c>
      <c r="B21" s="68"/>
      <c r="C21" s="69"/>
      <c r="D21" s="75">
        <f>I31</f>
        <v>0</v>
      </c>
      <c r="E21" s="64"/>
      <c r="F21" s="71"/>
      <c r="H21" s="76" t="s">
        <v>124</v>
      </c>
      <c r="I21" s="77">
        <v>2.7E-2</v>
      </c>
      <c r="J21" s="51"/>
      <c r="K21" s="51"/>
      <c r="L21" s="51"/>
      <c r="M21" s="51"/>
      <c r="N21" s="51"/>
      <c r="O21" s="51"/>
    </row>
    <row r="22" spans="1:15" s="72" customFormat="1" x14ac:dyDescent="0.25">
      <c r="A22" s="56" t="s">
        <v>32</v>
      </c>
      <c r="B22" s="78"/>
      <c r="C22" s="79"/>
      <c r="D22" s="70">
        <f>-C22*B22</f>
        <v>0</v>
      </c>
      <c r="E22" s="64"/>
      <c r="F22" s="71"/>
      <c r="H22" s="56" t="s">
        <v>125</v>
      </c>
      <c r="I22" s="80">
        <v>2500</v>
      </c>
      <c r="J22" s="51"/>
      <c r="K22" s="51"/>
      <c r="L22" s="51"/>
      <c r="M22" s="51"/>
      <c r="N22" s="51"/>
      <c r="O22" s="51"/>
    </row>
    <row r="23" spans="1:15" s="72" customFormat="1" x14ac:dyDescent="0.25">
      <c r="A23" s="56"/>
      <c r="B23" s="68"/>
      <c r="C23" s="69"/>
      <c r="D23" s="53"/>
      <c r="E23" s="64"/>
      <c r="F23" s="71"/>
      <c r="H23" s="56" t="s">
        <v>126</v>
      </c>
      <c r="I23" s="80"/>
      <c r="J23" s="51"/>
      <c r="K23" s="51"/>
      <c r="L23" s="51"/>
      <c r="M23" s="51"/>
      <c r="N23" s="51"/>
      <c r="O23" s="51"/>
    </row>
    <row r="24" spans="1:15" x14ac:dyDescent="0.25">
      <c r="A24" s="56" t="s">
        <v>127</v>
      </c>
      <c r="B24" s="81"/>
      <c r="C24" s="82">
        <f>D20/151.67*1.25</f>
        <v>20.603942770488565</v>
      </c>
      <c r="D24" s="83">
        <f>C24*B24</f>
        <v>0</v>
      </c>
      <c r="E24" s="64"/>
      <c r="F24" s="84"/>
      <c r="H24" s="56" t="s">
        <v>128</v>
      </c>
      <c r="I24" s="80"/>
    </row>
    <row r="25" spans="1:15" x14ac:dyDescent="0.25">
      <c r="A25" s="56" t="s">
        <v>33</v>
      </c>
      <c r="B25" s="81"/>
      <c r="C25" s="83">
        <f>D20/151.67*1.5</f>
        <v>24.724731324586276</v>
      </c>
      <c r="D25" s="83">
        <f>C25*B25</f>
        <v>0</v>
      </c>
      <c r="E25" s="64"/>
      <c r="F25" s="65"/>
      <c r="H25" s="56" t="s">
        <v>129</v>
      </c>
      <c r="I25" s="80"/>
    </row>
    <row r="26" spans="1:15" x14ac:dyDescent="0.25">
      <c r="A26" s="56"/>
      <c r="B26" s="53"/>
      <c r="C26" s="53"/>
      <c r="D26" s="53"/>
      <c r="E26" s="64"/>
      <c r="F26" s="65"/>
      <c r="H26" s="56" t="s">
        <v>130</v>
      </c>
      <c r="I26" s="80">
        <f>+H129</f>
        <v>173.99999999999989</v>
      </c>
    </row>
    <row r="27" spans="1:15" x14ac:dyDescent="0.25">
      <c r="A27" s="56" t="s">
        <v>131</v>
      </c>
      <c r="B27" s="81"/>
      <c r="C27" s="85"/>
      <c r="D27" s="86">
        <f>C27*B27</f>
        <v>0</v>
      </c>
      <c r="E27" s="64"/>
      <c r="F27" s="65"/>
      <c r="H27" s="56" t="s">
        <v>132</v>
      </c>
      <c r="I27" s="80">
        <v>2000</v>
      </c>
    </row>
    <row r="28" spans="1:15" x14ac:dyDescent="0.25">
      <c r="A28" s="56"/>
      <c r="B28" s="53"/>
      <c r="C28" s="53"/>
      <c r="D28" s="53"/>
      <c r="E28" s="64"/>
      <c r="F28" s="65"/>
      <c r="H28" s="56" t="s">
        <v>133</v>
      </c>
      <c r="I28" s="87"/>
    </row>
    <row r="29" spans="1:15" x14ac:dyDescent="0.25">
      <c r="A29" s="56"/>
      <c r="B29" s="88"/>
      <c r="C29" s="89"/>
      <c r="D29" s="90"/>
      <c r="E29" s="91"/>
      <c r="F29" s="92"/>
      <c r="H29" s="56" t="s">
        <v>49</v>
      </c>
      <c r="I29" s="80">
        <v>40</v>
      </c>
    </row>
    <row r="30" spans="1:15" x14ac:dyDescent="0.25">
      <c r="A30" s="56" t="s">
        <v>134</v>
      </c>
      <c r="B30" s="93"/>
      <c r="C30" s="94"/>
      <c r="D30" s="94"/>
      <c r="E30" s="91"/>
      <c r="F30" s="92"/>
      <c r="H30" s="56" t="s">
        <v>50</v>
      </c>
      <c r="I30" s="80">
        <v>48</v>
      </c>
    </row>
    <row r="31" spans="1:15" x14ac:dyDescent="0.25">
      <c r="A31" s="56" t="s">
        <v>135</v>
      </c>
      <c r="B31" s="93"/>
      <c r="C31" s="94"/>
      <c r="D31" s="94"/>
      <c r="E31" s="91"/>
      <c r="F31" s="92"/>
      <c r="H31" s="56" t="s">
        <v>123</v>
      </c>
      <c r="I31" s="80"/>
    </row>
    <row r="32" spans="1:15" x14ac:dyDescent="0.25">
      <c r="A32" s="56"/>
      <c r="B32" s="88"/>
      <c r="C32" s="53"/>
      <c r="D32" s="53"/>
      <c r="E32" s="91"/>
      <c r="F32" s="92"/>
      <c r="H32" s="56" t="s">
        <v>136</v>
      </c>
      <c r="I32" s="54"/>
    </row>
    <row r="33" spans="1:9" x14ac:dyDescent="0.25">
      <c r="A33" s="56" t="s">
        <v>137</v>
      </c>
      <c r="B33" s="95"/>
      <c r="C33" s="96"/>
      <c r="D33" s="97"/>
      <c r="E33" s="91"/>
      <c r="F33" s="92"/>
      <c r="H33" s="56" t="s">
        <v>138</v>
      </c>
      <c r="I33" s="54"/>
    </row>
    <row r="34" spans="1:9" x14ac:dyDescent="0.25">
      <c r="A34" s="56" t="s">
        <v>139</v>
      </c>
      <c r="B34" s="98"/>
      <c r="C34" s="96"/>
      <c r="D34" s="97"/>
      <c r="E34" s="91"/>
      <c r="F34" s="92"/>
      <c r="H34" s="56"/>
      <c r="I34" s="54"/>
    </row>
    <row r="35" spans="1:9" ht="17.25" thickBot="1" x14ac:dyDescent="0.3">
      <c r="A35" s="56" t="s">
        <v>140</v>
      </c>
      <c r="B35" s="98"/>
      <c r="C35" s="96"/>
      <c r="D35" s="97"/>
      <c r="E35" s="99"/>
      <c r="F35" s="71"/>
      <c r="H35" s="100" t="s">
        <v>52</v>
      </c>
      <c r="I35" s="101">
        <v>3.5000000000000003E-2</v>
      </c>
    </row>
    <row r="36" spans="1:9" x14ac:dyDescent="0.25">
      <c r="A36" s="102"/>
      <c r="B36" s="103"/>
      <c r="C36" s="104"/>
      <c r="D36" s="105"/>
      <c r="E36" s="99"/>
      <c r="F36" s="71"/>
    </row>
    <row r="37" spans="1:9" x14ac:dyDescent="0.25">
      <c r="A37" s="56" t="s">
        <v>18</v>
      </c>
      <c r="B37" s="95">
        <f>I27</f>
        <v>2000</v>
      </c>
      <c r="C37" s="96">
        <f>I28</f>
        <v>0</v>
      </c>
      <c r="D37" s="83">
        <f>C37*B37</f>
        <v>0</v>
      </c>
      <c r="E37" s="99"/>
      <c r="F37" s="71"/>
    </row>
    <row r="38" spans="1:9" x14ac:dyDescent="0.25">
      <c r="A38" s="102"/>
      <c r="B38" s="103"/>
      <c r="C38" s="104"/>
      <c r="D38" s="105"/>
      <c r="E38" s="99"/>
      <c r="F38" s="71"/>
    </row>
    <row r="39" spans="1:9" x14ac:dyDescent="0.25">
      <c r="A39" s="56" t="s">
        <v>141</v>
      </c>
      <c r="B39" s="88"/>
      <c r="C39" s="89"/>
      <c r="D39" s="94"/>
      <c r="E39" s="99"/>
      <c r="F39" s="71"/>
    </row>
    <row r="40" spans="1:9" x14ac:dyDescent="0.25">
      <c r="A40" s="56" t="s">
        <v>60</v>
      </c>
      <c r="B40" s="88"/>
      <c r="C40" s="89"/>
      <c r="D40" s="94"/>
      <c r="E40" s="99"/>
      <c r="F40" s="71"/>
    </row>
    <row r="41" spans="1:9" x14ac:dyDescent="0.25">
      <c r="A41" s="106" t="s">
        <v>34</v>
      </c>
      <c r="B41" s="53"/>
      <c r="C41" s="53"/>
      <c r="D41" s="70">
        <f>SUM(D20:D37)</f>
        <v>2500</v>
      </c>
      <c r="E41" s="99"/>
      <c r="F41" s="71"/>
    </row>
    <row r="42" spans="1:9" x14ac:dyDescent="0.25">
      <c r="A42" s="56"/>
      <c r="B42" s="107"/>
      <c r="C42" s="108"/>
      <c r="D42" s="108"/>
      <c r="E42" s="99"/>
      <c r="F42" s="71"/>
    </row>
    <row r="43" spans="1:9" ht="33" x14ac:dyDescent="0.25">
      <c r="A43" s="109" t="s">
        <v>142</v>
      </c>
      <c r="B43" s="110" t="s">
        <v>44</v>
      </c>
      <c r="C43" s="110" t="s">
        <v>22</v>
      </c>
      <c r="D43" s="110" t="s">
        <v>45</v>
      </c>
      <c r="E43" s="110" t="s">
        <v>22</v>
      </c>
      <c r="F43" s="111" t="s">
        <v>46</v>
      </c>
    </row>
    <row r="44" spans="1:9" x14ac:dyDescent="0.25">
      <c r="A44" s="112" t="s">
        <v>35</v>
      </c>
      <c r="B44" s="113"/>
      <c r="C44" s="114"/>
      <c r="D44" s="114"/>
      <c r="E44" s="114"/>
      <c r="F44" s="115"/>
    </row>
    <row r="45" spans="1:9" ht="21.75" customHeight="1" x14ac:dyDescent="0.25">
      <c r="A45" s="116" t="s">
        <v>143</v>
      </c>
      <c r="B45" s="117">
        <f>$D$41</f>
        <v>2500</v>
      </c>
      <c r="C45" s="118"/>
      <c r="D45" s="119"/>
      <c r="E45" s="120">
        <f>I19</f>
        <v>7.0000000000000007E-2</v>
      </c>
      <c r="F45" s="185">
        <f>+E45*B45</f>
        <v>175.00000000000003</v>
      </c>
    </row>
    <row r="46" spans="1:9" x14ac:dyDescent="0.25">
      <c r="A46" s="121" t="s">
        <v>144</v>
      </c>
      <c r="B46" s="103"/>
      <c r="C46" s="122"/>
      <c r="D46" s="123"/>
      <c r="E46" s="124">
        <v>1.4999999999999999E-2</v>
      </c>
      <c r="F46" s="185">
        <f>+E46*B46</f>
        <v>0</v>
      </c>
    </row>
    <row r="47" spans="1:9" x14ac:dyDescent="0.25">
      <c r="A47" s="121" t="s">
        <v>145</v>
      </c>
      <c r="B47" s="103">
        <f>$I$23</f>
        <v>0</v>
      </c>
      <c r="C47" s="122"/>
      <c r="D47" s="123"/>
      <c r="E47" s="53"/>
      <c r="F47" s="125"/>
    </row>
    <row r="48" spans="1:9" x14ac:dyDescent="0.25">
      <c r="A48" s="121" t="s">
        <v>36</v>
      </c>
      <c r="B48" s="103"/>
      <c r="C48" s="122"/>
      <c r="D48" s="123">
        <v>40</v>
      </c>
      <c r="E48" s="53"/>
      <c r="F48" s="126">
        <v>48</v>
      </c>
    </row>
    <row r="49" spans="1:6" x14ac:dyDescent="0.25">
      <c r="A49" s="106" t="s">
        <v>37</v>
      </c>
      <c r="B49" s="103">
        <f>$D$41</f>
        <v>2500</v>
      </c>
      <c r="C49" s="53"/>
      <c r="D49" s="103"/>
      <c r="E49" s="127">
        <f>I21</f>
        <v>2.7E-2</v>
      </c>
      <c r="F49" s="126">
        <f>+E49*B49</f>
        <v>67.5</v>
      </c>
    </row>
    <row r="50" spans="1:6" x14ac:dyDescent="0.25">
      <c r="A50" s="112" t="s">
        <v>38</v>
      </c>
      <c r="B50" s="113"/>
      <c r="C50" s="114"/>
      <c r="D50" s="114"/>
      <c r="E50" s="114"/>
      <c r="F50" s="115"/>
    </row>
    <row r="51" spans="1:6" x14ac:dyDescent="0.25">
      <c r="A51" s="121" t="s">
        <v>62</v>
      </c>
      <c r="B51" s="103">
        <f>$I$22</f>
        <v>2500</v>
      </c>
      <c r="C51" s="122">
        <v>6.9000000000000006E-2</v>
      </c>
      <c r="D51" s="123">
        <f>C51*B51</f>
        <v>172.50000000000003</v>
      </c>
      <c r="E51" s="127">
        <v>8.5500000000000007E-2</v>
      </c>
      <c r="F51" s="126">
        <f>E51*B51</f>
        <v>213.75000000000003</v>
      </c>
    </row>
    <row r="52" spans="1:6" x14ac:dyDescent="0.25">
      <c r="A52" s="121" t="s">
        <v>64</v>
      </c>
      <c r="B52" s="117">
        <f>$D$41</f>
        <v>2500</v>
      </c>
      <c r="C52" s="122">
        <v>4.0000000000000001E-3</v>
      </c>
      <c r="D52" s="123">
        <f t="shared" ref="D52:D55" si="0">C52*B52</f>
        <v>10</v>
      </c>
      <c r="E52" s="127">
        <v>2.0199999999999999E-2</v>
      </c>
      <c r="F52" s="126">
        <f t="shared" ref="F52:F54" si="1">E52*B52</f>
        <v>50.5</v>
      </c>
    </row>
    <row r="53" spans="1:6" x14ac:dyDescent="0.25">
      <c r="A53" s="121" t="s">
        <v>65</v>
      </c>
      <c r="B53" s="103">
        <f>$I$22</f>
        <v>2500</v>
      </c>
      <c r="C53" s="122">
        <v>4.0099999999999997E-2</v>
      </c>
      <c r="D53" s="123">
        <f t="shared" si="0"/>
        <v>100.24999999999999</v>
      </c>
      <c r="E53" s="127">
        <v>6.0100000000000001E-2</v>
      </c>
      <c r="F53" s="126">
        <f t="shared" si="1"/>
        <v>150.25</v>
      </c>
    </row>
    <row r="54" spans="1:6" x14ac:dyDescent="0.25">
      <c r="A54" s="121" t="s">
        <v>146</v>
      </c>
      <c r="B54" s="103">
        <f>$I$23</f>
        <v>0</v>
      </c>
      <c r="C54" s="122">
        <v>9.7199999999999995E-2</v>
      </c>
      <c r="D54" s="123">
        <f t="shared" si="0"/>
        <v>0</v>
      </c>
      <c r="E54" s="127">
        <v>0.1457</v>
      </c>
      <c r="F54" s="126">
        <f t="shared" si="1"/>
        <v>0</v>
      </c>
    </row>
    <row r="55" spans="1:6" x14ac:dyDescent="0.25">
      <c r="A55" s="121" t="s">
        <v>147</v>
      </c>
      <c r="B55" s="103">
        <f>I24</f>
        <v>0</v>
      </c>
      <c r="C55" s="122">
        <v>1.4E-3</v>
      </c>
      <c r="D55" s="123">
        <f t="shared" si="0"/>
        <v>0</v>
      </c>
      <c r="E55" s="127">
        <v>2.0999999999999999E-3</v>
      </c>
      <c r="F55" s="126">
        <f>E55*B55</f>
        <v>0</v>
      </c>
    </row>
    <row r="56" spans="1:6" x14ac:dyDescent="0.25">
      <c r="A56" s="121" t="s">
        <v>148</v>
      </c>
      <c r="B56" s="103"/>
      <c r="C56" s="122"/>
      <c r="D56" s="123"/>
      <c r="E56" s="53"/>
      <c r="F56" s="126">
        <f>E56*B56</f>
        <v>0</v>
      </c>
    </row>
    <row r="57" spans="1:6" x14ac:dyDescent="0.25">
      <c r="A57" s="128" t="s">
        <v>149</v>
      </c>
      <c r="B57" s="117">
        <f>$D$41</f>
        <v>2500</v>
      </c>
      <c r="C57" s="129"/>
      <c r="D57" s="103"/>
      <c r="E57" s="130">
        <f>+I20</f>
        <v>3.4500000000000003E-2</v>
      </c>
      <c r="F57" s="126">
        <f>E57*B57</f>
        <v>86.250000000000014</v>
      </c>
    </row>
    <row r="58" spans="1:6" x14ac:dyDescent="0.25">
      <c r="A58" s="112" t="s">
        <v>63</v>
      </c>
      <c r="B58" s="131"/>
      <c r="C58" s="131"/>
      <c r="D58" s="131"/>
      <c r="E58" s="131"/>
      <c r="F58" s="132"/>
    </row>
    <row r="59" spans="1:6" x14ac:dyDescent="0.25">
      <c r="A59" s="121" t="s">
        <v>150</v>
      </c>
      <c r="B59" s="117">
        <f>$D$41</f>
        <v>2500</v>
      </c>
      <c r="C59" s="129"/>
      <c r="D59" s="103"/>
      <c r="E59" s="130">
        <v>4.2500000000000003E-2</v>
      </c>
      <c r="F59" s="126">
        <f t="shared" ref="F59:F60" si="2">E59*B59</f>
        <v>106.25000000000001</v>
      </c>
    </row>
    <row r="60" spans="1:6" x14ac:dyDescent="0.25">
      <c r="A60" s="121" t="s">
        <v>151</v>
      </c>
      <c r="B60" s="103">
        <f>I25</f>
        <v>0</v>
      </c>
      <c r="C60" s="133">
        <v>2.4000000000000001E-4</v>
      </c>
      <c r="D60" s="103">
        <f>+C60*B60</f>
        <v>0</v>
      </c>
      <c r="E60" s="130">
        <v>3.6000000000000002E-4</v>
      </c>
      <c r="F60" s="126">
        <f t="shared" si="2"/>
        <v>0</v>
      </c>
    </row>
    <row r="61" spans="1:6" x14ac:dyDescent="0.25">
      <c r="A61" s="112" t="s">
        <v>61</v>
      </c>
      <c r="B61" s="103"/>
      <c r="C61" s="129"/>
      <c r="D61" s="103"/>
      <c r="E61" s="130"/>
      <c r="F61" s="134">
        <f>D104</f>
        <v>41.150000000000006</v>
      </c>
    </row>
    <row r="62" spans="1:6" x14ac:dyDescent="0.25">
      <c r="A62" s="106"/>
      <c r="B62" s="103"/>
      <c r="C62" s="103"/>
      <c r="D62" s="103"/>
      <c r="E62" s="53"/>
      <c r="F62" s="54"/>
    </row>
    <row r="63" spans="1:6" x14ac:dyDescent="0.25">
      <c r="A63" s="135" t="s">
        <v>152</v>
      </c>
      <c r="B63" s="103"/>
      <c r="C63" s="103"/>
      <c r="D63" s="103"/>
      <c r="E63" s="53"/>
      <c r="F63" s="54"/>
    </row>
    <row r="64" spans="1:6" x14ac:dyDescent="0.25">
      <c r="A64" s="106"/>
      <c r="B64" s="103"/>
      <c r="C64" s="133"/>
      <c r="D64" s="103"/>
      <c r="E64" s="103"/>
      <c r="F64" s="134"/>
    </row>
    <row r="65" spans="1:6" x14ac:dyDescent="0.25">
      <c r="A65" s="106" t="s">
        <v>153</v>
      </c>
      <c r="B65" s="103">
        <f>($D$41*0.9825)+F46+F47+F48</f>
        <v>2504.25</v>
      </c>
      <c r="C65" s="122">
        <v>6.8000000000000005E-2</v>
      </c>
      <c r="D65" s="123">
        <f>C65*B65</f>
        <v>170.28900000000002</v>
      </c>
      <c r="E65" s="103"/>
      <c r="F65" s="134"/>
    </row>
    <row r="66" spans="1:6" x14ac:dyDescent="0.25">
      <c r="A66" s="106" t="s">
        <v>154</v>
      </c>
      <c r="B66" s="103">
        <f>B65</f>
        <v>2504.25</v>
      </c>
      <c r="C66" s="122">
        <v>2.9000000000000001E-2</v>
      </c>
      <c r="D66" s="123">
        <f>C66*B66</f>
        <v>72.623249999999999</v>
      </c>
      <c r="E66" s="136"/>
      <c r="F66" s="126"/>
    </row>
    <row r="67" spans="1:6" x14ac:dyDescent="0.25">
      <c r="A67" s="137" t="s">
        <v>155</v>
      </c>
      <c r="B67" s="103">
        <f>(D24+D25)*0.9825</f>
        <v>0</v>
      </c>
      <c r="C67" s="122">
        <v>9.7000000000000003E-2</v>
      </c>
      <c r="D67" s="123">
        <f>C67*B67</f>
        <v>0</v>
      </c>
      <c r="E67" s="127"/>
      <c r="F67" s="126"/>
    </row>
    <row r="68" spans="1:6" x14ac:dyDescent="0.25">
      <c r="A68" s="137"/>
      <c r="B68" s="103"/>
      <c r="C68" s="122"/>
      <c r="D68" s="123"/>
      <c r="E68" s="127"/>
      <c r="F68" s="126"/>
    </row>
    <row r="69" spans="1:6" x14ac:dyDescent="0.25">
      <c r="A69" s="409" t="s">
        <v>267</v>
      </c>
      <c r="B69" s="103"/>
      <c r="C69" s="122"/>
      <c r="D69" s="123"/>
      <c r="E69" s="127"/>
      <c r="F69" s="126">
        <f>-I26</f>
        <v>-173.99999999999989</v>
      </c>
    </row>
    <row r="70" spans="1:6" x14ac:dyDescent="0.25">
      <c r="A70" s="106"/>
      <c r="B70" s="138"/>
      <c r="C70" s="53"/>
      <c r="D70" s="123"/>
      <c r="E70" s="123"/>
      <c r="F70" s="134"/>
    </row>
    <row r="71" spans="1:6" x14ac:dyDescent="0.25">
      <c r="A71" s="106" t="s">
        <v>39</v>
      </c>
      <c r="B71" s="123"/>
      <c r="C71" s="139"/>
      <c r="D71" s="140">
        <f>SUM(D45:D70)</f>
        <v>565.66224999999997</v>
      </c>
      <c r="E71" s="127"/>
      <c r="F71" s="141">
        <f>SUM(F45:F70)</f>
        <v>764.65000000000009</v>
      </c>
    </row>
    <row r="72" spans="1:6" x14ac:dyDescent="0.25">
      <c r="A72" s="106"/>
      <c r="B72" s="123"/>
      <c r="C72" s="139"/>
      <c r="D72" s="140"/>
      <c r="E72" s="53"/>
      <c r="F72" s="54"/>
    </row>
    <row r="73" spans="1:6" x14ac:dyDescent="0.25">
      <c r="A73" s="121" t="s">
        <v>156</v>
      </c>
      <c r="B73" s="123"/>
      <c r="C73" s="139"/>
      <c r="D73" s="142"/>
      <c r="E73" s="140"/>
      <c r="F73" s="141"/>
    </row>
    <row r="74" spans="1:6" x14ac:dyDescent="0.25">
      <c r="A74" s="121" t="s">
        <v>123</v>
      </c>
      <c r="B74" s="123"/>
      <c r="C74" s="139"/>
      <c r="D74" s="142"/>
      <c r="E74" s="140"/>
      <c r="F74" s="141"/>
    </row>
    <row r="75" spans="1:6" x14ac:dyDescent="0.25">
      <c r="A75" s="121" t="s">
        <v>157</v>
      </c>
      <c r="B75" s="123"/>
      <c r="C75" s="139"/>
      <c r="D75" s="142"/>
      <c r="E75" s="140"/>
      <c r="F75" s="141"/>
    </row>
    <row r="76" spans="1:6" x14ac:dyDescent="0.25">
      <c r="A76" s="121" t="s">
        <v>158</v>
      </c>
      <c r="B76" s="123"/>
      <c r="C76" s="139"/>
      <c r="D76" s="142"/>
      <c r="E76" s="140"/>
      <c r="F76" s="141"/>
    </row>
    <row r="77" spans="1:6" x14ac:dyDescent="0.25">
      <c r="A77" s="121"/>
      <c r="B77" s="123"/>
      <c r="C77" s="139"/>
      <c r="D77" s="142"/>
      <c r="E77" s="140"/>
      <c r="F77" s="141"/>
    </row>
    <row r="78" spans="1:6" x14ac:dyDescent="0.25">
      <c r="A78" s="121"/>
      <c r="B78" s="123"/>
      <c r="C78" s="139"/>
      <c r="D78" s="142"/>
      <c r="E78" s="140"/>
      <c r="F78" s="141"/>
    </row>
    <row r="79" spans="1:6" ht="15.75" customHeight="1" x14ac:dyDescent="0.25">
      <c r="A79" s="106" t="s">
        <v>293</v>
      </c>
      <c r="B79" s="123"/>
      <c r="C79" s="139"/>
      <c r="D79" s="140"/>
      <c r="E79" s="140"/>
      <c r="F79" s="126">
        <f>D41-D71</f>
        <v>1934.3377500000001</v>
      </c>
    </row>
    <row r="80" spans="1:6" x14ac:dyDescent="0.25">
      <c r="A80" s="143" t="s">
        <v>40</v>
      </c>
      <c r="B80" s="123"/>
      <c r="C80" s="139"/>
      <c r="D80" s="140"/>
      <c r="E80" s="140"/>
      <c r="F80" s="144">
        <f>D41-D71+D73+D74+D75+D76+D77+D78+D79</f>
        <v>1934.3377500000001</v>
      </c>
    </row>
    <row r="81" spans="1:9" ht="33" x14ac:dyDescent="0.25">
      <c r="A81" s="106" t="s">
        <v>41</v>
      </c>
      <c r="B81" s="145"/>
      <c r="C81" s="146"/>
      <c r="D81" s="142"/>
      <c r="E81" s="142"/>
      <c r="F81" s="147">
        <f>D111</f>
        <v>36.177749999999996</v>
      </c>
    </row>
    <row r="82" spans="1:9" x14ac:dyDescent="0.25">
      <c r="A82" s="581" t="s">
        <v>42</v>
      </c>
      <c r="B82" s="581" t="s">
        <v>43</v>
      </c>
      <c r="C82" s="581" t="s">
        <v>22</v>
      </c>
      <c r="D82" s="581" t="s">
        <v>159</v>
      </c>
      <c r="E82" s="581"/>
      <c r="F82" s="581" t="s">
        <v>269</v>
      </c>
    </row>
    <row r="83" spans="1:9" x14ac:dyDescent="0.25">
      <c r="A83" s="582" t="s">
        <v>42</v>
      </c>
      <c r="B83" s="582"/>
      <c r="C83" s="582"/>
      <c r="D83" s="582"/>
      <c r="E83" s="582"/>
      <c r="F83" s="582"/>
    </row>
    <row r="84" spans="1:9" x14ac:dyDescent="0.25">
      <c r="A84" s="433" t="s">
        <v>270</v>
      </c>
      <c r="B84" s="434"/>
      <c r="C84" s="423"/>
      <c r="D84" s="435">
        <f>D41+F48+D66-D71</f>
        <v>2054.9610000000002</v>
      </c>
      <c r="E84" s="436"/>
      <c r="F84" s="437">
        <f>D84*5</f>
        <v>10274.805</v>
      </c>
    </row>
    <row r="85" spans="1:9" x14ac:dyDescent="0.25">
      <c r="A85" s="433" t="s">
        <v>271</v>
      </c>
      <c r="B85" s="438">
        <f>D84</f>
        <v>2054.9610000000002</v>
      </c>
      <c r="C85" s="439">
        <f>I35</f>
        <v>3.5000000000000003E-2</v>
      </c>
      <c r="D85" s="435">
        <f>C85*B85</f>
        <v>71.923635000000019</v>
      </c>
      <c r="E85" s="436"/>
      <c r="F85" s="437">
        <f>D85*5</f>
        <v>359.61817500000006</v>
      </c>
    </row>
    <row r="86" spans="1:9" x14ac:dyDescent="0.25">
      <c r="A86" s="433" t="s">
        <v>272</v>
      </c>
      <c r="B86" s="150"/>
      <c r="C86" s="108"/>
      <c r="D86" s="151"/>
      <c r="E86" s="151"/>
      <c r="F86" s="149"/>
    </row>
    <row r="87" spans="1:9" x14ac:dyDescent="0.25">
      <c r="A87" s="421" t="s">
        <v>273</v>
      </c>
      <c r="B87" s="148"/>
      <c r="C87" s="152"/>
      <c r="D87" s="532">
        <f>F80-D85</f>
        <v>1862.414115</v>
      </c>
      <c r="E87" s="151"/>
      <c r="F87" s="437">
        <f t="shared" ref="F87:F89" si="3">D87*5</f>
        <v>9312.0705749999997</v>
      </c>
    </row>
    <row r="88" spans="1:9" x14ac:dyDescent="0.25">
      <c r="A88" s="433" t="s">
        <v>274</v>
      </c>
      <c r="B88" s="151"/>
      <c r="C88" s="151"/>
      <c r="D88" s="532">
        <f>D119</f>
        <v>368.99999999999989</v>
      </c>
      <c r="E88" s="151"/>
      <c r="F88" s="437">
        <f t="shared" si="3"/>
        <v>1844.9999999999995</v>
      </c>
    </row>
    <row r="89" spans="1:9" x14ac:dyDescent="0.25">
      <c r="A89" s="433" t="s">
        <v>275</v>
      </c>
      <c r="B89" s="151"/>
      <c r="C89" s="151"/>
      <c r="D89" s="532">
        <f>D41+F71</f>
        <v>3264.65</v>
      </c>
      <c r="E89" s="151"/>
      <c r="F89" s="437">
        <f t="shared" si="3"/>
        <v>16323.25</v>
      </c>
    </row>
    <row r="90" spans="1:9" ht="17.25" thickBot="1" x14ac:dyDescent="0.3">
      <c r="A90" s="153" t="s">
        <v>161</v>
      </c>
      <c r="B90" s="154"/>
      <c r="C90" s="154"/>
      <c r="D90" s="154"/>
      <c r="E90" s="154"/>
      <c r="F90" s="155"/>
    </row>
    <row r="93" spans="1:9" ht="17.25" thickBot="1" x14ac:dyDescent="0.3">
      <c r="A93" s="561" t="s">
        <v>61</v>
      </c>
      <c r="B93" s="562"/>
      <c r="I93" s="156"/>
    </row>
    <row r="94" spans="1:9" x14ac:dyDescent="0.25">
      <c r="A94" s="44"/>
      <c r="B94" s="583">
        <f>D41</f>
        <v>2500</v>
      </c>
      <c r="C94" s="566">
        <f>0.016%+0.3%+0.68%+0.55%</f>
        <v>1.5460000000000002E-2</v>
      </c>
      <c r="D94" s="586">
        <f>C94*B94</f>
        <v>38.650000000000006</v>
      </c>
      <c r="I94" s="156"/>
    </row>
    <row r="95" spans="1:9" x14ac:dyDescent="0.25">
      <c r="A95" s="45" t="s">
        <v>162</v>
      </c>
      <c r="B95" s="584"/>
      <c r="C95" s="567"/>
      <c r="D95" s="587"/>
      <c r="E95" s="156"/>
      <c r="F95" s="156"/>
      <c r="G95" s="156"/>
      <c r="I95" s="156"/>
    </row>
    <row r="96" spans="1:9" s="156" customFormat="1" x14ac:dyDescent="0.25">
      <c r="A96" s="45" t="s">
        <v>67</v>
      </c>
      <c r="B96" s="584"/>
      <c r="C96" s="567"/>
      <c r="D96" s="587"/>
      <c r="H96" s="51"/>
    </row>
    <row r="97" spans="1:4" s="156" customFormat="1" ht="15" x14ac:dyDescent="0.25">
      <c r="A97" s="45" t="s">
        <v>68</v>
      </c>
      <c r="B97" s="584"/>
      <c r="C97" s="567"/>
      <c r="D97" s="587"/>
    </row>
    <row r="98" spans="1:4" s="156" customFormat="1" ht="15" x14ac:dyDescent="0.25">
      <c r="A98" s="45" t="s">
        <v>69</v>
      </c>
      <c r="B98" s="584"/>
      <c r="C98" s="567"/>
      <c r="D98" s="587"/>
    </row>
    <row r="99" spans="1:4" s="156" customFormat="1" ht="15" x14ac:dyDescent="0.25">
      <c r="A99" s="45" t="s">
        <v>163</v>
      </c>
      <c r="B99" s="584"/>
      <c r="C99" s="567"/>
      <c r="D99" s="587"/>
    </row>
    <row r="100" spans="1:4" s="156" customFormat="1" ht="15.75" thickBot="1" x14ac:dyDescent="0.3">
      <c r="A100" s="46" t="s">
        <v>297</v>
      </c>
      <c r="B100" s="585"/>
      <c r="C100" s="568"/>
      <c r="D100" s="588"/>
    </row>
    <row r="101" spans="1:4" s="156" customFormat="1" ht="17.25" thickBot="1" x14ac:dyDescent="0.3">
      <c r="A101" s="51"/>
      <c r="B101" s="157"/>
      <c r="C101" s="157"/>
      <c r="D101" s="157"/>
    </row>
    <row r="102" spans="1:4" s="156" customFormat="1" ht="17.25" thickBot="1" x14ac:dyDescent="0.3">
      <c r="A102" s="158" t="s">
        <v>70</v>
      </c>
      <c r="B102" s="159">
        <f>I22</f>
        <v>2500</v>
      </c>
      <c r="C102" s="160">
        <v>1E-3</v>
      </c>
      <c r="D102" s="161">
        <f>C102*B102</f>
        <v>2.5</v>
      </c>
    </row>
    <row r="103" spans="1:4" s="156" customFormat="1" ht="17.25" thickBot="1" x14ac:dyDescent="0.3">
      <c r="A103" s="51"/>
      <c r="B103" s="51"/>
      <c r="C103" s="51"/>
      <c r="D103" s="51"/>
    </row>
    <row r="104" spans="1:4" s="156" customFormat="1" ht="17.25" thickBot="1" x14ac:dyDescent="0.3">
      <c r="A104" s="162" t="s">
        <v>71</v>
      </c>
      <c r="B104" s="163"/>
      <c r="C104" s="163"/>
      <c r="D104" s="164">
        <f>D94+D102</f>
        <v>41.150000000000006</v>
      </c>
    </row>
    <row r="105" spans="1:4" s="156" customFormat="1" ht="17.25" thickBot="1" x14ac:dyDescent="0.3">
      <c r="A105" s="51"/>
      <c r="B105" s="51"/>
      <c r="C105" s="51"/>
      <c r="D105" s="51"/>
    </row>
    <row r="106" spans="1:4" s="156" customFormat="1" x14ac:dyDescent="0.25">
      <c r="A106" s="572" t="s">
        <v>72</v>
      </c>
      <c r="B106" s="573"/>
      <c r="C106" s="573"/>
      <c r="D106" s="574"/>
    </row>
    <row r="107" spans="1:4" s="156" customFormat="1" x14ac:dyDescent="0.25">
      <c r="A107" s="165" t="s">
        <v>73</v>
      </c>
      <c r="B107" s="166">
        <f>B102</f>
        <v>2500</v>
      </c>
      <c r="C107" s="167">
        <v>2.4E-2</v>
      </c>
      <c r="D107" s="168">
        <f>C107*B107</f>
        <v>60</v>
      </c>
    </row>
    <row r="108" spans="1:4" s="156" customFormat="1" x14ac:dyDescent="0.25">
      <c r="A108" s="165" t="s">
        <v>74</v>
      </c>
      <c r="B108" s="166">
        <f>B107</f>
        <v>2500</v>
      </c>
      <c r="C108" s="167">
        <v>7.4999999999999997E-3</v>
      </c>
      <c r="D108" s="168">
        <f t="shared" ref="D108:D109" si="4">C108*B108</f>
        <v>18.75</v>
      </c>
    </row>
    <row r="109" spans="1:4" s="156" customFormat="1" x14ac:dyDescent="0.25">
      <c r="A109" s="165" t="s">
        <v>75</v>
      </c>
      <c r="B109" s="166">
        <f>B66+B67</f>
        <v>2504.25</v>
      </c>
      <c r="C109" s="167">
        <v>-1.7000000000000001E-2</v>
      </c>
      <c r="D109" s="168">
        <f t="shared" si="4"/>
        <v>-42.572250000000004</v>
      </c>
    </row>
    <row r="110" spans="1:4" s="156" customFormat="1" x14ac:dyDescent="0.25">
      <c r="A110" s="169"/>
      <c r="B110" s="170"/>
      <c r="C110" s="171"/>
      <c r="D110" s="172"/>
    </row>
    <row r="111" spans="1:4" s="156" customFormat="1" ht="17.25" thickBot="1" x14ac:dyDescent="0.3">
      <c r="A111" s="173" t="s">
        <v>76</v>
      </c>
      <c r="B111" s="174"/>
      <c r="C111" s="175"/>
      <c r="D111" s="176">
        <f>SUM(D107:D110)</f>
        <v>36.177749999999996</v>
      </c>
    </row>
    <row r="112" spans="1:4" s="156" customFormat="1" ht="15" x14ac:dyDescent="0.25"/>
    <row r="113" spans="1:9" s="156" customFormat="1" ht="15.75" thickBot="1" x14ac:dyDescent="0.3"/>
    <row r="114" spans="1:9" s="156" customFormat="1" ht="17.25" thickBot="1" x14ac:dyDescent="0.3">
      <c r="A114" s="575" t="s">
        <v>82</v>
      </c>
      <c r="B114" s="576"/>
      <c r="C114" s="576"/>
      <c r="D114" s="577"/>
    </row>
    <row r="115" spans="1:9" s="156" customFormat="1" x14ac:dyDescent="0.25">
      <c r="A115" s="177" t="s">
        <v>77</v>
      </c>
      <c r="B115" s="178"/>
      <c r="C115" s="178"/>
      <c r="D115" s="179">
        <f>I26</f>
        <v>173.99999999999989</v>
      </c>
    </row>
    <row r="116" spans="1:9" s="156" customFormat="1" x14ac:dyDescent="0.25">
      <c r="A116" s="165" t="s">
        <v>78</v>
      </c>
      <c r="B116" s="180">
        <f>B24+B25</f>
        <v>0</v>
      </c>
      <c r="C116" s="181">
        <v>1.5</v>
      </c>
      <c r="D116" s="182">
        <f>C116*B116</f>
        <v>0</v>
      </c>
    </row>
    <row r="117" spans="1:9" s="156" customFormat="1" x14ac:dyDescent="0.25">
      <c r="A117" s="165" t="s">
        <v>79</v>
      </c>
      <c r="B117" s="166">
        <f>B107</f>
        <v>2500</v>
      </c>
      <c r="C117" s="167">
        <v>1.7999999999999999E-2</v>
      </c>
      <c r="D117" s="182">
        <f>C117*B117</f>
        <v>45</v>
      </c>
    </row>
    <row r="118" spans="1:9" s="156" customFormat="1" ht="15.75" customHeight="1" x14ac:dyDescent="0.25">
      <c r="A118" s="165" t="s">
        <v>80</v>
      </c>
      <c r="B118" s="166">
        <f>B117</f>
        <v>2500</v>
      </c>
      <c r="C118" s="167">
        <v>0.06</v>
      </c>
      <c r="D118" s="182">
        <f>C118*B118</f>
        <v>150</v>
      </c>
    </row>
    <row r="119" spans="1:9" s="156" customFormat="1" ht="15.75" customHeight="1" thickBot="1" x14ac:dyDescent="0.3">
      <c r="A119" s="173" t="s">
        <v>81</v>
      </c>
      <c r="B119" s="183"/>
      <c r="C119" s="183"/>
      <c r="D119" s="184">
        <f>SUM(D115:D118)</f>
        <v>368.99999999999989</v>
      </c>
    </row>
    <row r="120" spans="1:9" s="156" customFormat="1" ht="15.75" customHeight="1" x14ac:dyDescent="0.25">
      <c r="A120" s="51"/>
      <c r="B120" s="51"/>
      <c r="C120" s="51"/>
      <c r="D120" s="51"/>
      <c r="H120" s="51"/>
      <c r="I120" s="51"/>
    </row>
    <row r="121" spans="1:9" s="156" customFormat="1" ht="15.75" customHeight="1" thickBot="1" x14ac:dyDescent="0.3">
      <c r="A121" s="548" t="s">
        <v>226</v>
      </c>
      <c r="B121" s="549"/>
      <c r="C121" s="549"/>
      <c r="D121" s="549"/>
      <c r="E121" s="549"/>
      <c r="F121" s="549"/>
      <c r="G121" s="549"/>
      <c r="H121" s="549"/>
      <c r="I121" s="51"/>
    </row>
    <row r="122" spans="1:9" s="156" customFormat="1" ht="15.75" customHeight="1" thickBot="1" x14ac:dyDescent="0.3">
      <c r="A122" s="226" t="s">
        <v>202</v>
      </c>
      <c r="B122" s="227">
        <v>0.31940000000000002</v>
      </c>
      <c r="C122" s="1"/>
      <c r="D122" s="1"/>
      <c r="E122" s="1"/>
      <c r="F122" s="1"/>
      <c r="G122" s="1"/>
      <c r="H122" s="1"/>
      <c r="I122" s="51"/>
    </row>
    <row r="123" spans="1:9" ht="17.25" thickBot="1" x14ac:dyDescent="0.3">
      <c r="A123" s="1"/>
      <c r="B123" s="1"/>
      <c r="C123" s="1"/>
      <c r="D123" s="1"/>
      <c r="E123" s="1"/>
      <c r="F123" s="1"/>
      <c r="G123" s="1"/>
      <c r="H123" s="1"/>
    </row>
    <row r="124" spans="1:9" ht="30" x14ac:dyDescent="0.25">
      <c r="A124" s="13" t="s">
        <v>90</v>
      </c>
      <c r="B124" s="6" t="s">
        <v>203</v>
      </c>
      <c r="C124" s="6" t="s">
        <v>204</v>
      </c>
      <c r="D124" s="209" t="s">
        <v>175</v>
      </c>
      <c r="E124" s="191" t="s">
        <v>205</v>
      </c>
      <c r="F124" s="191" t="s">
        <v>206</v>
      </c>
      <c r="G124" s="191" t="s">
        <v>207</v>
      </c>
      <c r="H124" s="192" t="s">
        <v>227</v>
      </c>
    </row>
    <row r="125" spans="1:9" x14ac:dyDescent="0.25">
      <c r="A125" s="14" t="s">
        <v>210</v>
      </c>
      <c r="B125" s="228">
        <f>$D$41</f>
        <v>2500</v>
      </c>
      <c r="C125" s="229">
        <f>B125</f>
        <v>2500</v>
      </c>
      <c r="D125" s="535">
        <f>11.65*151.6667</f>
        <v>1766.9170549999999</v>
      </c>
      <c r="E125" s="228">
        <f>+D125</f>
        <v>1766.9170549999999</v>
      </c>
      <c r="F125" s="231">
        <f>ROUND(($B$122/0.6)*((1.6*E125/C125)-1),4)</f>
        <v>6.9599999999999995E-2</v>
      </c>
      <c r="G125" s="229">
        <f>IF(F125&gt;0,F125*C125,0)</f>
        <v>174</v>
      </c>
      <c r="H125" s="248">
        <f>G125</f>
        <v>174</v>
      </c>
    </row>
    <row r="126" spans="1:9" x14ac:dyDescent="0.25">
      <c r="A126" s="14" t="s">
        <v>211</v>
      </c>
      <c r="B126" s="228">
        <f t="shared" ref="B126:B129" si="5">$D$41</f>
        <v>2500</v>
      </c>
      <c r="C126" s="229">
        <f>C125+B126</f>
        <v>5000</v>
      </c>
      <c r="D126" s="535">
        <f t="shared" ref="D126:D129" si="6">11.65*151.6667</f>
        <v>1766.9170549999999</v>
      </c>
      <c r="E126" s="228">
        <f>D126+E125</f>
        <v>3533.8341099999998</v>
      </c>
      <c r="F126" s="231">
        <f t="shared" ref="F126:F129" si="7">ROUND(($B$122/0.6)*((1.6*E126/C126)-1),4)</f>
        <v>6.9599999999999995E-2</v>
      </c>
      <c r="G126" s="229">
        <f t="shared" ref="G126:G129" si="8">IF(F126&gt;0,F126*C126,0)</f>
        <v>348</v>
      </c>
      <c r="H126" s="248">
        <f>G126-G125</f>
        <v>174</v>
      </c>
    </row>
    <row r="127" spans="1:9" x14ac:dyDescent="0.25">
      <c r="A127" s="14" t="s">
        <v>212</v>
      </c>
      <c r="B127" s="228">
        <f t="shared" si="5"/>
        <v>2500</v>
      </c>
      <c r="C127" s="229">
        <f t="shared" ref="C127:C129" si="9">C126+B127</f>
        <v>7500</v>
      </c>
      <c r="D127" s="535">
        <f t="shared" si="6"/>
        <v>1766.9170549999999</v>
      </c>
      <c r="E127" s="228">
        <f t="shared" ref="E127:E129" si="10">D127+E126</f>
        <v>5300.7511649999997</v>
      </c>
      <c r="F127" s="231">
        <f t="shared" si="7"/>
        <v>6.9599999999999995E-2</v>
      </c>
      <c r="G127" s="229">
        <f t="shared" si="8"/>
        <v>522</v>
      </c>
      <c r="H127" s="248">
        <f t="shared" ref="H127:H129" si="11">G127-G126</f>
        <v>174</v>
      </c>
    </row>
    <row r="128" spans="1:9" x14ac:dyDescent="0.25">
      <c r="A128" s="14" t="s">
        <v>213</v>
      </c>
      <c r="B128" s="228">
        <f t="shared" si="5"/>
        <v>2500</v>
      </c>
      <c r="C128" s="229">
        <f t="shared" si="9"/>
        <v>10000</v>
      </c>
      <c r="D128" s="535">
        <f t="shared" si="6"/>
        <v>1766.9170549999999</v>
      </c>
      <c r="E128" s="228">
        <f t="shared" si="10"/>
        <v>7067.6682199999996</v>
      </c>
      <c r="F128" s="231">
        <f t="shared" si="7"/>
        <v>6.9599999999999995E-2</v>
      </c>
      <c r="G128" s="229">
        <f t="shared" si="8"/>
        <v>696</v>
      </c>
      <c r="H128" s="248">
        <f t="shared" si="11"/>
        <v>174</v>
      </c>
    </row>
    <row r="129" spans="1:8" x14ac:dyDescent="0.25">
      <c r="A129" s="14" t="s">
        <v>214</v>
      </c>
      <c r="B129" s="228">
        <f t="shared" si="5"/>
        <v>2500</v>
      </c>
      <c r="C129" s="229">
        <f t="shared" si="9"/>
        <v>12500</v>
      </c>
      <c r="D129" s="535">
        <f t="shared" si="6"/>
        <v>1766.9170549999999</v>
      </c>
      <c r="E129" s="228">
        <f t="shared" si="10"/>
        <v>8834.5852749999995</v>
      </c>
      <c r="F129" s="231">
        <f t="shared" si="7"/>
        <v>6.9599999999999995E-2</v>
      </c>
      <c r="G129" s="229">
        <f t="shared" si="8"/>
        <v>869.99999999999989</v>
      </c>
      <c r="H129" s="248">
        <f t="shared" si="11"/>
        <v>173.99999999999989</v>
      </c>
    </row>
    <row r="130" spans="1:8" x14ac:dyDescent="0.25">
      <c r="A130" s="14" t="s">
        <v>215</v>
      </c>
      <c r="B130" s="228"/>
      <c r="C130" s="229"/>
      <c r="D130" s="230"/>
      <c r="E130" s="228"/>
      <c r="F130" s="231"/>
      <c r="G130" s="231"/>
      <c r="H130" s="249"/>
    </row>
    <row r="131" spans="1:8" x14ac:dyDescent="0.25">
      <c r="A131" s="14" t="s">
        <v>216</v>
      </c>
      <c r="B131" s="228"/>
      <c r="C131" s="228"/>
      <c r="D131" s="228"/>
      <c r="E131" s="228"/>
      <c r="F131" s="228"/>
      <c r="G131" s="228"/>
      <c r="H131" s="250"/>
    </row>
    <row r="132" spans="1:8" x14ac:dyDescent="0.25">
      <c r="A132" s="14" t="s">
        <v>217</v>
      </c>
      <c r="B132" s="228"/>
      <c r="C132" s="228"/>
      <c r="D132" s="228"/>
      <c r="E132" s="228"/>
      <c r="F132" s="228"/>
      <c r="G132" s="228"/>
      <c r="H132" s="250"/>
    </row>
    <row r="133" spans="1:8" x14ac:dyDescent="0.25">
      <c r="A133" s="14" t="s">
        <v>218</v>
      </c>
      <c r="B133" s="228"/>
      <c r="C133" s="228"/>
      <c r="D133" s="228"/>
      <c r="E133" s="228"/>
      <c r="F133" s="228"/>
      <c r="G133" s="228"/>
      <c r="H133" s="250"/>
    </row>
    <row r="134" spans="1:8" x14ac:dyDescent="0.25">
      <c r="A134" s="14" t="s">
        <v>219</v>
      </c>
      <c r="B134" s="228"/>
      <c r="C134" s="228"/>
      <c r="D134" s="228"/>
      <c r="E134" s="228"/>
      <c r="F134" s="228"/>
      <c r="G134" s="228"/>
      <c r="H134" s="250"/>
    </row>
    <row r="135" spans="1:8" x14ac:dyDescent="0.25">
      <c r="A135" s="14" t="s">
        <v>220</v>
      </c>
      <c r="B135" s="228"/>
      <c r="C135" s="228"/>
      <c r="D135" s="228"/>
      <c r="E135" s="228"/>
      <c r="F135" s="228"/>
      <c r="G135" s="228"/>
      <c r="H135" s="250"/>
    </row>
    <row r="136" spans="1:8" ht="17.25" thickBot="1" x14ac:dyDescent="0.3">
      <c r="A136" s="18" t="s">
        <v>221</v>
      </c>
      <c r="B136" s="235"/>
      <c r="C136" s="235"/>
      <c r="D136" s="235"/>
      <c r="E136" s="235"/>
      <c r="F136" s="235"/>
      <c r="G136" s="235"/>
      <c r="H136" s="251"/>
    </row>
    <row r="137" spans="1:8" x14ac:dyDescent="0.25">
      <c r="H137" s="1"/>
    </row>
  </sheetData>
  <mergeCells count="15">
    <mergeCell ref="B17:C17"/>
    <mergeCell ref="E17:F17"/>
    <mergeCell ref="A82:A83"/>
    <mergeCell ref="B82:B83"/>
    <mergeCell ref="D82:D83"/>
    <mergeCell ref="C82:C83"/>
    <mergeCell ref="E82:E83"/>
    <mergeCell ref="F82:F83"/>
    <mergeCell ref="A121:H121"/>
    <mergeCell ref="A93:B93"/>
    <mergeCell ref="B94:B100"/>
    <mergeCell ref="C94:C100"/>
    <mergeCell ref="D94:D100"/>
    <mergeCell ref="A106:D106"/>
    <mergeCell ref="A114:D1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SALARIES</vt:lpstr>
      <vt:lpstr>CONDITIONS PARTICULIERES</vt:lpstr>
      <vt:lpstr>SALAIRES</vt:lpstr>
      <vt:lpstr>CALENDRIER DU MOIS DE MAI</vt:lpstr>
      <vt:lpstr>MAQUETTE DE BULLETIN (2)</vt:lpstr>
      <vt:lpstr>DUMAINE BULLETIN</vt:lpstr>
      <vt:lpstr>Feuil1</vt:lpstr>
      <vt:lpstr>VALETTE BULLETIN</vt:lpstr>
      <vt:lpstr>HERMAN BULLETIN</vt:lpstr>
      <vt:lpstr>DUMOULINS BULLETIN</vt:lpstr>
      <vt:lpstr>LAMBERT BULLETIN</vt:lpstr>
      <vt:lpstr>REGULARISATION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ARKHOS</dc:creator>
  <cp:lastModifiedBy>alain henry</cp:lastModifiedBy>
  <dcterms:created xsi:type="dcterms:W3CDTF">2019-05-13T15:16:04Z</dcterms:created>
  <dcterms:modified xsi:type="dcterms:W3CDTF">2024-06-21T05:32:44Z</dcterms:modified>
</cp:coreProperties>
</file>