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EMP\Desktop\foad paie 2020\PAIE N5\21-DEUXIEME CAS DE PREPARATION A EXAMEN\"/>
    </mc:Choice>
  </mc:AlternateContent>
  <xr:revisionPtr revIDLastSave="0" documentId="13_ncr:1_{5EEC32A8-A89E-4C38-A41C-668BDCAA180B}" xr6:coauthVersionLast="47" xr6:coauthVersionMax="47" xr10:uidLastSave="{00000000-0000-0000-0000-000000000000}"/>
  <bookViews>
    <workbookView xWindow="49080" yWindow="-660" windowWidth="29040" windowHeight="15840" firstSheet="4" activeTab="8" xr2:uid="{299CB6D5-3387-4B03-8506-2028F2DBCFE9}"/>
  </bookViews>
  <sheets>
    <sheet name="ENONCE A LIRE" sheetId="28" r:id="rId1"/>
    <sheet name="SALARIES" sheetId="22" r:id="rId2"/>
    <sheet name="CONDITIONS PARTICULIERES" sheetId="23" r:id="rId3"/>
    <sheet name="SALAIRES" sheetId="24" r:id="rId4"/>
    <sheet name="CALENDRIER DU MOIS DE MAI" sheetId="25" r:id="rId5"/>
    <sheet name="DUMAINE" sheetId="5" r:id="rId6"/>
    <sheet name="VALETTE BULLETIN" sheetId="6" r:id="rId7"/>
    <sheet name="HERMAN BULLETIN" sheetId="7" r:id="rId8"/>
    <sheet name="DUMOULINS BULLETIN" sheetId="8" r:id="rId9"/>
    <sheet name="LAMBERT BULLETIN"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8" l="1"/>
  <c r="Q9" i="6"/>
  <c r="Q8" i="6"/>
  <c r="Q7" i="6"/>
  <c r="L9" i="6"/>
  <c r="K9" i="6"/>
  <c r="P9" i="6" s="1"/>
  <c r="B7" i="6"/>
  <c r="P11" i="6"/>
  <c r="K8" i="6"/>
  <c r="K7" i="6"/>
  <c r="K11" i="6" s="1"/>
  <c r="I13" i="6"/>
  <c r="F28" i="5"/>
  <c r="C85" i="5"/>
  <c r="B22" i="5"/>
  <c r="F30" i="8" l="1"/>
  <c r="F31" i="7"/>
  <c r="F77" i="5"/>
  <c r="F73" i="5"/>
  <c r="G79" i="7"/>
  <c r="F79" i="7"/>
  <c r="F78" i="7"/>
  <c r="F77" i="7"/>
  <c r="F76" i="7"/>
  <c r="F75" i="7"/>
  <c r="D77" i="7"/>
  <c r="D78" i="7"/>
  <c r="D76" i="7"/>
  <c r="D79" i="7"/>
  <c r="F78" i="8"/>
  <c r="F74" i="8"/>
  <c r="D78" i="8"/>
  <c r="D75" i="8"/>
  <c r="D76" i="8"/>
  <c r="D77" i="8"/>
  <c r="D74" i="8"/>
  <c r="F12" i="8"/>
  <c r="D12" i="8"/>
  <c r="F12" i="7"/>
  <c r="D12" i="7"/>
  <c r="F16" i="6"/>
  <c r="D16" i="6"/>
  <c r="F13" i="5"/>
  <c r="D13" i="5"/>
  <c r="D39" i="8" l="1"/>
  <c r="D37" i="7"/>
  <c r="E73" i="5"/>
  <c r="E74" i="5" s="1"/>
  <c r="E75" i="5" s="1"/>
  <c r="E76" i="5" s="1"/>
  <c r="C83" i="5"/>
  <c r="C73" i="5"/>
  <c r="C74" i="5" s="1"/>
  <c r="C75" i="5" s="1"/>
  <c r="C76" i="5" s="1"/>
  <c r="C34" i="5"/>
  <c r="E2" i="5"/>
  <c r="J29" i="5"/>
  <c r="J28" i="5"/>
  <c r="F74" i="5" l="1"/>
  <c r="G74" i="5" s="1"/>
  <c r="F75" i="5" l="1"/>
  <c r="F76" i="5" s="1"/>
  <c r="G76" i="5" s="1"/>
  <c r="G73" i="5"/>
  <c r="H73" i="5" s="1"/>
  <c r="H74" i="5"/>
  <c r="G75" i="5" l="1"/>
  <c r="H75" i="5" s="1"/>
  <c r="H76" i="5" l="1"/>
  <c r="E74" i="8" l="1"/>
  <c r="E75" i="8" s="1"/>
  <c r="E76" i="8" s="1"/>
  <c r="E77" i="8" s="1"/>
  <c r="E78" i="8" s="1"/>
  <c r="E75" i="7"/>
  <c r="C75" i="7"/>
  <c r="C76" i="7" s="1"/>
  <c r="C77" i="7" s="1"/>
  <c r="C78" i="7" s="1"/>
  <c r="E91" i="6"/>
  <c r="E92" i="6" s="1"/>
  <c r="C91" i="6"/>
  <c r="E76" i="7" l="1"/>
  <c r="G91" i="6"/>
  <c r="H91" i="6" s="1"/>
  <c r="C92" i="6"/>
  <c r="G92" i="6" s="1"/>
  <c r="E93" i="6"/>
  <c r="F91" i="6"/>
  <c r="E77" i="7" l="1"/>
  <c r="G76" i="7"/>
  <c r="G75" i="7"/>
  <c r="H75" i="7" s="1"/>
  <c r="H92" i="6"/>
  <c r="F92" i="6"/>
  <c r="C93" i="6"/>
  <c r="C94" i="6" s="1"/>
  <c r="E94" i="6"/>
  <c r="E78" i="7" l="1"/>
  <c r="G77" i="7"/>
  <c r="H77" i="7" s="1"/>
  <c r="H76" i="7"/>
  <c r="F93" i="6"/>
  <c r="G93" i="6"/>
  <c r="H93" i="6" s="1"/>
  <c r="G94" i="6"/>
  <c r="H94" i="6" s="1"/>
  <c r="E95" i="6"/>
  <c r="F94" i="6"/>
  <c r="G78" i="7" l="1"/>
  <c r="H78" i="7" s="1"/>
  <c r="E79" i="7"/>
  <c r="E79" i="6" l="1"/>
  <c r="C79" i="6"/>
  <c r="C80" i="6" s="1"/>
  <c r="C81" i="6" s="1"/>
  <c r="C82" i="6" s="1"/>
  <c r="B24" i="7"/>
  <c r="B25" i="7" s="1"/>
  <c r="C3" i="7"/>
  <c r="I3" i="7"/>
  <c r="J3" i="7" s="1"/>
  <c r="I2" i="7"/>
  <c r="J2" i="7" s="1"/>
  <c r="D3" i="8"/>
  <c r="D2" i="8"/>
  <c r="I2" i="8"/>
  <c r="J2" i="8" s="1"/>
  <c r="K2" i="8" s="1"/>
  <c r="I11" i="6"/>
  <c r="I12" i="6" s="1"/>
  <c r="I14" i="6" s="1"/>
  <c r="M7" i="6" s="1"/>
  <c r="M8" i="6" l="1"/>
  <c r="N7" i="6"/>
  <c r="F79" i="6"/>
  <c r="G79" i="6" s="1"/>
  <c r="H79" i="6" s="1"/>
  <c r="I79" i="6"/>
  <c r="J79" i="6" s="1"/>
  <c r="E80" i="6"/>
  <c r="F80" i="6" s="1"/>
  <c r="J4" i="7"/>
  <c r="K2" i="7"/>
  <c r="K3" i="7"/>
  <c r="L3" i="7" s="1"/>
  <c r="L2" i="8"/>
  <c r="J4" i="8"/>
  <c r="D1" i="6"/>
  <c r="E6" i="6" s="1"/>
  <c r="E7" i="6" s="1"/>
  <c r="F7" i="6" s="1"/>
  <c r="F2" i="5"/>
  <c r="F5" i="5"/>
  <c r="G80" i="6" l="1"/>
  <c r="H80" i="6" s="1"/>
  <c r="M9" i="6"/>
  <c r="N9" i="6" s="1"/>
  <c r="N8" i="6"/>
  <c r="K4" i="7"/>
  <c r="B2" i="7" s="1"/>
  <c r="I80" i="6"/>
  <c r="J80" i="6" s="1"/>
  <c r="B28" i="7"/>
  <c r="F28" i="7" s="1"/>
  <c r="B67" i="7"/>
  <c r="D67" i="7" s="1"/>
  <c r="E81" i="6"/>
  <c r="F6" i="6"/>
  <c r="L2" i="7"/>
  <c r="L4" i="7" s="1"/>
  <c r="B3" i="7" s="1"/>
  <c r="F3" i="7" s="1"/>
  <c r="L4" i="8"/>
  <c r="B3" i="8" s="1"/>
  <c r="F3" i="8" s="1"/>
  <c r="K4" i="8"/>
  <c r="B2" i="8" s="1"/>
  <c r="F2" i="8" s="1"/>
  <c r="D36" i="8" s="1"/>
  <c r="F5" i="7"/>
  <c r="N11" i="6" l="1"/>
  <c r="Q11" i="6"/>
  <c r="F8" i="6" s="1"/>
  <c r="B26" i="8"/>
  <c r="D26" i="8" s="1"/>
  <c r="B28" i="8"/>
  <c r="D28" i="8" s="1"/>
  <c r="F81" i="6"/>
  <c r="G81" i="6" s="1"/>
  <c r="H81" i="6" s="1"/>
  <c r="I81" i="6"/>
  <c r="J81" i="6" s="1"/>
  <c r="E82" i="6"/>
  <c r="I82" i="6" l="1"/>
  <c r="J82" i="6" s="1"/>
  <c r="F82" i="6"/>
  <c r="G82" i="6" s="1"/>
  <c r="H82" i="6" s="1"/>
  <c r="E83" i="6"/>
  <c r="C44" i="8"/>
  <c r="B1" i="8"/>
  <c r="D61" i="7"/>
  <c r="B60" i="7"/>
  <c r="D60" i="7" s="1"/>
  <c r="C45" i="7"/>
  <c r="D71" i="6"/>
  <c r="D66" i="6"/>
  <c r="C50" i="6"/>
  <c r="C3" i="6"/>
  <c r="F1" i="8" l="1"/>
  <c r="I10" i="8" l="1"/>
  <c r="B74" i="8"/>
  <c r="I14" i="8"/>
  <c r="F11" i="8"/>
  <c r="D19" i="8"/>
  <c r="D18" i="8"/>
  <c r="F19" i="7"/>
  <c r="F18" i="7"/>
  <c r="D19" i="7"/>
  <c r="D18" i="7"/>
  <c r="F11" i="7"/>
  <c r="C2" i="7"/>
  <c r="F2" i="7" s="1"/>
  <c r="B26" i="7" s="1"/>
  <c r="D26" i="7" s="1"/>
  <c r="C4" i="6"/>
  <c r="F4" i="6" s="1"/>
  <c r="F6" i="5"/>
  <c r="B77" i="5" l="1"/>
  <c r="C77" i="5" s="1"/>
  <c r="D77" i="5"/>
  <c r="E77" i="5" s="1"/>
  <c r="C82" i="5"/>
  <c r="B60" i="5"/>
  <c r="B64" i="5"/>
  <c r="D64" i="5" s="1"/>
  <c r="B44" i="5"/>
  <c r="B61" i="5"/>
  <c r="D61" i="5" s="1"/>
  <c r="B66" i="5"/>
  <c r="D66" i="5" s="1"/>
  <c r="B53" i="5"/>
  <c r="B62" i="5"/>
  <c r="D62" i="5" s="1"/>
  <c r="B59" i="5"/>
  <c r="B63" i="5"/>
  <c r="D63" i="5" s="1"/>
  <c r="L10" i="8"/>
  <c r="I11" i="8"/>
  <c r="C74" i="8"/>
  <c r="B75" i="8"/>
  <c r="B76" i="8" s="1"/>
  <c r="B77" i="8" s="1"/>
  <c r="F10" i="6"/>
  <c r="B19" i="5"/>
  <c r="F19" i="5" s="1"/>
  <c r="B11" i="5"/>
  <c r="F11" i="5" s="1"/>
  <c r="B12" i="5"/>
  <c r="B16" i="5"/>
  <c r="B20" i="5"/>
  <c r="F20" i="5" s="1"/>
  <c r="B17" i="5"/>
  <c r="B21" i="5"/>
  <c r="B14" i="5"/>
  <c r="F14" i="5" s="1"/>
  <c r="B18" i="5"/>
  <c r="B23" i="5"/>
  <c r="F6" i="7"/>
  <c r="B79" i="7" s="1"/>
  <c r="C79" i="7" s="1"/>
  <c r="H79" i="7" s="1"/>
  <c r="B29" i="7"/>
  <c r="D29" i="7" s="1"/>
  <c r="D44" i="5" l="1"/>
  <c r="B45" i="5"/>
  <c r="D45" i="5" s="1"/>
  <c r="D53" i="5"/>
  <c r="B54" i="5"/>
  <c r="D54" i="5" s="1"/>
  <c r="D65" i="5"/>
  <c r="D68" i="5" s="1"/>
  <c r="F21" i="5" s="1"/>
  <c r="G77" i="5"/>
  <c r="H77" i="5" s="1"/>
  <c r="D22" i="5"/>
  <c r="B46" i="5"/>
  <c r="D46" i="5" s="1"/>
  <c r="D48" i="5" s="1"/>
  <c r="F31" i="5" s="1"/>
  <c r="C75" i="8"/>
  <c r="C76" i="8" s="1"/>
  <c r="C77" i="8" s="1"/>
  <c r="L11" i="8"/>
  <c r="I12" i="8"/>
  <c r="F27" i="7"/>
  <c r="D66" i="7"/>
  <c r="B83" i="6"/>
  <c r="B95" i="6" s="1"/>
  <c r="C95" i="6" s="1"/>
  <c r="F95" i="6" s="1"/>
  <c r="B68" i="7"/>
  <c r="B58" i="7"/>
  <c r="B45" i="7"/>
  <c r="D45" i="7" s="1"/>
  <c r="B25" i="6"/>
  <c r="F25" i="6" s="1"/>
  <c r="B63" i="6"/>
  <c r="B73" i="6"/>
  <c r="B50" i="6"/>
  <c r="B17" i="6"/>
  <c r="F17" i="6" s="1"/>
  <c r="B20" i="6"/>
  <c r="D20" i="6" s="1"/>
  <c r="B14" i="6"/>
  <c r="F14" i="6" s="1"/>
  <c r="B27" i="6"/>
  <c r="F27" i="6" s="1"/>
  <c r="B24" i="6"/>
  <c r="F24" i="6" s="1"/>
  <c r="D17" i="5"/>
  <c r="F17" i="5"/>
  <c r="D18" i="5"/>
  <c r="F18" i="5"/>
  <c r="D23" i="5"/>
  <c r="D16" i="5"/>
  <c r="F16" i="5"/>
  <c r="B13" i="7"/>
  <c r="F13" i="7" s="1"/>
  <c r="B20" i="7"/>
  <c r="F20" i="7" s="1"/>
  <c r="B15" i="7"/>
  <c r="B21" i="7"/>
  <c r="F21" i="7" s="1"/>
  <c r="B22" i="7"/>
  <c r="B16" i="7"/>
  <c r="B10" i="7"/>
  <c r="F10" i="7" s="1"/>
  <c r="B17" i="7"/>
  <c r="B53" i="7" s="1"/>
  <c r="D53" i="7" s="1"/>
  <c r="D25" i="7"/>
  <c r="D24" i="7"/>
  <c r="G95" i="6" l="1"/>
  <c r="H95" i="6" s="1"/>
  <c r="C83" i="6"/>
  <c r="I83" i="6" s="1"/>
  <c r="J83" i="6" s="1"/>
  <c r="F23" i="6" s="1"/>
  <c r="F25" i="5"/>
  <c r="D52" i="5"/>
  <c r="D55" i="5" s="1"/>
  <c r="D38" i="5" s="1"/>
  <c r="I13" i="8"/>
  <c r="L13" i="8" s="1"/>
  <c r="L12" i="8"/>
  <c r="F75" i="8"/>
  <c r="G74" i="8"/>
  <c r="H74" i="8" s="1"/>
  <c r="D28" i="5"/>
  <c r="D33" i="5" s="1"/>
  <c r="D55" i="7"/>
  <c r="F22" i="7" s="1"/>
  <c r="D58" i="7"/>
  <c r="B59" i="7"/>
  <c r="D59" i="7" s="1"/>
  <c r="B69" i="7"/>
  <c r="D69" i="7" s="1"/>
  <c r="D68" i="7"/>
  <c r="F20" i="6"/>
  <c r="D27" i="6"/>
  <c r="B65" i="6"/>
  <c r="D65" i="6" s="1"/>
  <c r="B64" i="6"/>
  <c r="D64" i="6" s="1"/>
  <c r="D63" i="6"/>
  <c r="D50" i="6"/>
  <c r="B74" i="6"/>
  <c r="D74" i="6" s="1"/>
  <c r="D73" i="6"/>
  <c r="D23" i="7"/>
  <c r="F23" i="7"/>
  <c r="D15" i="7"/>
  <c r="F15" i="7"/>
  <c r="F17" i="7"/>
  <c r="D17" i="7"/>
  <c r="D16" i="7"/>
  <c r="F16" i="7"/>
  <c r="F83" i="6" l="1"/>
  <c r="G83" i="6" s="1"/>
  <c r="B15" i="6" s="1"/>
  <c r="F15" i="6" s="1"/>
  <c r="B29" i="6" s="1"/>
  <c r="D29" i="6" s="1"/>
  <c r="F30" i="7"/>
  <c r="D41" i="7" s="1"/>
  <c r="F76" i="8"/>
  <c r="G75" i="8"/>
  <c r="H75" i="8" s="1"/>
  <c r="D30" i="7"/>
  <c r="D35" i="7" s="1"/>
  <c r="B34" i="5"/>
  <c r="D34" i="5" s="1"/>
  <c r="F34" i="5" s="1"/>
  <c r="F33" i="5"/>
  <c r="F30" i="5"/>
  <c r="J33" i="5" s="1"/>
  <c r="D39" i="5"/>
  <c r="D23" i="6"/>
  <c r="D62" i="7"/>
  <c r="F33" i="7" s="1"/>
  <c r="D70" i="7"/>
  <c r="D40" i="7" s="1"/>
  <c r="D75" i="6"/>
  <c r="D42" i="6" s="1"/>
  <c r="D67" i="6"/>
  <c r="F35" i="6" s="1"/>
  <c r="B28" i="6" l="1"/>
  <c r="D28" i="6" s="1"/>
  <c r="B19" i="6"/>
  <c r="F19" i="6" s="1"/>
  <c r="H83" i="6"/>
  <c r="B22" i="6" s="1"/>
  <c r="F77" i="8"/>
  <c r="G77" i="8" s="1"/>
  <c r="G76" i="8"/>
  <c r="H76" i="8" s="1"/>
  <c r="B36" i="7"/>
  <c r="D36" i="7" s="1"/>
  <c r="D37" i="5"/>
  <c r="D19" i="6"/>
  <c r="F32" i="7"/>
  <c r="D39" i="7" s="1"/>
  <c r="B21" i="6" l="1"/>
  <c r="B58" i="6" s="1"/>
  <c r="D58" i="6" s="1"/>
  <c r="D60" i="6" s="1"/>
  <c r="H77" i="8"/>
  <c r="F26" i="6"/>
  <c r="F21" i="6"/>
  <c r="D21" i="6"/>
  <c r="D22" i="6"/>
  <c r="F22" i="6"/>
  <c r="D32" i="6" l="1"/>
  <c r="F32" i="6"/>
  <c r="D43" i="6" s="1"/>
  <c r="D37" i="6" l="1"/>
  <c r="F33" i="6"/>
  <c r="F34" i="6"/>
  <c r="F37" i="6" l="1"/>
  <c r="B38" i="6"/>
  <c r="D38" i="6" s="1"/>
  <c r="F38" i="6" s="1"/>
  <c r="I15" i="8"/>
  <c r="B4" i="8" s="1"/>
  <c r="F4" i="8" s="1"/>
  <c r="L14" i="8" l="1"/>
  <c r="L15" i="8" s="1"/>
  <c r="B5" i="8" s="1"/>
  <c r="F5" i="8" s="1"/>
  <c r="B24" i="8" s="1"/>
  <c r="B59" i="8" s="1"/>
  <c r="D59" i="8" s="1"/>
  <c r="D41" i="6"/>
  <c r="B25" i="8" l="1"/>
  <c r="D25" i="8" s="1"/>
  <c r="D24" i="8"/>
  <c r="B78" i="8"/>
  <c r="C78" i="8" s="1"/>
  <c r="G78" i="8" s="1"/>
  <c r="H78" i="8" s="1"/>
  <c r="F27" i="8" l="1"/>
  <c r="D65" i="8"/>
  <c r="B10" i="8"/>
  <c r="F10" i="8" s="1"/>
  <c r="B57" i="8"/>
  <c r="B15" i="8"/>
  <c r="B16" i="8"/>
  <c r="B44" i="8"/>
  <c r="D44" i="8" s="1"/>
  <c r="B17" i="8"/>
  <c r="B67" i="8"/>
  <c r="B13" i="8"/>
  <c r="F13" i="8" s="1"/>
  <c r="B21" i="8"/>
  <c r="F21" i="8" s="1"/>
  <c r="B20" i="8"/>
  <c r="F20" i="8" s="1"/>
  <c r="B27" i="8"/>
  <c r="B68" i="8" l="1"/>
  <c r="D68" i="8" s="1"/>
  <c r="D67" i="8"/>
  <c r="F16" i="8"/>
  <c r="D16" i="8"/>
  <c r="B52" i="8"/>
  <c r="D52" i="8" s="1"/>
  <c r="D54" i="8" s="1"/>
  <c r="F22" i="8" s="1"/>
  <c r="D17" i="8"/>
  <c r="F17" i="8"/>
  <c r="F15" i="8"/>
  <c r="F29" i="8" s="1"/>
  <c r="D40" i="8" s="1"/>
  <c r="D15" i="8"/>
  <c r="B58" i="8"/>
  <c r="D58" i="8" s="1"/>
  <c r="D57" i="8"/>
  <c r="D29" i="8" l="1"/>
  <c r="D61" i="8"/>
  <c r="F32" i="8" s="1"/>
  <c r="D34" i="8" l="1"/>
  <c r="B35" i="8" s="1"/>
  <c r="D35" i="8" s="1"/>
  <c r="F31" i="8"/>
  <c r="D38" i="8" s="1"/>
</calcChain>
</file>

<file path=xl/sharedStrings.xml><?xml version="1.0" encoding="utf-8"?>
<sst xmlns="http://schemas.openxmlformats.org/spreadsheetml/2006/main" count="493" uniqueCount="246">
  <si>
    <t>DUMAINE</t>
  </si>
  <si>
    <t>VALETTE</t>
  </si>
  <si>
    <t>HERMAN</t>
  </si>
  <si>
    <t>DUMOULIN</t>
  </si>
  <si>
    <t>LAMBERT</t>
  </si>
  <si>
    <t>Entrée dans la société</t>
  </si>
  <si>
    <t>Contrat</t>
  </si>
  <si>
    <t>CDI</t>
  </si>
  <si>
    <t>CDD</t>
  </si>
  <si>
    <t>Durée hebdomadaire</t>
  </si>
  <si>
    <t>Statut</t>
  </si>
  <si>
    <t>Non-cadre</t>
  </si>
  <si>
    <t>Cadre</t>
  </si>
  <si>
    <t>Gérant</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</si>
  <si>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</si>
  <si>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</si>
  <si>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</si>
  <si>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</si>
  <si>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</si>
  <si>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</si>
  <si>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</si>
  <si>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</si>
  <si>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</si>
  <si>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</si>
  <si>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</si>
  <si>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</si>
  <si>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SMIC</t>
  </si>
  <si>
    <t>SALAIRES</t>
  </si>
  <si>
    <t>Horaires</t>
  </si>
  <si>
    <t>7 h / jour
lundi à vendredi</t>
  </si>
  <si>
    <t>Fériés</t>
  </si>
  <si>
    <t>Chomés et payés</t>
  </si>
  <si>
    <t>Absences</t>
  </si>
  <si>
    <t>7 Heures supplémentaires à 125%</t>
  </si>
  <si>
    <t>Heures supplémentaires à 150%</t>
  </si>
  <si>
    <t>Salaire brut</t>
  </si>
  <si>
    <t>SANTE</t>
  </si>
  <si>
    <t xml:space="preserve">Complémentaire santé </t>
  </si>
  <si>
    <t xml:space="preserve">Accident du travail - Maladies professionnelles </t>
  </si>
  <si>
    <t>Retraite</t>
  </si>
  <si>
    <t>Réduction heures supplémentaires</t>
  </si>
  <si>
    <t>C.S.G/CRDS non-déductible de l'impôt sur le revenu</t>
  </si>
  <si>
    <t>C.S.G/CRDS déductible de l'impôt sur le revenu</t>
  </si>
  <si>
    <t>Exonération de cotisation employeur</t>
  </si>
  <si>
    <t>Total de cotisations et contributions</t>
  </si>
  <si>
    <t>NET A PAYER AVANT IMPOT SUR LE REVENU</t>
  </si>
  <si>
    <t>dont évolution de la rémunération liée à la suppression des cotisations chômage et maladie</t>
  </si>
  <si>
    <t>IMPOT SUR LE REVENU</t>
  </si>
  <si>
    <t>Bases</t>
  </si>
  <si>
    <t>Assiettes</t>
  </si>
  <si>
    <t>Retenues
salariales</t>
  </si>
  <si>
    <t>Retenues
patronales</t>
  </si>
  <si>
    <t>Complémentaire incapacité invalidité décès</t>
  </si>
  <si>
    <t>1,50% sur TA cadres uniquement</t>
  </si>
  <si>
    <t>Prévoyance patronale</t>
  </si>
  <si>
    <t>Prévoyances et mutuelles</t>
  </si>
  <si>
    <t>Taux de prélèvement à la source</t>
  </si>
  <si>
    <t>C.S.G/CRDS sur heures sup. non-déductible de l'impôt sur le revenu</t>
  </si>
  <si>
    <t>Prime de précarité</t>
  </si>
  <si>
    <t>Mois suivant date anniversaire de la date d'embauche</t>
  </si>
  <si>
    <t>ICCP</t>
  </si>
  <si>
    <t xml:space="preserve">Autres contributions dues par l'employeur </t>
  </si>
  <si>
    <r>
      <t>Accident du travail - Maladies professionnelles</t>
    </r>
    <r>
      <rPr>
        <b/>
        <sz val="10"/>
        <color rgb="FFFF0000"/>
        <rFont val="Times New Roman"/>
        <family val="1"/>
      </rPr>
      <t xml:space="preserve"> </t>
    </r>
  </si>
  <si>
    <t xml:space="preserve">Sécurité sociale plafonnée </t>
  </si>
  <si>
    <t xml:space="preserve">Sécurité sociale déplafonnée </t>
  </si>
  <si>
    <t xml:space="preserve">Complémentaire Tranche 1 </t>
  </si>
  <si>
    <t xml:space="preserve">Assurance chômage </t>
  </si>
  <si>
    <t>Sécurité sociale déplafonnée</t>
  </si>
  <si>
    <t>Complémentaire Tranche 1</t>
  </si>
  <si>
    <r>
      <t>Complémentaire Tranche 2</t>
    </r>
    <r>
      <rPr>
        <sz val="11"/>
        <color rgb="FFFF0000"/>
        <rFont val="Times New Roman"/>
        <family val="1"/>
      </rPr>
      <t xml:space="preserve"> </t>
    </r>
  </si>
  <si>
    <t xml:space="preserve">Contribution équilibre technique CET </t>
  </si>
  <si>
    <t xml:space="preserve">APEC </t>
  </si>
  <si>
    <t>APEC</t>
  </si>
  <si>
    <t>Prime d'ancienneté 5%</t>
  </si>
  <si>
    <r>
      <t xml:space="preserve"> </t>
    </r>
    <r>
      <rPr>
        <b/>
        <sz val="11"/>
        <color rgb="FF000000"/>
        <rFont val="Times New Roman"/>
        <family val="1"/>
      </rPr>
      <t>Famille  (3,45% ou 5,25%)</t>
    </r>
  </si>
  <si>
    <r>
      <t xml:space="preserve">Sécurité sociale - Maladie - Maternité - Invalidité décès </t>
    </r>
    <r>
      <rPr>
        <sz val="8"/>
        <color rgb="FF000000"/>
        <rFont val="Times New Roman"/>
        <family val="1"/>
      </rPr>
      <t>(7% ou 13%)</t>
    </r>
  </si>
  <si>
    <r>
      <t>Sécurité sociale - Maladie - Maternité - Invalidité décès</t>
    </r>
    <r>
      <rPr>
        <sz val="8"/>
        <color rgb="FF000000"/>
        <rFont val="Times New Roman"/>
        <family val="1"/>
      </rPr>
      <t xml:space="preserve"> (7% ou 13%)</t>
    </r>
  </si>
  <si>
    <r>
      <t xml:space="preserve"> </t>
    </r>
    <r>
      <rPr>
        <b/>
        <sz val="11"/>
        <color rgb="FF000000"/>
        <rFont val="Times New Roman"/>
        <family val="1"/>
      </rPr>
      <t xml:space="preserve">Famille  </t>
    </r>
    <r>
      <rPr>
        <sz val="11"/>
        <color rgb="FF000000"/>
        <rFont val="Times New Roman"/>
        <family val="1"/>
      </rPr>
      <t>(3,45% ou 5,25%)</t>
    </r>
  </si>
  <si>
    <t>Complémentaire Tranche 1 (3,15%+0,86%) (4,72+1,29)</t>
  </si>
  <si>
    <r>
      <t xml:space="preserve"> </t>
    </r>
    <r>
      <rPr>
        <b/>
        <sz val="10"/>
        <color rgb="FF000000"/>
        <rFont val="Times New Roman"/>
        <family val="1"/>
      </rPr>
      <t>Famille  (3,45% moins de 3,5 smic ou 5,25%)</t>
    </r>
  </si>
  <si>
    <t>Contribution équilibre technique CET (salaire sup à 1PMSS)</t>
  </si>
  <si>
    <t>Férié chomé et payé</t>
  </si>
  <si>
    <r>
      <t xml:space="preserve">versement transport : </t>
    </r>
    <r>
      <rPr>
        <b/>
        <sz val="10"/>
        <color rgb="FFFF0000"/>
        <rFont val="Trebuchet MS"/>
        <family val="2"/>
      </rPr>
      <t>Non assujetti du fait de l'effectif</t>
    </r>
  </si>
  <si>
    <t>Dialogue social : 0,016%</t>
  </si>
  <si>
    <t>Solidarité autonomie : 0,30%</t>
  </si>
  <si>
    <t>Apprentissage : 0,68%</t>
  </si>
  <si>
    <t>Formation : 0,55%</t>
  </si>
  <si>
    <r>
      <t xml:space="preserve">Construction : </t>
    </r>
    <r>
      <rPr>
        <b/>
        <sz val="10"/>
        <color rgb="FFFF0000"/>
        <rFont val="Trebuchet MS"/>
        <family val="2"/>
      </rPr>
      <t>Non assujetti du fait de l'effectif</t>
    </r>
  </si>
  <si>
    <t>Fnal 0,10% sur TA</t>
  </si>
  <si>
    <t>AU TOTAL</t>
  </si>
  <si>
    <t xml:space="preserve"> Rubrique dont évolution de la rémunération liée à la suppression des cotisations chômage et maladie</t>
  </si>
  <si>
    <t>Assurance chômage</t>
  </si>
  <si>
    <t>Maladie</t>
  </si>
  <si>
    <t>CSG CRDS</t>
  </si>
  <si>
    <t>Exonération salariale sur heures supplémentaires</t>
  </si>
  <si>
    <t>Rubrique d'évolution</t>
  </si>
  <si>
    <t>Réduction générale de cotisation</t>
  </si>
  <si>
    <t>Abattement sur heures supplémentaires</t>
  </si>
  <si>
    <t xml:space="preserve"> -   € </t>
  </si>
  <si>
    <t>Allègement dû à la réduction d'allocation familiale</t>
  </si>
  <si>
    <t>Allègement dû à la réduction de cotisation maladie</t>
  </si>
  <si>
    <t>Allègement total</t>
  </si>
  <si>
    <t xml:space="preserve"> Rubrique Allègement de cotisations employeur</t>
  </si>
  <si>
    <t xml:space="preserve">Salaire de base </t>
  </si>
  <si>
    <t>Le gérant, son conjoint et ses enfants détiennent ensemble 800 parts sociales sur les 1000 parts composant le capital social de l'entreprise</t>
  </si>
  <si>
    <t>Les autres parts sont détenues par des tiers extérieurs à l'entreprise.</t>
  </si>
  <si>
    <t>Ancienneté &lt; 3 ans</t>
  </si>
  <si>
    <t>3 à 5 ans</t>
  </si>
  <si>
    <t>&gt; 5 à 10 ans</t>
  </si>
  <si>
    <t>TAUX ACCIDENT DU TRAVAIL</t>
  </si>
  <si>
    <t>Congés payés</t>
  </si>
  <si>
    <t>Les indemnités sont calculées sur la base du maintien de salaire
La régularisation sera effectuée lors de la prise de la cinquième semaine</t>
  </si>
  <si>
    <t>NON SALARIE CAR IL DETIENT 80% DES PARTS SOCIALES</t>
  </si>
  <si>
    <t>TOTAUX</t>
  </si>
  <si>
    <t xml:space="preserve">Calcul de l'allègement </t>
  </si>
  <si>
    <t>Salaires</t>
  </si>
  <si>
    <t>cumul</t>
  </si>
  <si>
    <t>SMIC cumulé</t>
  </si>
  <si>
    <t>coef 
arrondi</t>
  </si>
  <si>
    <t>Réduction
 cumulée</t>
  </si>
  <si>
    <t>Réduction 
du mois</t>
  </si>
  <si>
    <t>janvier</t>
  </si>
  <si>
    <t>février</t>
  </si>
  <si>
    <t>mars</t>
  </si>
  <si>
    <t>avril</t>
  </si>
  <si>
    <t>mai</t>
  </si>
  <si>
    <t>Retenues pour congés payés</t>
  </si>
  <si>
    <t>Indemnité pour congés payés</t>
  </si>
  <si>
    <t>Rémunération par journée ouvrable</t>
  </si>
  <si>
    <t>Cinquième semaine
 de congés payés</t>
  </si>
  <si>
    <t>Assiette règle du dixième</t>
  </si>
  <si>
    <t>Prime</t>
  </si>
  <si>
    <t>Assiette</t>
  </si>
  <si>
    <t>Règle du dixième</t>
  </si>
  <si>
    <t>Indemnitées versées</t>
  </si>
  <si>
    <t>Heures</t>
  </si>
  <si>
    <t>HS</t>
  </si>
  <si>
    <t>HS 125%</t>
  </si>
  <si>
    <t>Semaine du 11 au 15</t>
  </si>
  <si>
    <t>Semaine du 25 au 29</t>
  </si>
  <si>
    <t>HC</t>
  </si>
  <si>
    <t>HC 125%</t>
  </si>
  <si>
    <t>HC 150%</t>
  </si>
  <si>
    <t>HS 150%</t>
  </si>
  <si>
    <t>Heures supplémentaires à 125%</t>
  </si>
  <si>
    <t>C.S.G/CRDS non-déductible sur heures supplémentaires</t>
  </si>
  <si>
    <t>Heures complémentaires à 110%</t>
  </si>
  <si>
    <t>Heures complémentaires à 125%</t>
  </si>
  <si>
    <t>Janvier</t>
  </si>
  <si>
    <t>Février</t>
  </si>
  <si>
    <t>Mars</t>
  </si>
  <si>
    <t>Avril</t>
  </si>
  <si>
    <t>Mai</t>
  </si>
  <si>
    <t>Totaux</t>
  </si>
  <si>
    <t>Assiette de la précarité</t>
  </si>
  <si>
    <t>Assiette CP</t>
  </si>
  <si>
    <t>Réduction générale de cotisations patronales</t>
  </si>
  <si>
    <t>BRUTS</t>
  </si>
  <si>
    <t>CUMULS</t>
  </si>
  <si>
    <t>PLAFONDS</t>
  </si>
  <si>
    <t>T1 CUMULEE</t>
  </si>
  <si>
    <t>T1 MOIS</t>
  </si>
  <si>
    <t>T2 MOIS</t>
  </si>
  <si>
    <t>CET cumulé</t>
  </si>
  <si>
    <t>CET mois</t>
  </si>
  <si>
    <t>Réduction heures complémentaires</t>
  </si>
  <si>
    <t xml:space="preserve">Calcul du SMIC en mai </t>
  </si>
  <si>
    <t>SMIC * Salaire perçu / Salaire qui aurait été perçu s'il n'y avait pas eu d'absences</t>
  </si>
  <si>
    <t>Salaire perçu</t>
  </si>
  <si>
    <t>Salaire sans absences</t>
  </si>
  <si>
    <t>Salaire minimum</t>
  </si>
  <si>
    <t>01/03/N-4</t>
  </si>
  <si>
    <t>01/05/N-4</t>
  </si>
  <si>
    <t>01/01/N-2</t>
  </si>
  <si>
    <t>01/01/N-25</t>
  </si>
  <si>
    <t>Calendrier de travail du mois de mai N</t>
  </si>
  <si>
    <t>Tranches de salaires</t>
  </si>
  <si>
    <t>Plafond de sécurité sociale</t>
  </si>
  <si>
    <t>MOIS</t>
  </si>
  <si>
    <t>Salaires bruts</t>
  </si>
  <si>
    <t>Cumuls bruts</t>
  </si>
  <si>
    <t>Plafonds</t>
  </si>
  <si>
    <t>Plafonds 
cumulés</t>
  </si>
  <si>
    <t>Regularisation mensuelle progressive de la cotisation CET</t>
  </si>
  <si>
    <t>CET à payer</t>
  </si>
  <si>
    <t>CET 
cumulées</t>
  </si>
  <si>
    <t>CET 
du mois</t>
  </si>
  <si>
    <t>Sécurité sociale - Maladie - Maternité - Invalidité décès (7% ou 13%)</t>
  </si>
  <si>
    <r>
      <t>Complémentaire Tranche 2</t>
    </r>
    <r>
      <rPr>
        <sz val="10"/>
        <color rgb="FFFF0000"/>
        <rFont val="Times New Roman"/>
        <family val="1"/>
      </rPr>
      <t xml:space="preserve"> </t>
    </r>
  </si>
  <si>
    <r>
      <t xml:space="preserve"> </t>
    </r>
    <r>
      <rPr>
        <b/>
        <sz val="10"/>
        <color rgb="FF000000"/>
        <rFont val="Times New Roman"/>
        <family val="1"/>
      </rPr>
      <t>Famille  (3,45% ou 5,25%)</t>
    </r>
  </si>
  <si>
    <t>Effectif</t>
  </si>
  <si>
    <t>Taux de prévoyance patronale</t>
  </si>
  <si>
    <t>SAISIE DES VARIABLES</t>
  </si>
  <si>
    <t>Horaire mensuel</t>
  </si>
  <si>
    <t>Nombre d'heures travaillées durant le mois pour absence</t>
  </si>
  <si>
    <t>Taux accident du travail</t>
  </si>
  <si>
    <t>Taux de la prime de mobilité</t>
  </si>
  <si>
    <t>SMIC horaire</t>
  </si>
  <si>
    <t>Heures d'absences</t>
  </si>
  <si>
    <t>Statut salarié</t>
  </si>
  <si>
    <t xml:space="preserve">Tranche 1  </t>
  </si>
  <si>
    <t>Tranche 2</t>
  </si>
  <si>
    <t>Montants</t>
  </si>
  <si>
    <t>Coefficient de réduction de cotisations patronales</t>
  </si>
  <si>
    <t>Taux de prévoyance salariale</t>
  </si>
  <si>
    <t>Exonération, écrètement et allègements</t>
  </si>
  <si>
    <t>Montant</t>
  </si>
  <si>
    <t>Cumul annuel</t>
  </si>
  <si>
    <t>Montant net imposable</t>
  </si>
  <si>
    <t>Impot sur le revenu prélevé à la source</t>
  </si>
  <si>
    <t>Montant des heures compl/suppl exonérées</t>
  </si>
  <si>
    <t>NET A PAYER AU SALARIE</t>
  </si>
  <si>
    <t>Allègement de cotisations employeurs</t>
  </si>
  <si>
    <t>Total versé par l'employeur</t>
  </si>
  <si>
    <t>Dans votre intérêt et pour vous aider à faire valoir vos droits, conserver ce bulletin de paie sans limitation de durée</t>
  </si>
  <si>
    <t>Formation</t>
  </si>
  <si>
    <t>CSG CRDS 1,70% * 98,25%</t>
  </si>
  <si>
    <t xml:space="preserve">Réduction générale de cotisations patronales </t>
  </si>
  <si>
    <t>Allègement de cotisation maladie employeur</t>
  </si>
  <si>
    <t xml:space="preserve">Allègement de cotisation allocations familiales  </t>
  </si>
  <si>
    <t>FNAL</t>
  </si>
  <si>
    <t>Versement transport</t>
  </si>
  <si>
    <t>Contribution solidarité</t>
  </si>
  <si>
    <t>Taxe apprentissage</t>
  </si>
  <si>
    <t>Dialogue social</t>
  </si>
  <si>
    <t>Total</t>
  </si>
  <si>
    <t>Autres contributions dues par l'employeur</t>
  </si>
  <si>
    <t>=1766,92*1523,81/2000</t>
  </si>
  <si>
    <t>NET SOCIAL</t>
  </si>
  <si>
    <t>Mutuelle salariale obligatoire de base</t>
  </si>
  <si>
    <t>Mutuelle patronale obligatoire de base</t>
  </si>
  <si>
    <t>1% du plafond de SS</t>
  </si>
  <si>
    <t>11,65*(151,67+21)</t>
  </si>
  <si>
    <t>Jours acquis</t>
  </si>
  <si>
    <t>Par jour</t>
  </si>
  <si>
    <t>Règle du maintien</t>
  </si>
  <si>
    <t>3400/26*18</t>
  </si>
  <si>
    <t>3400/26*6</t>
  </si>
  <si>
    <t>C'est le plus favorable</t>
  </si>
  <si>
    <t>Régularisation</t>
  </si>
  <si>
    <t>Juillet N-1</t>
  </si>
  <si>
    <t>Aout N-1</t>
  </si>
  <si>
    <t>Mai N</t>
  </si>
  <si>
    <t>3600/26*6</t>
  </si>
  <si>
    <t>Régularisation par règle au dixième</t>
  </si>
  <si>
    <t>31/05/N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</si>
</sst>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0%"/>
    <numFmt numFmtId="166" formatCode="#,##0.00\ &quot;€&quot;"/>
    <numFmt numFmtId="167" formatCode="dddd\-dd\-mmm"/>
    <numFmt numFmtId="168" formatCode="_-* #,##0.00\ [$€-40C]_-;\-* #,##0.00\ [$€-40C]_-;_-* &quot;-&quot;??\ [$€-40C]_-;_-@_-"/>
    <numFmt numFmtId="169" formatCode="0.00000%"/>
    <numFmt numFmtId="170" formatCode="#,##0.00\ [$€-40C];[Red]\-#,##0.00\ [$€-40C]"/>
    <numFmt numFmtId="171" formatCode="0.0%"/>
    <numFmt numFmtId="172" formatCode="0.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10"/>
      <color rgb="FF000000"/>
      <name val="Times New Roman"/>
      <family val="1"/>
    </font>
    <font>
      <b/>
      <sz val="10"/>
      <color rgb="FF000000"/>
      <name val="Times New Roman"/>
      <family val="1"/>
    </font>
    <font>
      <sz val="10"/>
      <name val="Times New Roman"/>
      <family val="1"/>
    </font>
    <font>
      <b/>
      <strike/>
      <sz val="10"/>
      <color rgb="FF000000"/>
      <name val="Times New Roman"/>
      <family val="1"/>
    </font>
    <font>
      <b/>
      <sz val="10"/>
      <color rgb="FFFF0000"/>
      <name val="Times New Roman"/>
      <family val="1"/>
    </font>
    <font>
      <sz val="11"/>
      <color theme="1"/>
      <name val="Times New Roman"/>
      <family val="1"/>
    </font>
    <font>
      <sz val="10"/>
      <color theme="1"/>
      <name val="Times New Roman"/>
      <family val="1"/>
    </font>
    <font>
      <b/>
      <sz val="10"/>
      <name val="Times New Roman"/>
      <family val="1"/>
    </font>
    <font>
      <sz val="11"/>
      <color rgb="FF000000"/>
      <name val="Times New Roman"/>
      <family val="1"/>
    </font>
    <font>
      <sz val="11"/>
      <name val="Times New Roman"/>
      <family val="1"/>
    </font>
    <font>
      <b/>
      <sz val="11"/>
      <color rgb="FF000000"/>
      <name val="Times New Roman"/>
      <family val="1"/>
    </font>
    <font>
      <sz val="11"/>
      <color rgb="FFFF0000"/>
      <name val="Times New Roman"/>
      <family val="1"/>
    </font>
    <font>
      <b/>
      <strike/>
      <sz val="11"/>
      <color rgb="FF000000"/>
      <name val="Times New Roman"/>
      <family val="1"/>
    </font>
    <font>
      <b/>
      <sz val="11"/>
      <color rgb="FFFF0000"/>
      <name val="Times New Roman"/>
      <family val="1"/>
    </font>
    <font>
      <b/>
      <i/>
      <sz val="10"/>
      <name val="Times New Roman"/>
      <family val="1"/>
    </font>
    <font>
      <b/>
      <i/>
      <sz val="10"/>
      <color rgb="FF000000"/>
      <name val="Times New Roman"/>
      <family val="1"/>
    </font>
    <font>
      <b/>
      <i/>
      <sz val="10"/>
      <color theme="1"/>
      <name val="Times New Roman"/>
      <family val="1"/>
    </font>
    <font>
      <i/>
      <sz val="10"/>
      <color rgb="FF000000"/>
      <name val="Times New Roman"/>
      <family val="1"/>
    </font>
    <font>
      <b/>
      <sz val="11"/>
      <name val="Times New Roman"/>
      <family val="1"/>
    </font>
    <font>
      <sz val="8"/>
      <color rgb="FF000000"/>
      <name val="Times New Roman"/>
      <family val="1"/>
    </font>
    <font>
      <b/>
      <sz val="11"/>
      <color theme="1"/>
      <name val="Times New Roman"/>
      <family val="1"/>
    </font>
    <font>
      <b/>
      <sz val="10"/>
      <color theme="1"/>
      <name val="Times New Roman"/>
      <family val="1"/>
    </font>
    <font>
      <b/>
      <sz val="14"/>
      <color rgb="FFFF0000"/>
      <name val="Times New Roman"/>
      <family val="1"/>
    </font>
    <font>
      <sz val="10"/>
      <color theme="1"/>
      <name val="Trebuchet MS"/>
      <family val="2"/>
    </font>
    <font>
      <b/>
      <sz val="10"/>
      <color theme="1"/>
      <name val="Trebuchet MS"/>
      <family val="2"/>
    </font>
    <font>
      <b/>
      <sz val="10"/>
      <color rgb="FF000000"/>
      <name val="Trebuchet MS"/>
      <family val="2"/>
    </font>
    <font>
      <b/>
      <sz val="10"/>
      <color rgb="FFFF0000"/>
      <name val="Trebuchet MS"/>
      <family val="2"/>
    </font>
    <font>
      <b/>
      <sz val="16"/>
      <color rgb="FFFF0000"/>
      <name val="Times New Roman"/>
      <family val="1"/>
    </font>
    <font>
      <sz val="10"/>
      <color theme="1"/>
      <name val="Calibri"/>
      <family val="2"/>
      <scheme val="minor"/>
    </font>
    <font>
      <sz val="10"/>
      <color rgb="FF000000"/>
      <name val="Calibri"/>
      <family val="2"/>
      <scheme val="minor"/>
    </font>
    <font>
      <sz val="8"/>
      <name val="Calibri"/>
      <family val="2"/>
      <scheme val="minor"/>
    </font>
    <font>
      <sz val="10"/>
      <color rgb="FFFF0000"/>
      <name val="Times New Roman"/>
      <family val="1"/>
    </font>
    <font>
      <b/>
      <sz val="8"/>
      <color theme="1"/>
      <name val="Times New Roman"/>
      <family val="1"/>
    </font>
    <font>
      <b/>
      <sz val="12"/>
      <color rgb="FFFF0000"/>
      <name val="Times New Roman"/>
      <family val="1"/>
    </font>
    <font>
      <b/>
      <sz val="10"/>
      <color rgb="FFFF0000"/>
      <name val="Calibri"/>
      <family val="2"/>
      <scheme val="minor"/>
    </font>
    <font>
      <sz val="10"/>
      <name val="Arial"/>
      <family val="2"/>
    </font>
    <font>
      <b/>
      <sz val="18"/>
      <color rgb="FFFF0000"/>
      <name val="Times New Roman"/>
      <family val="1"/>
    </font>
    <font>
      <b/>
      <sz val="8"/>
      <name val="Times New Roman"/>
      <family val="1"/>
    </font>
    <font>
      <sz val="8"/>
      <name val="Times New Roman"/>
      <family val="1"/>
    </font>
    <font>
      <b/>
      <sz val="9"/>
      <name val="Arial"/>
      <family val="2"/>
    </font>
    <font>
      <sz val="11"/>
      <color rgb="FF000000"/>
      <name val="Trebuchet MS"/>
      <family val="2"/>
    </font>
    <font>
      <b/>
      <sz val="11"/>
      <color rgb="FF000000"/>
      <name val="Trebuchet MS"/>
      <family val="2"/>
    </font>
    <font>
      <sz val="11"/>
      <color rgb="FFFF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8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auto="1"/>
      </left>
      <right style="medium">
        <color auto="1"/>
      </right>
      <top style="medium">
        <color auto="1"/>
      </top>
      <bottom style="medium">
        <color rgb="FF000000"/>
      </bottom>
      <diagonal/>
    </border>
    <border>
      <left/>
      <right style="thin">
        <color rgb="FF000000"/>
      </right>
      <top style="medium">
        <color rgb="FF000000"/>
      </top>
      <bottom/>
      <diagonal/>
    </border>
    <border>
      <left/>
      <right style="medium">
        <color auto="1"/>
      </right>
      <top style="thin">
        <color auto="1"/>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ck">
        <color auto="1"/>
      </left>
      <right style="thick">
        <color auto="1"/>
      </right>
      <top style="thick">
        <color auto="1"/>
      </top>
      <bottom style="thick">
        <color auto="1"/>
      </bottom>
      <diagonal/>
    </border>
    <border>
      <left style="thin">
        <color rgb="FF000000"/>
      </left>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medium">
        <color auto="1"/>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1" fillId="0" borderId="0"/>
  </cellStyleXfs>
  <cellXfs count="547">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164" fontId="0" fillId="0" borderId="6" xfId="1" applyNumberFormat="1"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0" fontId="11" fillId="0" borderId="1" xfId="0" applyFont="1" applyBorder="1"/>
    <xf numFmtId="0" fontId="11" fillId="0" borderId="4" xfId="0" applyFont="1" applyBorder="1"/>
    <xf numFmtId="10" fontId="0" fillId="0" borderId="8" xfId="0" applyNumberFormat="1" applyBorder="1" applyAlignment="1">
      <alignment horizontal="center" vertical="center"/>
    </xf>
    <xf numFmtId="9" fontId="0" fillId="0" borderId="8" xfId="0" applyNumberFormat="1" applyBorder="1" applyAlignment="1">
      <alignment horizontal="center" vertical="center"/>
    </xf>
    <xf numFmtId="0" fontId="0" fillId="0" borderId="24" xfId="0" applyBorder="1" applyAlignment="1">
      <alignment horizontal="center" vertical="center"/>
    </xf>
    <xf numFmtId="10" fontId="0" fillId="0" borderId="11" xfId="2" applyNumberFormat="1" applyFont="1" applyBorder="1" applyAlignment="1">
      <alignment horizontal="center" vertical="center"/>
    </xf>
    <xf numFmtId="44" fontId="12" fillId="0" borderId="8" xfId="1" applyFont="1" applyBorder="1" applyAlignment="1">
      <alignment vertical="center"/>
    </xf>
    <xf numFmtId="9" fontId="12" fillId="0" borderId="8" xfId="0" applyNumberFormat="1" applyFont="1" applyBorder="1" applyAlignment="1">
      <alignment vertical="center"/>
    </xf>
    <xf numFmtId="0" fontId="11" fillId="0" borderId="2" xfId="0" applyFont="1" applyBorder="1"/>
    <xf numFmtId="44" fontId="11" fillId="0" borderId="3" xfId="1" applyFont="1" applyBorder="1"/>
    <xf numFmtId="0" fontId="11" fillId="0" borderId="0" xfId="0" applyFont="1"/>
    <xf numFmtId="0" fontId="11" fillId="0" borderId="5" xfId="0" applyFont="1" applyBorder="1"/>
    <xf numFmtId="44" fontId="11" fillId="0" borderId="5" xfId="1" applyFont="1" applyBorder="1"/>
    <xf numFmtId="44" fontId="11" fillId="0" borderId="6" xfId="0" applyNumberFormat="1" applyFont="1" applyBorder="1"/>
    <xf numFmtId="0" fontId="11" fillId="0" borderId="6" xfId="0" applyFont="1" applyBorder="1"/>
    <xf numFmtId="0" fontId="15" fillId="2" borderId="13" xfId="0" applyFont="1" applyFill="1" applyBorder="1" applyAlignment="1">
      <alignment horizontal="right" vertical="center" wrapText="1"/>
    </xf>
    <xf numFmtId="0" fontId="14" fillId="2" borderId="13" xfId="0" applyFont="1" applyFill="1" applyBorder="1" applyAlignment="1">
      <alignment horizontal="left" vertical="center" wrapText="1" readingOrder="1"/>
    </xf>
    <xf numFmtId="44" fontId="14" fillId="2" borderId="14" xfId="0" applyNumberFormat="1" applyFont="1" applyFill="1" applyBorder="1" applyAlignment="1">
      <alignment horizontal="left" vertical="center" wrapText="1" readingOrder="1"/>
    </xf>
    <xf numFmtId="0" fontId="14" fillId="2" borderId="21" xfId="0" applyFont="1" applyFill="1" applyBorder="1" applyAlignment="1">
      <alignment horizontal="left" vertical="center" wrapText="1" readingOrder="1"/>
    </xf>
    <xf numFmtId="0" fontId="16" fillId="2" borderId="22" xfId="0" applyFont="1" applyFill="1" applyBorder="1" applyAlignment="1">
      <alignment horizontal="center" vertical="center" wrapText="1" readingOrder="1"/>
    </xf>
    <xf numFmtId="0" fontId="16" fillId="2" borderId="17" xfId="0" applyFont="1" applyFill="1" applyBorder="1" applyAlignment="1">
      <alignment horizontal="center" vertical="center" wrapText="1" readingOrder="1"/>
    </xf>
    <xf numFmtId="0" fontId="16" fillId="2" borderId="15" xfId="0" applyFont="1" applyFill="1" applyBorder="1" applyAlignment="1">
      <alignment horizontal="left" vertical="center" wrapText="1" readingOrder="1"/>
    </xf>
    <xf numFmtId="0" fontId="15" fillId="2" borderId="16" xfId="0" applyFont="1" applyFill="1" applyBorder="1" applyAlignment="1">
      <alignment horizontal="center" vertical="center" wrapText="1"/>
    </xf>
    <xf numFmtId="0" fontId="16" fillId="2" borderId="16" xfId="0" applyFont="1" applyFill="1" applyBorder="1" applyAlignment="1">
      <alignment horizontal="center" vertical="center" wrapText="1" readingOrder="1"/>
    </xf>
    <xf numFmtId="0" fontId="14" fillId="2" borderId="15" xfId="0" applyFont="1" applyFill="1" applyBorder="1" applyAlignment="1">
      <alignment horizontal="left" vertical="center" wrapText="1" readingOrder="1"/>
    </xf>
    <xf numFmtId="0" fontId="15" fillId="2" borderId="16" xfId="0" applyFont="1" applyFill="1" applyBorder="1" applyAlignment="1">
      <alignment vertical="center" wrapText="1"/>
    </xf>
    <xf numFmtId="10" fontId="14" fillId="2" borderId="16" xfId="0" applyNumberFormat="1" applyFont="1" applyFill="1" applyBorder="1" applyAlignment="1">
      <alignment horizontal="center" vertical="center" wrapText="1" readingOrder="1"/>
    </xf>
    <xf numFmtId="0" fontId="14" fillId="2" borderId="16" xfId="0" applyFont="1" applyFill="1" applyBorder="1" applyAlignment="1">
      <alignment horizontal="center" vertical="center" wrapText="1" readingOrder="1"/>
    </xf>
    <xf numFmtId="0" fontId="18" fillId="2" borderId="15" xfId="0" applyFont="1" applyFill="1" applyBorder="1" applyAlignment="1">
      <alignment horizontal="left" vertical="center" wrapText="1" readingOrder="1"/>
    </xf>
    <xf numFmtId="0" fontId="19" fillId="2" borderId="15" xfId="0" applyFont="1" applyFill="1" applyBorder="1" applyAlignment="1">
      <alignment horizontal="left" vertical="center" wrapText="1" readingOrder="1"/>
    </xf>
    <xf numFmtId="44" fontId="15" fillId="2" borderId="16" xfId="1" applyFont="1" applyFill="1" applyBorder="1" applyAlignment="1">
      <alignment horizontal="right" vertical="center" wrapText="1"/>
    </xf>
    <xf numFmtId="44" fontId="16" fillId="2" borderId="16" xfId="1" applyFont="1" applyFill="1" applyBorder="1" applyAlignment="1">
      <alignment horizontal="right" vertical="center" wrapText="1" readingOrder="1"/>
    </xf>
    <xf numFmtId="44" fontId="15" fillId="2" borderId="16" xfId="1" applyFont="1" applyFill="1" applyBorder="1" applyAlignment="1">
      <alignment vertical="center" wrapText="1"/>
    </xf>
    <xf numFmtId="44" fontId="15" fillId="2" borderId="17" xfId="1" applyFont="1" applyFill="1" applyBorder="1" applyAlignment="1">
      <alignment horizontal="right" vertical="center" wrapText="1"/>
    </xf>
    <xf numFmtId="44" fontId="14" fillId="2" borderId="16" xfId="1" applyFont="1" applyFill="1" applyBorder="1" applyAlignment="1">
      <alignment horizontal="right" vertical="center" wrapText="1" readingOrder="1"/>
    </xf>
    <xf numFmtId="165" fontId="14" fillId="2" borderId="16" xfId="0" applyNumberFormat="1" applyFont="1" applyFill="1" applyBorder="1" applyAlignment="1">
      <alignment horizontal="center" vertical="center" wrapText="1" readingOrder="1"/>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11" fillId="0" borderId="27" xfId="0" applyFont="1" applyBorder="1"/>
    <xf numFmtId="0" fontId="11" fillId="0" borderId="28" xfId="0" applyFont="1" applyBorder="1"/>
    <xf numFmtId="0" fontId="14" fillId="2" borderId="30" xfId="0" applyFont="1" applyFill="1" applyBorder="1" applyAlignment="1">
      <alignment horizontal="left" vertical="center" wrapText="1" readingOrder="1"/>
    </xf>
    <xf numFmtId="0" fontId="16" fillId="2" borderId="32" xfId="0" applyFont="1" applyFill="1" applyBorder="1" applyAlignment="1">
      <alignment horizontal="center" vertical="center" wrapText="1" readingOrder="1"/>
    </xf>
    <xf numFmtId="44" fontId="16" fillId="2" borderId="32" xfId="1" applyFont="1" applyFill="1" applyBorder="1" applyAlignment="1">
      <alignment horizontal="right" vertical="center" wrapText="1" readingOrder="1"/>
    </xf>
    <xf numFmtId="165" fontId="14" fillId="2" borderId="16" xfId="0" applyNumberFormat="1" applyFont="1" applyFill="1" applyBorder="1" applyAlignment="1">
      <alignment horizontal="right" vertical="center" wrapText="1" readingOrder="1"/>
    </xf>
    <xf numFmtId="9" fontId="12" fillId="0" borderId="9" xfId="0" applyNumberFormat="1" applyFont="1" applyBorder="1" applyAlignment="1">
      <alignment vertical="center"/>
    </xf>
    <xf numFmtId="44" fontId="11" fillId="0" borderId="6" xfId="1" applyFont="1" applyBorder="1"/>
    <xf numFmtId="44" fontId="11" fillId="0" borderId="2" xfId="1" applyFont="1" applyBorder="1"/>
    <xf numFmtId="165" fontId="15" fillId="2" borderId="32" xfId="1" applyNumberFormat="1" applyFont="1" applyFill="1" applyBorder="1" applyAlignment="1">
      <alignment horizontal="right" vertical="center" wrapText="1"/>
    </xf>
    <xf numFmtId="44" fontId="24" fillId="2" borderId="16" xfId="1" applyFont="1" applyFill="1" applyBorder="1" applyAlignment="1">
      <alignment horizontal="right" vertical="center" wrapText="1"/>
    </xf>
    <xf numFmtId="0" fontId="21" fillId="0" borderId="15" xfId="0" applyFont="1" applyBorder="1" applyAlignment="1">
      <alignment horizontal="left" vertical="center" wrapText="1" readingOrder="1"/>
    </xf>
    <xf numFmtId="10" fontId="21" fillId="0" borderId="16" xfId="0" applyNumberFormat="1" applyFont="1" applyBorder="1" applyAlignment="1">
      <alignment horizontal="center" vertical="center" wrapText="1" readingOrder="1"/>
    </xf>
    <xf numFmtId="8" fontId="21" fillId="0" borderId="16" xfId="0" applyNumberFormat="1" applyFont="1" applyBorder="1" applyAlignment="1">
      <alignment horizontal="right" vertical="center" wrapText="1" readingOrder="1"/>
    </xf>
    <xf numFmtId="8" fontId="21" fillId="0" borderId="32" xfId="0" applyNumberFormat="1" applyFont="1" applyBorder="1" applyAlignment="1">
      <alignment horizontal="right" vertical="center" wrapText="1" readingOrder="1"/>
    </xf>
    <xf numFmtId="0" fontId="9" fillId="0" borderId="15" xfId="0" applyFont="1" applyBorder="1" applyAlignment="1">
      <alignment horizontal="left" vertical="center" wrapText="1" readingOrder="1"/>
    </xf>
    <xf numFmtId="44" fontId="8" fillId="0" borderId="16" xfId="0" applyNumberFormat="1" applyFont="1" applyBorder="1" applyAlignment="1">
      <alignment horizontal="right" vertical="center" wrapText="1"/>
    </xf>
    <xf numFmtId="0" fontId="6" fillId="0" borderId="16" xfId="0" applyFont="1" applyBorder="1" applyAlignment="1">
      <alignment horizontal="center" vertical="center" wrapText="1" readingOrder="1"/>
    </xf>
    <xf numFmtId="0" fontId="8" fillId="0" borderId="16" xfId="0" applyFont="1" applyBorder="1" applyAlignment="1">
      <alignment horizontal="right" vertical="center" wrapText="1"/>
    </xf>
    <xf numFmtId="44" fontId="8" fillId="0" borderId="17" xfId="0" applyNumberFormat="1" applyFont="1" applyBorder="1" applyAlignment="1">
      <alignment horizontal="right" vertical="center" wrapText="1"/>
    </xf>
    <xf numFmtId="0" fontId="7" fillId="0" borderId="15" xfId="0" applyFont="1" applyBorder="1" applyAlignment="1">
      <alignment horizontal="left" vertical="center" wrapText="1" readingOrder="1"/>
    </xf>
    <xf numFmtId="10" fontId="6" fillId="0" borderId="16" xfId="0" applyNumberFormat="1" applyFont="1" applyBorder="1" applyAlignment="1">
      <alignment horizontal="center" vertical="center" wrapText="1" readingOrder="1"/>
    </xf>
    <xf numFmtId="8" fontId="6" fillId="0" borderId="16" xfId="0" applyNumberFormat="1" applyFont="1" applyBorder="1" applyAlignment="1">
      <alignment horizontal="right" vertical="center" wrapText="1" readingOrder="1"/>
    </xf>
    <xf numFmtId="8" fontId="6" fillId="0" borderId="32" xfId="0" applyNumberFormat="1" applyFont="1" applyBorder="1" applyAlignment="1">
      <alignment horizontal="right" vertical="center" wrapText="1" readingOrder="1"/>
    </xf>
    <xf numFmtId="0" fontId="20" fillId="0" borderId="16" xfId="0" applyFont="1" applyBorder="1" applyAlignment="1">
      <alignment horizontal="right" vertical="center" wrapText="1"/>
    </xf>
    <xf numFmtId="0" fontId="21" fillId="0" borderId="16" xfId="0" applyFont="1" applyBorder="1" applyAlignment="1">
      <alignment horizontal="center" vertical="center" wrapText="1" readingOrder="1"/>
    </xf>
    <xf numFmtId="0" fontId="21" fillId="0" borderId="16" xfId="0" applyFont="1" applyBorder="1" applyAlignment="1">
      <alignment horizontal="right" vertical="center" wrapText="1" readingOrder="1"/>
    </xf>
    <xf numFmtId="0" fontId="21" fillId="0" borderId="32" xfId="0" applyFont="1" applyBorder="1" applyAlignment="1">
      <alignment horizontal="right" vertical="center" wrapText="1" readingOrder="1"/>
    </xf>
    <xf numFmtId="0" fontId="7" fillId="0" borderId="16" xfId="0" applyFont="1" applyBorder="1" applyAlignment="1">
      <alignment horizontal="right" vertical="center" wrapText="1" readingOrder="1"/>
    </xf>
    <xf numFmtId="0" fontId="7" fillId="0" borderId="16" xfId="0" applyFont="1" applyBorder="1" applyAlignment="1">
      <alignment horizontal="center" vertical="center" wrapText="1" readingOrder="1"/>
    </xf>
    <xf numFmtId="8" fontId="7" fillId="0" borderId="16" xfId="0" applyNumberFormat="1" applyFont="1" applyBorder="1" applyAlignment="1">
      <alignment horizontal="right" vertical="center" wrapText="1" readingOrder="1"/>
    </xf>
    <xf numFmtId="8" fontId="7" fillId="0" borderId="32" xfId="0" applyNumberFormat="1" applyFont="1" applyBorder="1" applyAlignment="1">
      <alignment horizontal="right" vertical="center" wrapText="1" readingOrder="1"/>
    </xf>
    <xf numFmtId="44" fontId="13" fillId="0" borderId="17" xfId="1" applyFont="1" applyFill="1" applyBorder="1" applyAlignment="1">
      <alignment horizontal="right" vertical="center" wrapText="1"/>
    </xf>
    <xf numFmtId="0" fontId="7" fillId="0" borderId="32" xfId="0" applyFont="1" applyBorder="1" applyAlignment="1">
      <alignment horizontal="right" vertical="center" wrapText="1" readingOrder="1"/>
    </xf>
    <xf numFmtId="0" fontId="10" fillId="0" borderId="15" xfId="0" applyFont="1" applyBorder="1" applyAlignment="1">
      <alignment horizontal="left" vertical="center" wrapText="1" readingOrder="1"/>
    </xf>
    <xf numFmtId="165" fontId="8" fillId="0" borderId="32" xfId="0" applyNumberFormat="1" applyFont="1" applyBorder="1" applyAlignment="1">
      <alignment horizontal="right" vertical="center" wrapText="1"/>
    </xf>
    <xf numFmtId="0" fontId="22" fillId="0" borderId="5" xfId="0" applyFont="1" applyBorder="1" applyAlignment="1">
      <alignment horizontal="center" vertical="center"/>
    </xf>
    <xf numFmtId="44" fontId="22" fillId="0" borderId="5" xfId="1" applyFont="1" applyFill="1" applyBorder="1" applyAlignment="1">
      <alignment vertical="center"/>
    </xf>
    <xf numFmtId="0" fontId="22" fillId="0" borderId="5" xfId="0" applyFont="1" applyBorder="1" applyAlignment="1">
      <alignment vertical="center"/>
    </xf>
    <xf numFmtId="44" fontId="22" fillId="0" borderId="6" xfId="0" applyNumberFormat="1"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27" xfId="0" applyFont="1" applyBorder="1" applyAlignment="1">
      <alignment vertical="center"/>
    </xf>
    <xf numFmtId="44" fontId="12" fillId="0" borderId="3" xfId="1" applyFont="1" applyFill="1" applyBorder="1" applyAlignment="1">
      <alignment vertical="center"/>
    </xf>
    <xf numFmtId="0" fontId="12" fillId="0" borderId="0" xfId="0" applyFont="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28" xfId="0" applyFont="1" applyBorder="1" applyAlignment="1">
      <alignment vertical="center"/>
    </xf>
    <xf numFmtId="44" fontId="12" fillId="0" borderId="6" xfId="1" applyFont="1" applyFill="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44" fontId="12" fillId="0" borderId="8" xfId="1" applyFont="1" applyFill="1" applyBorder="1" applyAlignment="1">
      <alignment vertical="center"/>
    </xf>
    <xf numFmtId="0" fontId="12" fillId="0" borderId="8" xfId="0" applyFont="1" applyBorder="1" applyAlignment="1">
      <alignment vertical="center"/>
    </xf>
    <xf numFmtId="44" fontId="12" fillId="0" borderId="9" xfId="0" applyNumberFormat="1" applyFont="1" applyBorder="1" applyAlignment="1">
      <alignment vertical="center"/>
    </xf>
    <xf numFmtId="0" fontId="6" fillId="0" borderId="12" xfId="0" applyFont="1" applyBorder="1" applyAlignment="1">
      <alignment horizontal="left" vertical="center" wrapText="1" readingOrder="1"/>
    </xf>
    <xf numFmtId="0" fontId="8" fillId="0" borderId="13" xfId="0" applyFont="1" applyBorder="1" applyAlignment="1">
      <alignment horizontal="right" vertical="center" wrapText="1"/>
    </xf>
    <xf numFmtId="0" fontId="6" fillId="0" borderId="13" xfId="0" applyFont="1" applyBorder="1" applyAlignment="1">
      <alignment horizontal="left" vertical="center" wrapText="1" readingOrder="1"/>
    </xf>
    <xf numFmtId="0" fontId="6" fillId="0" borderId="30" xfId="0" applyFont="1" applyBorder="1" applyAlignment="1">
      <alignment horizontal="left" vertical="center" wrapText="1" readingOrder="1"/>
    </xf>
    <xf numFmtId="44" fontId="6" fillId="0" borderId="14" xfId="0" applyNumberFormat="1" applyFont="1" applyBorder="1" applyAlignment="1">
      <alignment horizontal="left" vertical="center" wrapText="1" readingOrder="1"/>
    </xf>
    <xf numFmtId="0" fontId="6" fillId="0" borderId="21" xfId="0" applyFont="1" applyBorder="1" applyAlignment="1">
      <alignment horizontal="left" vertical="center" wrapText="1" readingOrder="1"/>
    </xf>
    <xf numFmtId="0" fontId="7" fillId="0" borderId="22" xfId="0" applyFont="1" applyBorder="1" applyAlignment="1">
      <alignment horizontal="center" vertical="center" wrapText="1" readingOrder="1"/>
    </xf>
    <xf numFmtId="0" fontId="7" fillId="0" borderId="31" xfId="0" applyFont="1" applyBorder="1" applyAlignment="1">
      <alignment horizontal="center" vertical="center" wrapText="1" readingOrder="1"/>
    </xf>
    <xf numFmtId="0" fontId="7" fillId="0" borderId="17" xfId="0" applyFont="1" applyBorder="1" applyAlignment="1">
      <alignment horizontal="center" vertical="center" wrapText="1" readingOrder="1"/>
    </xf>
    <xf numFmtId="0" fontId="8" fillId="0" borderId="16" xfId="0" applyFont="1" applyBorder="1" applyAlignment="1">
      <alignment horizontal="center" vertical="center" wrapText="1"/>
    </xf>
    <xf numFmtId="0" fontId="7" fillId="0" borderId="32" xfId="0" applyFont="1" applyBorder="1" applyAlignment="1">
      <alignment horizontal="center" vertical="center" wrapText="1" readingOrder="1"/>
    </xf>
    <xf numFmtId="0" fontId="6" fillId="0" borderId="15" xfId="0" applyFont="1" applyBorder="1" applyAlignment="1">
      <alignment horizontal="left" vertical="center" wrapText="1" readingOrder="1"/>
    </xf>
    <xf numFmtId="0" fontId="8" fillId="0" borderId="16" xfId="0" applyFont="1" applyBorder="1" applyAlignment="1">
      <alignment vertical="center" wrapText="1"/>
    </xf>
    <xf numFmtId="0" fontId="6" fillId="0" borderId="16" xfId="0" applyFont="1" applyBorder="1" applyAlignment="1">
      <alignment horizontal="right" vertical="center" wrapText="1" readingOrder="1"/>
    </xf>
    <xf numFmtId="0" fontId="0" fillId="0" borderId="5" xfId="0" applyBorder="1" applyAlignment="1">
      <alignment horizontal="center" vertical="center"/>
    </xf>
    <xf numFmtId="44" fontId="20" fillId="0" borderId="17" xfId="0" applyNumberFormat="1" applyFont="1" applyBorder="1" applyAlignment="1">
      <alignment horizontal="right" vertical="center" wrapText="1"/>
    </xf>
    <xf numFmtId="44" fontId="7" fillId="0" borderId="17" xfId="0" applyNumberFormat="1" applyFont="1" applyBorder="1" applyAlignment="1">
      <alignment horizontal="center" vertical="center" wrapText="1" readingOrder="1"/>
    </xf>
    <xf numFmtId="44" fontId="8" fillId="0" borderId="17" xfId="1" applyFont="1" applyFill="1" applyBorder="1" applyAlignment="1">
      <alignment horizontal="right" vertical="center" wrapText="1"/>
    </xf>
    <xf numFmtId="44" fontId="20" fillId="0" borderId="17" xfId="1" applyFont="1" applyFill="1" applyBorder="1" applyAlignment="1">
      <alignment horizontal="right" vertical="center" wrapText="1"/>
    </xf>
    <xf numFmtId="44" fontId="7" fillId="0" borderId="16" xfId="0" applyNumberFormat="1" applyFont="1" applyBorder="1" applyAlignment="1">
      <alignment horizontal="right" vertical="center" wrapText="1" readingOrder="1"/>
    </xf>
    <xf numFmtId="2" fontId="11" fillId="0" borderId="2" xfId="0" applyNumberFormat="1" applyFont="1" applyBorder="1"/>
    <xf numFmtId="44" fontId="11" fillId="0" borderId="5" xfId="1" applyFont="1" applyBorder="1" applyAlignment="1">
      <alignment horizontal="right"/>
    </xf>
    <xf numFmtId="166" fontId="11" fillId="0" borderId="2" xfId="0" applyNumberFormat="1" applyFont="1" applyBorder="1" applyAlignment="1">
      <alignment horizontal="right"/>
    </xf>
    <xf numFmtId="0" fontId="11" fillId="0" borderId="34" xfId="0" applyFont="1" applyBorder="1"/>
    <xf numFmtId="44" fontId="12" fillId="0" borderId="29" xfId="0" applyNumberFormat="1" applyFont="1" applyBorder="1" applyAlignment="1">
      <alignment vertical="center"/>
    </xf>
    <xf numFmtId="44" fontId="15" fillId="2" borderId="20" xfId="1" applyFont="1" applyFill="1" applyBorder="1" applyAlignment="1">
      <alignment horizontal="right" vertical="center" wrapText="1"/>
    </xf>
    <xf numFmtId="44" fontId="24" fillId="2" borderId="36" xfId="1" applyFont="1" applyFill="1" applyBorder="1" applyAlignment="1">
      <alignment horizontal="right" vertical="center" wrapText="1"/>
    </xf>
    <xf numFmtId="44" fontId="16" fillId="3" borderId="16" xfId="1" applyFont="1" applyFill="1" applyBorder="1" applyAlignment="1">
      <alignment horizontal="right" vertical="center" wrapText="1" readingOrder="1"/>
    </xf>
    <xf numFmtId="0" fontId="16" fillId="3" borderId="16" xfId="0" applyFont="1" applyFill="1" applyBorder="1" applyAlignment="1">
      <alignment horizontal="center" vertical="center" wrapText="1" readingOrder="1"/>
    </xf>
    <xf numFmtId="44" fontId="16" fillId="3" borderId="32" xfId="1" applyFont="1" applyFill="1" applyBorder="1" applyAlignment="1">
      <alignment horizontal="right" vertical="center" wrapText="1" readingOrder="1"/>
    </xf>
    <xf numFmtId="44" fontId="15" fillId="3" borderId="23" xfId="1" applyFont="1" applyFill="1" applyBorder="1" applyAlignment="1">
      <alignment horizontal="right" vertical="center" wrapText="1"/>
    </xf>
    <xf numFmtId="44" fontId="12" fillId="0" borderId="37" xfId="0" applyNumberFormat="1" applyFont="1" applyBorder="1" applyAlignment="1">
      <alignment vertical="center"/>
    </xf>
    <xf numFmtId="0" fontId="8" fillId="0" borderId="20" xfId="0" applyFont="1" applyBorder="1" applyAlignment="1">
      <alignment horizontal="right" vertical="center" wrapText="1"/>
    </xf>
    <xf numFmtId="44" fontId="7" fillId="0" borderId="36" xfId="0" applyNumberFormat="1" applyFont="1" applyBorder="1" applyAlignment="1">
      <alignment horizontal="right" vertical="center" wrapText="1" readingOrder="1"/>
    </xf>
    <xf numFmtId="44" fontId="13" fillId="0" borderId="23" xfId="0" applyNumberFormat="1" applyFont="1" applyBorder="1" applyAlignment="1">
      <alignment horizontal="right" vertical="center" wrapText="1"/>
    </xf>
    <xf numFmtId="44" fontId="14" fillId="2" borderId="19" xfId="1" applyFont="1" applyFill="1" applyBorder="1" applyAlignment="1">
      <alignment horizontal="right" vertical="center" wrapText="1" readingOrder="1"/>
    </xf>
    <xf numFmtId="44" fontId="16" fillId="2" borderId="36" xfId="1" applyFont="1" applyFill="1" applyBorder="1" applyAlignment="1">
      <alignment horizontal="right" vertical="center" wrapText="1" readingOrder="1"/>
    </xf>
    <xf numFmtId="166" fontId="14" fillId="2" borderId="16" xfId="1" applyNumberFormat="1" applyFont="1" applyFill="1" applyBorder="1" applyAlignment="1">
      <alignment horizontal="right" vertical="center" wrapText="1" readingOrder="1"/>
    </xf>
    <xf numFmtId="44" fontId="24" fillId="2" borderId="39" xfId="1" applyFont="1" applyFill="1" applyBorder="1" applyAlignment="1">
      <alignment horizontal="right" vertical="center" wrapText="1"/>
    </xf>
    <xf numFmtId="165" fontId="6" fillId="0" borderId="32" xfId="0" applyNumberFormat="1" applyFont="1" applyBorder="1" applyAlignment="1">
      <alignment horizontal="right" vertical="center" wrapText="1" readingOrder="1"/>
    </xf>
    <xf numFmtId="165" fontId="23" fillId="0" borderId="32" xfId="0" applyNumberFormat="1" applyFont="1" applyBorder="1" applyAlignment="1">
      <alignment horizontal="right" vertical="center" wrapText="1" readingOrder="1"/>
    </xf>
    <xf numFmtId="44" fontId="12" fillId="0" borderId="0" xfId="1" applyFont="1" applyFill="1" applyBorder="1" applyAlignment="1">
      <alignment vertical="center"/>
    </xf>
    <xf numFmtId="44" fontId="22" fillId="0" borderId="0" xfId="0" applyNumberFormat="1" applyFont="1" applyAlignment="1">
      <alignment vertical="center"/>
    </xf>
    <xf numFmtId="44" fontId="12" fillId="0" borderId="0" xfId="0" applyNumberFormat="1" applyFont="1" applyAlignment="1">
      <alignment vertical="center"/>
    </xf>
    <xf numFmtId="44" fontId="6" fillId="0" borderId="0" xfId="0" applyNumberFormat="1" applyFont="1" applyAlignment="1">
      <alignment horizontal="left" vertical="center" wrapText="1" readingOrder="1"/>
    </xf>
    <xf numFmtId="0" fontId="7" fillId="0" borderId="0" xfId="0" applyFont="1" applyAlignment="1">
      <alignment horizontal="center" vertical="center" wrapText="1" readingOrder="1"/>
    </xf>
    <xf numFmtId="44" fontId="7" fillId="0" borderId="0" xfId="0" applyNumberFormat="1" applyFont="1" applyAlignment="1">
      <alignment horizontal="center" vertical="center" wrapText="1" readingOrder="1"/>
    </xf>
    <xf numFmtId="44" fontId="8" fillId="0" borderId="0" xfId="0" applyNumberFormat="1" applyFont="1" applyAlignment="1">
      <alignment horizontal="right" vertical="center" wrapText="1"/>
    </xf>
    <xf numFmtId="44" fontId="8" fillId="0" borderId="0" xfId="1" applyFont="1" applyFill="1" applyBorder="1" applyAlignment="1">
      <alignment horizontal="right" vertical="center" wrapText="1"/>
    </xf>
    <xf numFmtId="44" fontId="20" fillId="0" borderId="0" xfId="0" applyNumberFormat="1" applyFont="1" applyAlignment="1">
      <alignment horizontal="right" vertical="center" wrapText="1"/>
    </xf>
    <xf numFmtId="44" fontId="20" fillId="0" borderId="0" xfId="1" applyFont="1" applyFill="1" applyBorder="1" applyAlignment="1">
      <alignment horizontal="right" vertical="center" wrapText="1"/>
    </xf>
    <xf numFmtId="44" fontId="13" fillId="0" borderId="0" xfId="1" applyFont="1" applyFill="1" applyBorder="1" applyAlignment="1">
      <alignment horizontal="right" vertical="center" wrapText="1"/>
    </xf>
    <xf numFmtId="0" fontId="8" fillId="0" borderId="0" xfId="0" applyFont="1" applyAlignment="1">
      <alignment horizontal="right" vertical="center" wrapText="1"/>
    </xf>
    <xf numFmtId="44" fontId="7" fillId="0" borderId="0" xfId="0" applyNumberFormat="1" applyFont="1" applyAlignment="1">
      <alignment horizontal="right" vertical="center" wrapText="1" readingOrder="1"/>
    </xf>
    <xf numFmtId="0" fontId="11" fillId="0" borderId="0" xfId="0" applyFont="1" applyAlignment="1">
      <alignment vertical="center"/>
    </xf>
    <xf numFmtId="0" fontId="29" fillId="2" borderId="12" xfId="0" applyFont="1" applyFill="1" applyBorder="1" applyAlignment="1">
      <alignment vertical="center" wrapText="1"/>
    </xf>
    <xf numFmtId="0" fontId="29" fillId="2" borderId="15" xfId="0" applyFont="1" applyFill="1" applyBorder="1" applyAlignment="1">
      <alignment vertical="center" wrapText="1"/>
    </xf>
    <xf numFmtId="0" fontId="29" fillId="2" borderId="42" xfId="0" applyFont="1" applyFill="1" applyBorder="1" applyAlignment="1">
      <alignment vertical="center" wrapText="1"/>
    </xf>
    <xf numFmtId="0" fontId="26" fillId="0" borderId="0" xfId="0" applyFont="1" applyAlignment="1">
      <alignment vertical="center"/>
    </xf>
    <xf numFmtId="0" fontId="11" fillId="0" borderId="10" xfId="0" applyFont="1" applyBorder="1" applyAlignment="1">
      <alignment vertical="center"/>
    </xf>
    <xf numFmtId="168" fontId="26" fillId="0" borderId="45" xfId="0" applyNumberFormat="1" applyFont="1" applyBorder="1" applyAlignment="1">
      <alignment vertical="center"/>
    </xf>
    <xf numFmtId="10" fontId="26" fillId="0" borderId="45" xfId="0" applyNumberFormat="1" applyFont="1" applyBorder="1" applyAlignment="1">
      <alignment vertical="center"/>
    </xf>
    <xf numFmtId="168" fontId="26" fillId="0" borderId="11" xfId="0" applyNumberFormat="1" applyFont="1" applyBorder="1" applyAlignment="1">
      <alignment vertical="center"/>
    </xf>
    <xf numFmtId="0" fontId="11" fillId="0" borderId="45" xfId="0" applyFont="1" applyBorder="1" applyAlignment="1">
      <alignment vertical="center"/>
    </xf>
    <xf numFmtId="8" fontId="19" fillId="3" borderId="11" xfId="0" applyNumberFormat="1" applyFont="1" applyFill="1" applyBorder="1" applyAlignment="1">
      <alignment vertical="center"/>
    </xf>
    <xf numFmtId="0" fontId="11" fillId="0" borderId="12" xfId="0" applyFont="1" applyBorder="1" applyAlignment="1">
      <alignment vertical="center"/>
    </xf>
    <xf numFmtId="10" fontId="11" fillId="0" borderId="13" xfId="0" applyNumberFormat="1" applyFont="1" applyBorder="1" applyAlignment="1">
      <alignment vertical="center"/>
    </xf>
    <xf numFmtId="44" fontId="11" fillId="0" borderId="14" xfId="0" applyNumberFormat="1" applyFont="1" applyBorder="1" applyAlignment="1">
      <alignment vertical="center"/>
    </xf>
    <xf numFmtId="0" fontId="11" fillId="0" borderId="15" xfId="0" applyFont="1" applyBorder="1" applyAlignment="1">
      <alignment vertical="center"/>
    </xf>
    <xf numFmtId="44" fontId="11" fillId="0" borderId="16" xfId="0" applyNumberFormat="1" applyFont="1" applyBorder="1" applyAlignment="1">
      <alignment vertical="center"/>
    </xf>
    <xf numFmtId="10" fontId="11" fillId="0" borderId="16" xfId="0" applyNumberFormat="1" applyFont="1" applyBorder="1" applyAlignment="1">
      <alignment vertical="center"/>
    </xf>
    <xf numFmtId="44" fontId="11" fillId="0" borderId="17" xfId="0" applyNumberFormat="1" applyFont="1" applyBorder="1" applyAlignment="1">
      <alignment vertical="center"/>
    </xf>
    <xf numFmtId="168" fontId="14" fillId="2" borderId="16" xfId="0" applyNumberFormat="1" applyFont="1" applyFill="1" applyBorder="1" applyAlignment="1">
      <alignment horizontal="right" vertical="center" wrapText="1" readingOrder="1"/>
    </xf>
    <xf numFmtId="8" fontId="14" fillId="2" borderId="16" xfId="0" applyNumberFormat="1" applyFont="1" applyFill="1" applyBorder="1" applyAlignment="1">
      <alignment horizontal="right" vertical="center" wrapText="1" readingOrder="1"/>
    </xf>
    <xf numFmtId="44" fontId="11" fillId="0" borderId="43" xfId="0" applyNumberFormat="1" applyFont="1" applyBorder="1" applyAlignment="1">
      <alignment vertical="center"/>
    </xf>
    <xf numFmtId="169" fontId="11" fillId="0" borderId="43" xfId="0" applyNumberFormat="1" applyFont="1" applyBorder="1" applyAlignment="1">
      <alignment vertical="center"/>
    </xf>
    <xf numFmtId="44" fontId="19" fillId="3" borderId="44" xfId="1" applyFont="1" applyFill="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44" fontId="12" fillId="0" borderId="14" xfId="0" applyNumberFormat="1"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8" fontId="12" fillId="0" borderId="16" xfId="0" applyNumberFormat="1" applyFont="1" applyBorder="1" applyAlignment="1">
      <alignment vertical="center"/>
    </xf>
    <xf numFmtId="0" fontId="12" fillId="0" borderId="17" xfId="0" applyFont="1" applyBorder="1" applyAlignment="1">
      <alignment vertical="center"/>
    </xf>
    <xf numFmtId="44" fontId="12" fillId="0" borderId="16" xfId="0" applyNumberFormat="1" applyFont="1" applyBorder="1" applyAlignment="1">
      <alignment vertical="center"/>
    </xf>
    <xf numFmtId="10" fontId="12" fillId="0" borderId="16" xfId="0" applyNumberFormat="1" applyFont="1" applyBorder="1" applyAlignment="1">
      <alignment vertical="center"/>
    </xf>
    <xf numFmtId="8" fontId="12" fillId="0" borderId="17" xfId="0" applyNumberFormat="1" applyFont="1" applyBorder="1" applyAlignment="1">
      <alignment vertical="center"/>
    </xf>
    <xf numFmtId="0" fontId="12" fillId="0" borderId="43" xfId="0" applyFont="1" applyBorder="1" applyAlignment="1">
      <alignment vertical="center"/>
    </xf>
    <xf numFmtId="44" fontId="10" fillId="3" borderId="44" xfId="0" applyNumberFormat="1" applyFont="1" applyFill="1" applyBorder="1" applyAlignment="1">
      <alignment vertical="center"/>
    </xf>
    <xf numFmtId="0" fontId="26" fillId="0" borderId="42" xfId="0" applyFont="1" applyBorder="1" applyAlignment="1">
      <alignment vertical="center"/>
    </xf>
    <xf numFmtId="0" fontId="27" fillId="0" borderId="42" xfId="0" applyFont="1" applyBorder="1" applyAlignment="1">
      <alignment vertical="center"/>
    </xf>
    <xf numFmtId="165" fontId="14" fillId="2" borderId="32" xfId="1" applyNumberFormat="1" applyFont="1" applyFill="1" applyBorder="1" applyAlignment="1">
      <alignment horizontal="right" vertical="center" wrapText="1" readingOrder="1"/>
    </xf>
    <xf numFmtId="165" fontId="16" fillId="2" borderId="16" xfId="0" applyNumberFormat="1" applyFont="1" applyFill="1" applyBorder="1" applyAlignment="1">
      <alignment horizontal="right" vertical="center" wrapText="1" readingOrder="1"/>
    </xf>
    <xf numFmtId="8" fontId="15" fillId="2" borderId="17" xfId="1" applyNumberFormat="1" applyFont="1" applyFill="1" applyBorder="1" applyAlignment="1">
      <alignment horizontal="right" vertical="center" wrapText="1"/>
    </xf>
    <xf numFmtId="165" fontId="15" fillId="2" borderId="32" xfId="1" applyNumberFormat="1" applyFont="1" applyFill="1" applyBorder="1" applyAlignment="1">
      <alignment vertical="center" wrapText="1"/>
    </xf>
    <xf numFmtId="44" fontId="14" fillId="2" borderId="38" xfId="1" applyFont="1" applyFill="1" applyBorder="1" applyAlignment="1">
      <alignment horizontal="right" vertical="center" wrapText="1" readingOrder="1"/>
    </xf>
    <xf numFmtId="0" fontId="0" fillId="0" borderId="8" xfId="0" applyBorder="1" applyAlignment="1">
      <alignment vertical="center"/>
    </xf>
    <xf numFmtId="0" fontId="2" fillId="0" borderId="0" xfId="0" applyFont="1" applyAlignment="1">
      <alignment vertical="center"/>
    </xf>
    <xf numFmtId="0" fontId="0" fillId="0" borderId="3" xfId="0" applyBorder="1" applyAlignment="1">
      <alignment vertical="center"/>
    </xf>
    <xf numFmtId="0" fontId="5" fillId="0" borderId="49" xfId="0" applyFont="1" applyBorder="1" applyAlignment="1">
      <alignment vertical="center"/>
    </xf>
    <xf numFmtId="0" fontId="0" fillId="0" borderId="37" xfId="0" applyBorder="1" applyAlignment="1">
      <alignment vertical="center" wrapText="1"/>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167" fontId="0" fillId="3" borderId="4" xfId="0" applyNumberFormat="1" applyFill="1" applyBorder="1" applyAlignment="1">
      <alignment horizontal="lef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8" xfId="0" applyBorder="1" applyAlignment="1">
      <alignment horizontal="center" vertical="center"/>
    </xf>
    <xf numFmtId="0" fontId="0" fillId="0" borderId="51"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 xfId="0" applyBorder="1" applyAlignment="1">
      <alignment vertical="center"/>
    </xf>
    <xf numFmtId="0" fontId="0" fillId="0" borderId="56" xfId="0" applyBorder="1" applyAlignment="1">
      <alignment vertical="center"/>
    </xf>
    <xf numFmtId="0" fontId="0" fillId="0" borderId="56" xfId="0" applyBorder="1" applyAlignment="1">
      <alignment horizontal="center" vertical="center"/>
    </xf>
    <xf numFmtId="167" fontId="0" fillId="3" borderId="25" xfId="0" applyNumberFormat="1" applyFill="1" applyBorder="1"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167" fontId="0" fillId="3" borderId="7" xfId="0" applyNumberFormat="1" applyFill="1" applyBorder="1" applyAlignment="1">
      <alignment horizontal="left" vertical="center"/>
    </xf>
    <xf numFmtId="0" fontId="0" fillId="0" borderId="9" xfId="0" applyBorder="1" applyAlignment="1">
      <alignment horizontal="center" vertical="center"/>
    </xf>
    <xf numFmtId="168" fontId="12" fillId="0" borderId="8" xfId="1" applyNumberFormat="1" applyFont="1" applyBorder="1" applyAlignment="1">
      <alignment vertical="center"/>
    </xf>
    <xf numFmtId="0" fontId="26" fillId="3" borderId="0" xfId="0" applyFont="1" applyFill="1"/>
    <xf numFmtId="0" fontId="11" fillId="3" borderId="0" xfId="0" applyFont="1" applyFill="1"/>
    <xf numFmtId="14" fontId="0" fillId="3" borderId="5" xfId="0" applyNumberFormat="1" applyFill="1" applyBorder="1" applyAlignment="1">
      <alignment horizontal="center" vertical="center"/>
    </xf>
    <xf numFmtId="9" fontId="12" fillId="0" borderId="29" xfId="0" applyNumberFormat="1" applyFont="1" applyBorder="1" applyAlignment="1">
      <alignment vertical="center"/>
    </xf>
    <xf numFmtId="44" fontId="22" fillId="0" borderId="28" xfId="0" applyNumberFormat="1" applyFont="1" applyBorder="1" applyAlignment="1">
      <alignment vertical="center"/>
    </xf>
    <xf numFmtId="0" fontId="33" fillId="3" borderId="1" xfId="0" applyFont="1" applyFill="1" applyBorder="1" applyAlignment="1">
      <alignment horizontal="center" vertical="center"/>
    </xf>
    <xf numFmtId="0" fontId="0" fillId="0" borderId="2" xfId="0" applyBorder="1" applyAlignment="1">
      <alignment horizontal="center" vertical="center"/>
    </xf>
    <xf numFmtId="0" fontId="27" fillId="0" borderId="5"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horizontal="center" vertical="center" wrapText="1"/>
    </xf>
    <xf numFmtId="0" fontId="27" fillId="0" borderId="5" xfId="0" applyFont="1" applyBorder="1" applyAlignment="1">
      <alignment vertical="center" wrapText="1"/>
    </xf>
    <xf numFmtId="0" fontId="27" fillId="0" borderId="6" xfId="0" applyFont="1" applyBorder="1" applyAlignment="1">
      <alignment horizontal="center" vertical="center" wrapText="1"/>
    </xf>
    <xf numFmtId="0" fontId="34" fillId="0" borderId="4" xfId="0" applyFont="1" applyBorder="1" applyAlignment="1">
      <alignment vertical="center"/>
    </xf>
    <xf numFmtId="166" fontId="35" fillId="0" borderId="5" xfId="1" applyNumberFormat="1" applyFont="1" applyBorder="1"/>
    <xf numFmtId="166" fontId="34" fillId="0" borderId="5" xfId="1" applyNumberFormat="1" applyFont="1" applyBorder="1" applyAlignment="1">
      <alignment horizontal="center" vertical="center"/>
    </xf>
    <xf numFmtId="0" fontId="34" fillId="0" borderId="5" xfId="0" applyFont="1" applyBorder="1" applyAlignment="1">
      <alignment vertical="center"/>
    </xf>
    <xf numFmtId="44" fontId="34" fillId="4" borderId="5" xfId="0" applyNumberFormat="1" applyFont="1" applyFill="1" applyBorder="1" applyAlignment="1">
      <alignment vertical="center"/>
    </xf>
    <xf numFmtId="44" fontId="34" fillId="4" borderId="6" xfId="0" applyNumberFormat="1" applyFont="1" applyFill="1" applyBorder="1" applyAlignment="1">
      <alignment vertical="center"/>
    </xf>
    <xf numFmtId="0" fontId="34" fillId="0" borderId="7" xfId="0" applyFont="1" applyBorder="1" applyAlignment="1">
      <alignment vertical="center"/>
    </xf>
    <xf numFmtId="166" fontId="34" fillId="0" borderId="8" xfId="1" applyNumberFormat="1" applyFont="1" applyBorder="1" applyAlignment="1">
      <alignment horizontal="center" vertical="center"/>
    </xf>
    <xf numFmtId="0" fontId="34" fillId="0" borderId="8" xfId="0" applyFont="1" applyBorder="1" applyAlignment="1">
      <alignment vertical="center"/>
    </xf>
    <xf numFmtId="44" fontId="34" fillId="4" borderId="8" xfId="0" applyNumberFormat="1" applyFont="1" applyFill="1" applyBorder="1" applyAlignment="1">
      <alignment vertical="center"/>
    </xf>
    <xf numFmtId="44" fontId="34" fillId="4" borderId="9" xfId="0" applyNumberFormat="1" applyFont="1" applyFill="1" applyBorder="1" applyAlignment="1">
      <alignment vertical="center"/>
    </xf>
    <xf numFmtId="44" fontId="12" fillId="0" borderId="8" xfId="0" applyNumberFormat="1" applyFont="1" applyBorder="1" applyAlignment="1">
      <alignment vertical="center"/>
    </xf>
    <xf numFmtId="168" fontId="11" fillId="0" borderId="28" xfId="0" applyNumberFormat="1" applyFont="1" applyBorder="1"/>
    <xf numFmtId="168" fontId="11" fillId="0" borderId="6" xfId="0" applyNumberFormat="1" applyFont="1" applyBorder="1"/>
    <xf numFmtId="0" fontId="11" fillId="0" borderId="5"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11" fillId="0" borderId="6" xfId="0" applyFont="1" applyBorder="1" applyAlignment="1">
      <alignment horizontal="center"/>
    </xf>
    <xf numFmtId="0" fontId="11" fillId="0" borderId="7" xfId="0" applyFont="1" applyBorder="1"/>
    <xf numFmtId="0" fontId="11" fillId="0" borderId="8" xfId="0" applyFont="1" applyBorder="1" applyAlignment="1">
      <alignment horizontal="center"/>
    </xf>
    <xf numFmtId="0" fontId="11" fillId="0" borderId="9" xfId="0" applyFont="1" applyBorder="1" applyAlignment="1">
      <alignment horizontal="center"/>
    </xf>
    <xf numFmtId="2" fontId="11" fillId="0" borderId="5" xfId="0" applyNumberFormat="1" applyFont="1" applyBorder="1"/>
    <xf numFmtId="0" fontId="15" fillId="2" borderId="22" xfId="0" applyFont="1" applyFill="1" applyBorder="1" applyAlignment="1">
      <alignment horizontal="right" vertical="center" wrapText="1"/>
    </xf>
    <xf numFmtId="0" fontId="14" fillId="2" borderId="22" xfId="0" applyFont="1" applyFill="1" applyBorder="1" applyAlignment="1">
      <alignment horizontal="left" vertical="center" wrapText="1" readingOrder="1"/>
    </xf>
    <xf numFmtId="0" fontId="14" fillId="2" borderId="31" xfId="0" applyFont="1" applyFill="1" applyBorder="1" applyAlignment="1">
      <alignment horizontal="left" vertical="center" wrapText="1" readingOrder="1"/>
    </xf>
    <xf numFmtId="44" fontId="14" fillId="2" borderId="23" xfId="0" applyNumberFormat="1" applyFont="1" applyFill="1" applyBorder="1" applyAlignment="1">
      <alignment horizontal="left" vertical="center" wrapText="1" readingOrder="1"/>
    </xf>
    <xf numFmtId="44" fontId="12" fillId="0" borderId="4" xfId="1" applyFont="1" applyBorder="1" applyAlignment="1">
      <alignment vertical="center"/>
    </xf>
    <xf numFmtId="44" fontId="12" fillId="0" borderId="5" xfId="1" applyFont="1" applyBorder="1" applyAlignment="1">
      <alignment vertical="center"/>
    </xf>
    <xf numFmtId="9" fontId="12" fillId="0" borderId="5" xfId="0" applyNumberFormat="1" applyFont="1" applyBorder="1" applyAlignment="1">
      <alignment vertical="center"/>
    </xf>
    <xf numFmtId="0" fontId="14" fillId="2" borderId="7" xfId="0" applyFont="1" applyFill="1" applyBorder="1" applyAlignment="1">
      <alignment horizontal="left" vertical="center" wrapText="1" readingOrder="1"/>
    </xf>
    <xf numFmtId="0" fontId="11" fillId="0" borderId="8" xfId="0" applyFont="1" applyBorder="1"/>
    <xf numFmtId="44" fontId="26" fillId="0" borderId="9" xfId="0" applyNumberFormat="1" applyFont="1" applyBorder="1"/>
    <xf numFmtId="168" fontId="12" fillId="0" borderId="17" xfId="0" applyNumberFormat="1" applyFont="1" applyBorder="1" applyAlignment="1">
      <alignment vertical="center"/>
    </xf>
    <xf numFmtId="168" fontId="11" fillId="0" borderId="2" xfId="0" applyNumberFormat="1" applyFont="1" applyBorder="1"/>
    <xf numFmtId="168" fontId="11" fillId="0" borderId="5" xfId="0" applyNumberFormat="1" applyFont="1" applyBorder="1"/>
    <xf numFmtId="168" fontId="11" fillId="0" borderId="9" xfId="0" applyNumberFormat="1" applyFont="1" applyBorder="1"/>
    <xf numFmtId="0" fontId="26" fillId="0" borderId="6" xfId="0" applyFont="1" applyBorder="1" applyAlignment="1">
      <alignment horizontal="center"/>
    </xf>
    <xf numFmtId="10" fontId="11" fillId="0" borderId="5" xfId="0" applyNumberFormat="1" applyFont="1" applyBorder="1"/>
    <xf numFmtId="44" fontId="11" fillId="0" borderId="8" xfId="0" applyNumberFormat="1" applyFont="1" applyBorder="1"/>
    <xf numFmtId="168" fontId="11" fillId="0" borderId="8" xfId="0" applyNumberFormat="1" applyFont="1" applyBorder="1"/>
    <xf numFmtId="0" fontId="38" fillId="0" borderId="2" xfId="0" applyFont="1" applyBorder="1" applyAlignment="1">
      <alignment horizontal="center" vertical="center"/>
    </xf>
    <xf numFmtId="168" fontId="15" fillId="2" borderId="20" xfId="1" applyNumberFormat="1" applyFont="1" applyFill="1" applyBorder="1" applyAlignment="1">
      <alignment horizontal="right" vertical="center" wrapText="1"/>
    </xf>
    <xf numFmtId="0" fontId="19" fillId="3" borderId="59" xfId="0" applyFont="1" applyFill="1" applyBorder="1"/>
    <xf numFmtId="0" fontId="19" fillId="3" borderId="60" xfId="0" applyFont="1" applyFill="1" applyBorder="1"/>
    <xf numFmtId="168" fontId="19" fillId="3" borderId="61" xfId="0" applyNumberFormat="1" applyFont="1" applyFill="1" applyBorder="1"/>
    <xf numFmtId="0" fontId="38" fillId="0" borderId="2" xfId="0" applyFont="1" applyBorder="1" applyAlignment="1">
      <alignment horizontal="center"/>
    </xf>
    <xf numFmtId="0" fontId="38" fillId="0" borderId="3" xfId="0" applyFont="1" applyBorder="1" applyAlignment="1">
      <alignment horizont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0" fontId="27" fillId="0" borderId="0" xfId="0" applyFont="1" applyAlignment="1">
      <alignment vertical="center"/>
    </xf>
    <xf numFmtId="44" fontId="27" fillId="0" borderId="0" xfId="0" applyNumberFormat="1" applyFont="1" applyAlignment="1">
      <alignment vertical="center"/>
    </xf>
    <xf numFmtId="0" fontId="27" fillId="0" borderId="0" xfId="0" quotePrefix="1" applyFont="1" applyAlignment="1">
      <alignment vertical="center"/>
    </xf>
    <xf numFmtId="168" fontId="27" fillId="0" borderId="0" xfId="0" applyNumberFormat="1" applyFont="1" applyAlignment="1">
      <alignment vertical="center"/>
    </xf>
    <xf numFmtId="0" fontId="39" fillId="3" borderId="1" xfId="0" applyFont="1" applyFill="1" applyBorder="1"/>
    <xf numFmtId="0" fontId="0" fillId="0" borderId="10" xfId="0" applyBorder="1" applyAlignment="1">
      <alignment vertical="center"/>
    </xf>
    <xf numFmtId="0" fontId="0" fillId="0" borderId="45" xfId="0" applyBorder="1" applyAlignment="1">
      <alignment vertical="center"/>
    </xf>
    <xf numFmtId="6" fontId="0" fillId="0" borderId="11" xfId="0" applyNumberForma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8" fontId="0" fillId="0" borderId="5" xfId="0" applyNumberFormat="1" applyBorder="1" applyAlignment="1">
      <alignment vertical="center"/>
    </xf>
    <xf numFmtId="168" fontId="0" fillId="0" borderId="8" xfId="0" applyNumberFormat="1" applyBorder="1" applyAlignment="1">
      <alignment vertical="center"/>
    </xf>
    <xf numFmtId="0" fontId="0" fillId="0" borderId="1" xfId="0" applyBorder="1" applyAlignment="1">
      <alignment horizontal="center" vertical="center"/>
    </xf>
    <xf numFmtId="164" fontId="0" fillId="0" borderId="5" xfId="0" applyNumberFormat="1" applyBorder="1" applyAlignment="1">
      <alignment vertical="center"/>
    </xf>
    <xf numFmtId="0" fontId="2" fillId="0" borderId="5" xfId="0" applyFont="1" applyBorder="1" applyAlignment="1">
      <alignment horizontal="center" vertical="center"/>
    </xf>
    <xf numFmtId="170" fontId="0" fillId="0" borderId="6" xfId="0" applyNumberFormat="1" applyBorder="1" applyAlignment="1">
      <alignment vertical="center"/>
    </xf>
    <xf numFmtId="164" fontId="0" fillId="0" borderId="8" xfId="0" applyNumberFormat="1" applyBorder="1" applyAlignment="1">
      <alignment vertical="center"/>
    </xf>
    <xf numFmtId="0" fontId="2" fillId="0" borderId="8" xfId="0" applyFont="1" applyBorder="1" applyAlignment="1">
      <alignment horizontal="center" vertical="center"/>
    </xf>
    <xf numFmtId="170" fontId="15" fillId="2" borderId="16" xfId="1" applyNumberFormat="1" applyFont="1" applyFill="1" applyBorder="1" applyAlignment="1">
      <alignment horizontal="right" vertical="center" wrapText="1"/>
    </xf>
    <xf numFmtId="170" fontId="2" fillId="3" borderId="9" xfId="0" applyNumberFormat="1" applyFont="1" applyFill="1" applyBorder="1" applyAlignment="1">
      <alignment vertical="center"/>
    </xf>
    <xf numFmtId="168" fontId="19" fillId="3" borderId="8" xfId="0" applyNumberFormat="1" applyFont="1" applyFill="1" applyBorder="1"/>
    <xf numFmtId="44" fontId="40" fillId="3" borderId="9" xfId="0" applyNumberFormat="1" applyFont="1" applyFill="1" applyBorder="1" applyAlignment="1">
      <alignment vertical="center"/>
    </xf>
    <xf numFmtId="0" fontId="26" fillId="3" borderId="62" xfId="0" applyFont="1" applyFill="1" applyBorder="1"/>
    <xf numFmtId="0" fontId="12" fillId="0" borderId="1" xfId="0" applyFont="1" applyBorder="1"/>
    <xf numFmtId="2" fontId="12" fillId="0" borderId="2" xfId="0" applyNumberFormat="1" applyFont="1" applyBorder="1"/>
    <xf numFmtId="44" fontId="12" fillId="0" borderId="2" xfId="0" applyNumberFormat="1" applyFont="1" applyBorder="1"/>
    <xf numFmtId="0" fontId="12" fillId="0" borderId="2" xfId="0" applyFont="1" applyBorder="1"/>
    <xf numFmtId="0" fontId="12" fillId="0" borderId="27" xfId="0" applyFont="1" applyBorder="1"/>
    <xf numFmtId="44" fontId="12" fillId="0" borderId="3" xfId="1" applyFont="1" applyBorder="1"/>
    <xf numFmtId="0" fontId="12" fillId="0" borderId="4" xfId="0" applyFont="1" applyBorder="1"/>
    <xf numFmtId="0" fontId="12" fillId="0" borderId="5" xfId="0" applyFont="1" applyBorder="1"/>
    <xf numFmtId="44" fontId="12" fillId="0" borderId="5" xfId="1" applyFont="1" applyBorder="1"/>
    <xf numFmtId="0" fontId="12" fillId="0" borderId="28" xfId="0" applyFont="1" applyBorder="1"/>
    <xf numFmtId="44" fontId="12" fillId="0" borderId="6" xfId="0" applyNumberFormat="1" applyFont="1" applyBorder="1"/>
    <xf numFmtId="44" fontId="12" fillId="0" borderId="5" xfId="0" applyNumberFormat="1" applyFont="1" applyBorder="1"/>
    <xf numFmtId="166" fontId="12" fillId="0" borderId="5" xfId="0" applyNumberFormat="1" applyFont="1" applyBorder="1"/>
    <xf numFmtId="166" fontId="12" fillId="0" borderId="6" xfId="0" applyNumberFormat="1" applyFont="1" applyBorder="1"/>
    <xf numFmtId="44" fontId="12" fillId="0" borderId="9" xfId="1" applyFont="1" applyBorder="1"/>
    <xf numFmtId="0" fontId="6" fillId="2" borderId="12" xfId="0" applyFont="1" applyFill="1" applyBorder="1" applyAlignment="1">
      <alignment horizontal="left" vertical="center" wrapText="1" readingOrder="1"/>
    </xf>
    <xf numFmtId="0" fontId="12" fillId="0" borderId="0" xfId="0" applyFont="1"/>
    <xf numFmtId="44" fontId="27" fillId="0" borderId="33" xfId="0" applyNumberFormat="1" applyFont="1" applyBorder="1"/>
    <xf numFmtId="0" fontId="8" fillId="2" borderId="13" xfId="0" applyFont="1" applyFill="1" applyBorder="1" applyAlignment="1">
      <alignment horizontal="right" vertical="center" wrapText="1"/>
    </xf>
    <xf numFmtId="0" fontId="6" fillId="2" borderId="13" xfId="0" applyFont="1" applyFill="1" applyBorder="1" applyAlignment="1">
      <alignment horizontal="left" vertical="center" wrapText="1" readingOrder="1"/>
    </xf>
    <xf numFmtId="0" fontId="6" fillId="2" borderId="30" xfId="0" applyFont="1" applyFill="1" applyBorder="1" applyAlignment="1">
      <alignment horizontal="left" vertical="center" wrapText="1" readingOrder="1"/>
    </xf>
    <xf numFmtId="44" fontId="6" fillId="2" borderId="14" xfId="0" applyNumberFormat="1" applyFont="1" applyFill="1" applyBorder="1" applyAlignment="1">
      <alignment horizontal="left" vertical="center" wrapText="1" readingOrder="1"/>
    </xf>
    <xf numFmtId="0" fontId="6" fillId="2" borderId="21" xfId="0" applyFont="1" applyFill="1" applyBorder="1" applyAlignment="1">
      <alignment horizontal="left" vertical="center" wrapText="1" readingOrder="1"/>
    </xf>
    <xf numFmtId="0" fontId="7" fillId="2" borderId="22" xfId="0" applyFont="1" applyFill="1" applyBorder="1" applyAlignment="1">
      <alignment horizontal="center" vertical="center" wrapText="1" readingOrder="1"/>
    </xf>
    <xf numFmtId="0" fontId="7" fillId="2" borderId="17" xfId="0" applyFont="1" applyFill="1" applyBorder="1" applyAlignment="1">
      <alignment horizontal="center" vertical="center" wrapText="1" readingOrder="1"/>
    </xf>
    <xf numFmtId="0" fontId="7" fillId="2" borderId="15" xfId="0" applyFont="1" applyFill="1" applyBorder="1" applyAlignment="1">
      <alignment horizontal="left" vertical="center" wrapText="1" readingOrder="1"/>
    </xf>
    <xf numFmtId="0" fontId="8"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readingOrder="1"/>
    </xf>
    <xf numFmtId="0" fontId="7" fillId="2" borderId="32"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44" fontId="8" fillId="2" borderId="16" xfId="1" applyFont="1" applyFill="1" applyBorder="1" applyAlignment="1">
      <alignment horizontal="right" vertical="center" wrapText="1"/>
    </xf>
    <xf numFmtId="0" fontId="8" fillId="2" borderId="16" xfId="0" applyFont="1" applyFill="1" applyBorder="1" applyAlignment="1">
      <alignment vertical="center" wrapText="1"/>
    </xf>
    <xf numFmtId="44" fontId="8" fillId="2" borderId="16" xfId="1" applyFont="1" applyFill="1" applyBorder="1" applyAlignment="1">
      <alignment vertical="center" wrapText="1"/>
    </xf>
    <xf numFmtId="165" fontId="8" fillId="2" borderId="32" xfId="1" applyNumberFormat="1" applyFont="1" applyFill="1" applyBorder="1" applyAlignment="1">
      <alignment vertical="center" wrapText="1"/>
    </xf>
    <xf numFmtId="44" fontId="8" fillId="2" borderId="17" xfId="1" applyFont="1" applyFill="1" applyBorder="1" applyAlignment="1">
      <alignment horizontal="right" vertical="center" wrapText="1"/>
    </xf>
    <xf numFmtId="10" fontId="6" fillId="2" borderId="16" xfId="0" applyNumberFormat="1" applyFont="1" applyFill="1" applyBorder="1" applyAlignment="1">
      <alignment horizontal="center" vertical="center" wrapText="1" readingOrder="1"/>
    </xf>
    <xf numFmtId="44" fontId="6" fillId="2" borderId="16" xfId="1" applyFont="1" applyFill="1" applyBorder="1" applyAlignment="1">
      <alignment horizontal="right" vertical="center" wrapText="1" readingOrder="1"/>
    </xf>
    <xf numFmtId="165" fontId="6" fillId="2" borderId="32" xfId="1" applyNumberFormat="1" applyFont="1" applyFill="1" applyBorder="1" applyAlignment="1">
      <alignment horizontal="right" vertical="center" wrapText="1" readingOrder="1"/>
    </xf>
    <xf numFmtId="165" fontId="6" fillId="2" borderId="16" xfId="0" applyNumberFormat="1" applyFont="1" applyFill="1" applyBorder="1" applyAlignment="1">
      <alignment horizontal="right" vertical="center" wrapText="1" readingOrder="1"/>
    </xf>
    <xf numFmtId="0" fontId="6" fillId="2" borderId="16" xfId="0" applyFont="1" applyFill="1" applyBorder="1" applyAlignment="1">
      <alignment horizontal="center" vertical="center" wrapText="1" readingOrder="1"/>
    </xf>
    <xf numFmtId="165" fontId="8" fillId="2" borderId="32" xfId="1" applyNumberFormat="1" applyFont="1" applyFill="1" applyBorder="1" applyAlignment="1">
      <alignment horizontal="right" vertical="center" wrapText="1"/>
    </xf>
    <xf numFmtId="0" fontId="9" fillId="2" borderId="15" xfId="0" applyFont="1" applyFill="1" applyBorder="1" applyAlignment="1">
      <alignment horizontal="left" vertical="center" wrapText="1" readingOrder="1"/>
    </xf>
    <xf numFmtId="8" fontId="8" fillId="2" borderId="17" xfId="1" applyNumberFormat="1" applyFont="1" applyFill="1" applyBorder="1" applyAlignment="1">
      <alignment horizontal="right" vertical="center" wrapText="1"/>
    </xf>
    <xf numFmtId="165" fontId="6" fillId="2" borderId="16" xfId="0" applyNumberFormat="1" applyFont="1" applyFill="1" applyBorder="1" applyAlignment="1">
      <alignment horizontal="center" vertical="center" wrapText="1" readingOrder="1"/>
    </xf>
    <xf numFmtId="44" fontId="13" fillId="2" borderId="16" xfId="1" applyFont="1" applyFill="1" applyBorder="1" applyAlignment="1">
      <alignment horizontal="right" vertical="center" wrapText="1"/>
    </xf>
    <xf numFmtId="44" fontId="6" fillId="2" borderId="32" xfId="1" applyFont="1" applyFill="1" applyBorder="1" applyAlignment="1">
      <alignment horizontal="right" vertical="center" wrapText="1" readingOrder="1"/>
    </xf>
    <xf numFmtId="44" fontId="8" fillId="2" borderId="20" xfId="1" applyFont="1" applyFill="1" applyBorder="1" applyAlignment="1">
      <alignment horizontal="right" vertical="center" wrapText="1"/>
    </xf>
    <xf numFmtId="44" fontId="6" fillId="2" borderId="19" xfId="1" applyFont="1" applyFill="1" applyBorder="1" applyAlignment="1">
      <alignment horizontal="right" vertical="center" wrapText="1" readingOrder="1"/>
    </xf>
    <xf numFmtId="44" fontId="7" fillId="2" borderId="16" xfId="1" applyFont="1" applyFill="1" applyBorder="1" applyAlignment="1">
      <alignment horizontal="right" vertical="center" wrapText="1" readingOrder="1"/>
    </xf>
    <xf numFmtId="44" fontId="7" fillId="2" borderId="36" xfId="1" applyFont="1" applyFill="1" applyBorder="1" applyAlignment="1">
      <alignment horizontal="right" vertical="center" wrapText="1" readingOrder="1"/>
    </xf>
    <xf numFmtId="44" fontId="7" fillId="2" borderId="38" xfId="1" applyFont="1" applyFill="1" applyBorder="1" applyAlignment="1">
      <alignment horizontal="right" vertical="center" wrapText="1" readingOrder="1"/>
    </xf>
    <xf numFmtId="44" fontId="7" fillId="2" borderId="32" xfId="1" applyFont="1" applyFill="1" applyBorder="1" applyAlignment="1">
      <alignment horizontal="right" vertical="center" wrapText="1" readingOrder="1"/>
    </xf>
    <xf numFmtId="0" fontId="10" fillId="2" borderId="15" xfId="0" applyFont="1" applyFill="1" applyBorder="1" applyAlignment="1">
      <alignment horizontal="left" vertical="center" wrapText="1" readingOrder="1"/>
    </xf>
    <xf numFmtId="44" fontId="13" fillId="2" borderId="36" xfId="1" applyFont="1" applyFill="1" applyBorder="1" applyAlignment="1">
      <alignment horizontal="right" vertical="center" wrapText="1"/>
    </xf>
    <xf numFmtId="44" fontId="7" fillId="3" borderId="16" xfId="1" applyFont="1" applyFill="1" applyBorder="1" applyAlignment="1">
      <alignment horizontal="right" vertical="center" wrapText="1" readingOrder="1"/>
    </xf>
    <xf numFmtId="0" fontId="7" fillId="3" borderId="16" xfId="0" applyFont="1" applyFill="1" applyBorder="1" applyAlignment="1">
      <alignment horizontal="center" vertical="center" wrapText="1" readingOrder="1"/>
    </xf>
    <xf numFmtId="44" fontId="7" fillId="3" borderId="32" xfId="1" applyFont="1" applyFill="1" applyBorder="1" applyAlignment="1">
      <alignment horizontal="right" vertical="center" wrapText="1" readingOrder="1"/>
    </xf>
    <xf numFmtId="44" fontId="8" fillId="3" borderId="23" xfId="1" applyFont="1" applyFill="1" applyBorder="1" applyAlignment="1">
      <alignment horizontal="right" vertical="center" wrapText="1"/>
    </xf>
    <xf numFmtId="0" fontId="42" fillId="3" borderId="0" xfId="0" applyFont="1" applyFill="1" applyAlignment="1">
      <alignment horizontal="center" vertical="center"/>
    </xf>
    <xf numFmtId="0" fontId="11" fillId="0" borderId="2"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6" xfId="0" applyFont="1" applyBorder="1" applyAlignment="1">
      <alignment vertical="center"/>
    </xf>
    <xf numFmtId="44" fontId="11" fillId="0" borderId="3" xfId="1" applyFont="1" applyBorder="1" applyAlignment="1">
      <alignment vertical="center"/>
    </xf>
    <xf numFmtId="43" fontId="11" fillId="0" borderId="6" xfId="3" applyFont="1" applyBorder="1" applyAlignment="1">
      <alignment vertical="center"/>
    </xf>
    <xf numFmtId="171" fontId="11" fillId="0" borderId="6" xfId="2" applyNumberFormat="1" applyFont="1" applyBorder="1" applyAlignment="1">
      <alignment vertical="center"/>
    </xf>
    <xf numFmtId="0" fontId="15" fillId="0" borderId="4" xfId="0" applyFont="1" applyBorder="1" applyAlignment="1">
      <alignment vertical="center"/>
    </xf>
    <xf numFmtId="10" fontId="15" fillId="0" borderId="6" xfId="0" applyNumberFormat="1" applyFont="1" applyBorder="1" applyAlignment="1">
      <alignment vertical="center"/>
    </xf>
    <xf numFmtId="8" fontId="11" fillId="0" borderId="6" xfId="0" applyNumberFormat="1" applyFont="1" applyBorder="1" applyAlignment="1">
      <alignment vertical="center"/>
    </xf>
    <xf numFmtId="9" fontId="11" fillId="0" borderId="6" xfId="0" applyNumberFormat="1" applyFont="1" applyBorder="1" applyAlignment="1">
      <alignment vertical="center"/>
    </xf>
    <xf numFmtId="0" fontId="11" fillId="0" borderId="7" xfId="0" applyFont="1" applyBorder="1" applyAlignment="1">
      <alignment vertical="center"/>
    </xf>
    <xf numFmtId="44" fontId="12" fillId="0" borderId="6" xfId="0" applyNumberFormat="1" applyFont="1" applyBorder="1" applyAlignment="1">
      <alignment vertical="center"/>
    </xf>
    <xf numFmtId="0" fontId="27" fillId="0" borderId="4" xfId="0" applyFont="1" applyBorder="1" applyAlignment="1">
      <alignment vertical="center"/>
    </xf>
    <xf numFmtId="10" fontId="11" fillId="0" borderId="6" xfId="0" applyNumberFormat="1" applyFont="1" applyBorder="1" applyAlignment="1">
      <alignment vertical="center"/>
    </xf>
    <xf numFmtId="10" fontId="11" fillId="0" borderId="9" xfId="0" applyNumberFormat="1" applyFont="1" applyBorder="1" applyAlignment="1">
      <alignment vertical="center"/>
    </xf>
    <xf numFmtId="0" fontId="11" fillId="0" borderId="0" xfId="0" applyFont="1" applyAlignment="1">
      <alignment horizontal="center" vertical="center"/>
    </xf>
    <xf numFmtId="0" fontId="11" fillId="0" borderId="43" xfId="0" applyFont="1" applyBorder="1" applyAlignment="1">
      <alignment vertical="center"/>
    </xf>
    <xf numFmtId="0" fontId="26" fillId="0" borderId="38" xfId="0" applyFont="1" applyBorder="1" applyAlignment="1">
      <alignment vertical="center"/>
    </xf>
    <xf numFmtId="0" fontId="11" fillId="0" borderId="38" xfId="0" applyFont="1" applyBorder="1" applyAlignment="1">
      <alignment vertical="center"/>
    </xf>
    <xf numFmtId="0" fontId="19" fillId="0" borderId="15" xfId="0" applyFont="1" applyBorder="1" applyAlignment="1">
      <alignment horizontal="left" vertical="center" wrapText="1" readingOrder="1"/>
    </xf>
    <xf numFmtId="0" fontId="16" fillId="0" borderId="16" xfId="0" applyFont="1" applyBorder="1" applyAlignment="1">
      <alignment horizontal="center" vertical="center" wrapText="1" readingOrder="1"/>
    </xf>
    <xf numFmtId="44" fontId="16" fillId="0" borderId="16" xfId="1" applyFont="1" applyFill="1" applyBorder="1" applyAlignment="1">
      <alignment horizontal="center" vertical="center" wrapText="1" readingOrder="1"/>
    </xf>
    <xf numFmtId="0" fontId="16" fillId="0" borderId="16" xfId="0" applyFont="1" applyBorder="1" applyAlignment="1">
      <alignment horizontal="center" vertical="center" readingOrder="1"/>
    </xf>
    <xf numFmtId="44" fontId="16" fillId="0" borderId="64" xfId="1" applyFont="1" applyFill="1" applyBorder="1" applyAlignment="1">
      <alignment horizontal="center" vertical="center" wrapText="1" readingOrder="1"/>
    </xf>
    <xf numFmtId="0" fontId="14" fillId="0" borderId="15" xfId="0" applyFont="1" applyBorder="1" applyAlignment="1">
      <alignment horizontal="left" vertical="center" wrapText="1" readingOrder="1"/>
    </xf>
    <xf numFmtId="0" fontId="14" fillId="0" borderId="16" xfId="0" applyFont="1" applyBorder="1" applyAlignment="1">
      <alignment horizontal="center" vertical="center" wrapText="1" readingOrder="1"/>
    </xf>
    <xf numFmtId="44" fontId="16" fillId="0" borderId="16" xfId="0" applyNumberFormat="1" applyFont="1" applyBorder="1" applyAlignment="1">
      <alignment horizontal="center" vertical="center" wrapText="1" readingOrder="1"/>
    </xf>
    <xf numFmtId="0" fontId="16" fillId="0" borderId="32" xfId="0" applyFont="1" applyBorder="1" applyAlignment="1">
      <alignment horizontal="center" vertical="center" wrapText="1" readingOrder="1"/>
    </xf>
    <xf numFmtId="44" fontId="15" fillId="0" borderId="64" xfId="0" applyNumberFormat="1" applyFont="1" applyBorder="1" applyAlignment="1">
      <alignment horizontal="center" vertical="center" wrapText="1"/>
    </xf>
    <xf numFmtId="44" fontId="14" fillId="0" borderId="16" xfId="0" applyNumberFormat="1" applyFont="1" applyBorder="1" applyAlignment="1">
      <alignment horizontal="center" vertical="center" wrapText="1" readingOrder="1"/>
    </xf>
    <xf numFmtId="10" fontId="16" fillId="0" borderId="16" xfId="0" applyNumberFormat="1" applyFont="1" applyBorder="1" applyAlignment="1">
      <alignment horizontal="center" vertical="center" wrapText="1" readingOrder="1"/>
    </xf>
    <xf numFmtId="0" fontId="16" fillId="0" borderId="64" xfId="0" applyFont="1" applyBorder="1" applyAlignment="1">
      <alignment horizontal="center" vertical="center" wrapText="1" readingOrder="1"/>
    </xf>
    <xf numFmtId="0" fontId="26" fillId="0" borderId="16" xfId="0" applyFont="1" applyBorder="1" applyAlignment="1">
      <alignment horizontal="center" vertical="center" wrapText="1" readingOrder="1"/>
    </xf>
    <xf numFmtId="0" fontId="43" fillId="0" borderId="42" xfId="4" applyFont="1" applyBorder="1" applyAlignment="1">
      <alignment horizontal="center" vertical="center"/>
    </xf>
    <xf numFmtId="0" fontId="44" fillId="0" borderId="43" xfId="4" applyFont="1" applyBorder="1" applyAlignment="1">
      <alignment horizontal="center" vertical="center"/>
    </xf>
    <xf numFmtId="0" fontId="44" fillId="0" borderId="63" xfId="4" applyFont="1" applyBorder="1" applyAlignment="1">
      <alignment horizontal="center" vertical="center"/>
    </xf>
    <xf numFmtId="44" fontId="24" fillId="2" borderId="65" xfId="0" applyNumberFormat="1" applyFont="1" applyFill="1" applyBorder="1" applyAlignment="1">
      <alignment horizontal="center" vertical="center" wrapText="1"/>
    </xf>
    <xf numFmtId="10" fontId="11" fillId="0" borderId="5" xfId="0" applyNumberFormat="1" applyFont="1" applyBorder="1" applyAlignment="1">
      <alignment vertical="center"/>
    </xf>
    <xf numFmtId="0" fontId="29" fillId="0" borderId="12" xfId="0" applyFont="1" applyBorder="1" applyAlignment="1">
      <alignment vertical="center"/>
    </xf>
    <xf numFmtId="44" fontId="29" fillId="0" borderId="13" xfId="0" applyNumberFormat="1" applyFont="1" applyBorder="1" applyAlignment="1">
      <alignment vertical="center"/>
    </xf>
    <xf numFmtId="10" fontId="29" fillId="0" borderId="13" xfId="0" applyNumberFormat="1" applyFont="1" applyBorder="1" applyAlignment="1">
      <alignment vertical="center"/>
    </xf>
    <xf numFmtId="44" fontId="29" fillId="0" borderId="14" xfId="0" applyNumberFormat="1" applyFont="1" applyBorder="1" applyAlignment="1">
      <alignment vertical="center"/>
    </xf>
    <xf numFmtId="0" fontId="29" fillId="0" borderId="15" xfId="0" applyFont="1" applyBorder="1" applyAlignment="1">
      <alignment vertical="center"/>
    </xf>
    <xf numFmtId="44" fontId="29" fillId="0" borderId="16" xfId="0" applyNumberFormat="1" applyFont="1" applyBorder="1" applyAlignment="1">
      <alignment vertical="center"/>
    </xf>
    <xf numFmtId="10" fontId="29" fillId="0" borderId="16" xfId="0" applyNumberFormat="1" applyFont="1" applyBorder="1" applyAlignment="1">
      <alignment vertical="center"/>
    </xf>
    <xf numFmtId="44" fontId="29" fillId="0" borderId="17" xfId="0" applyNumberFormat="1" applyFont="1" applyBorder="1" applyAlignment="1">
      <alignment vertical="center"/>
    </xf>
    <xf numFmtId="10" fontId="29" fillId="0" borderId="16" xfId="2" applyNumberFormat="1" applyFont="1" applyBorder="1" applyAlignment="1">
      <alignment vertical="center"/>
    </xf>
    <xf numFmtId="0" fontId="29" fillId="0" borderId="16" xfId="0" applyFont="1" applyBorder="1" applyAlignment="1">
      <alignment vertical="center"/>
    </xf>
    <xf numFmtId="169" fontId="29" fillId="0" borderId="16" xfId="0" applyNumberFormat="1" applyFont="1" applyBorder="1" applyAlignment="1">
      <alignment vertical="center"/>
    </xf>
    <xf numFmtId="0" fontId="29" fillId="0" borderId="17" xfId="0" applyFont="1" applyBorder="1" applyAlignment="1">
      <alignment vertical="center"/>
    </xf>
    <xf numFmtId="0" fontId="29" fillId="0" borderId="42" xfId="0" applyFont="1" applyBorder="1" applyAlignment="1">
      <alignment vertical="center"/>
    </xf>
    <xf numFmtId="44" fontId="29" fillId="0" borderId="43" xfId="0" applyNumberFormat="1" applyFont="1" applyBorder="1" applyAlignment="1">
      <alignment vertical="center"/>
    </xf>
    <xf numFmtId="169" fontId="29" fillId="0" borderId="43" xfId="0" applyNumberFormat="1" applyFont="1" applyBorder="1" applyAlignment="1">
      <alignment vertical="center"/>
    </xf>
    <xf numFmtId="44" fontId="29" fillId="0" borderId="44" xfId="1" applyFont="1" applyBorder="1" applyAlignment="1">
      <alignment vertical="center"/>
    </xf>
    <xf numFmtId="0" fontId="29" fillId="0" borderId="18" xfId="0" applyFont="1" applyBorder="1" applyAlignment="1">
      <alignment vertical="center"/>
    </xf>
    <xf numFmtId="44" fontId="29" fillId="0" borderId="0" xfId="0" applyNumberFormat="1" applyFont="1" applyAlignment="1">
      <alignment vertical="center"/>
    </xf>
    <xf numFmtId="169" fontId="29" fillId="0" borderId="0" xfId="0" applyNumberFormat="1" applyFont="1" applyAlignment="1">
      <alignment vertical="center"/>
    </xf>
    <xf numFmtId="44" fontId="29" fillId="0" borderId="0" xfId="1" applyFont="1" applyBorder="1" applyAlignment="1">
      <alignment vertical="center"/>
    </xf>
    <xf numFmtId="0" fontId="16" fillId="3" borderId="18" xfId="0" applyFont="1" applyFill="1" applyBorder="1" applyAlignment="1">
      <alignment horizontal="left" vertical="center" wrapText="1" readingOrder="1"/>
    </xf>
    <xf numFmtId="0" fontId="45" fillId="0" borderId="1" xfId="0" applyFont="1" applyBorder="1" applyAlignment="1">
      <alignment horizontal="justify" vertical="center"/>
    </xf>
    <xf numFmtId="44" fontId="15" fillId="0" borderId="2" xfId="1" applyFont="1" applyFill="1" applyBorder="1" applyAlignment="1">
      <alignment horizontal="right" vertical="center"/>
    </xf>
    <xf numFmtId="0" fontId="45" fillId="0" borderId="4" xfId="0" applyFont="1" applyBorder="1" applyAlignment="1">
      <alignment vertical="center"/>
    </xf>
    <xf numFmtId="44" fontId="11" fillId="0" borderId="5" xfId="1" applyFont="1" applyBorder="1" applyAlignment="1">
      <alignment vertical="center"/>
    </xf>
    <xf numFmtId="9" fontId="11" fillId="0" borderId="5" xfId="0" applyNumberFormat="1" applyFont="1" applyBorder="1" applyAlignment="1">
      <alignment vertical="center"/>
    </xf>
    <xf numFmtId="44" fontId="11" fillId="0" borderId="6" xfId="0" applyNumberFormat="1" applyFont="1" applyBorder="1" applyAlignment="1">
      <alignment vertical="center"/>
    </xf>
    <xf numFmtId="0" fontId="45" fillId="0" borderId="7" xfId="0" applyFont="1" applyBorder="1" applyAlignment="1">
      <alignment vertical="center"/>
    </xf>
    <xf numFmtId="44" fontId="11" fillId="0" borderId="8" xfId="1" applyFont="1" applyBorder="1" applyAlignment="1">
      <alignment vertical="center"/>
    </xf>
    <xf numFmtId="0" fontId="11" fillId="0" borderId="8" xfId="0" applyFont="1" applyBorder="1" applyAlignment="1">
      <alignment vertical="center"/>
    </xf>
    <xf numFmtId="8" fontId="11" fillId="0" borderId="9" xfId="0" applyNumberFormat="1" applyFont="1" applyBorder="1" applyAlignment="1">
      <alignment vertical="center"/>
    </xf>
    <xf numFmtId="0" fontId="16" fillId="3" borderId="12" xfId="0" applyFont="1" applyFill="1" applyBorder="1" applyAlignment="1">
      <alignment horizontal="left" vertical="center" wrapText="1" readingOrder="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46" fillId="2" borderId="15" xfId="0" applyFont="1" applyFill="1" applyBorder="1" applyAlignment="1">
      <alignment horizontal="left" vertical="center" wrapText="1" readingOrder="1"/>
    </xf>
    <xf numFmtId="0" fontId="11" fillId="0" borderId="16" xfId="0" applyFont="1" applyBorder="1" applyAlignment="1">
      <alignment vertical="center"/>
    </xf>
    <xf numFmtId="0" fontId="46" fillId="2" borderId="17" xfId="0" applyFont="1" applyFill="1" applyBorder="1" applyAlignment="1">
      <alignment horizontal="right" vertical="center" wrapText="1" readingOrder="1"/>
    </xf>
    <xf numFmtId="165" fontId="11" fillId="0" borderId="16" xfId="0" applyNumberFormat="1" applyFont="1" applyBorder="1" applyAlignment="1">
      <alignment vertical="center"/>
    </xf>
    <xf numFmtId="0" fontId="47" fillId="2" borderId="42" xfId="0" applyFont="1" applyFill="1" applyBorder="1" applyAlignment="1">
      <alignment horizontal="left" vertical="center" wrapText="1" readingOrder="1"/>
    </xf>
    <xf numFmtId="44" fontId="11" fillId="0" borderId="64" xfId="0" applyNumberFormat="1" applyFont="1" applyBorder="1" applyAlignment="1">
      <alignment vertical="center"/>
    </xf>
    <xf numFmtId="8" fontId="16" fillId="0" borderId="16" xfId="0" applyNumberFormat="1" applyFont="1" applyBorder="1" applyAlignment="1">
      <alignment horizontal="center" vertical="center" wrapText="1" readingOrder="1"/>
    </xf>
    <xf numFmtId="44" fontId="11" fillId="0" borderId="3" xfId="0" applyNumberFormat="1" applyFont="1" applyBorder="1" applyAlignment="1">
      <alignment vertical="center"/>
    </xf>
    <xf numFmtId="10" fontId="41" fillId="0" borderId="6" xfId="4" applyNumberFormat="1" applyBorder="1" applyAlignment="1">
      <alignment vertical="center"/>
    </xf>
    <xf numFmtId="166" fontId="35" fillId="0" borderId="5" xfId="1" applyNumberFormat="1" applyFont="1" applyBorder="1" applyAlignment="1">
      <alignment vertical="center"/>
    </xf>
    <xf numFmtId="0" fontId="14" fillId="2" borderId="0" xfId="0" applyFont="1" applyFill="1" applyAlignment="1">
      <alignment horizontal="left" vertical="center" wrapText="1" readingOrder="1"/>
    </xf>
    <xf numFmtId="44" fontId="14" fillId="2" borderId="0" xfId="1" applyFont="1" applyFill="1" applyBorder="1" applyAlignment="1">
      <alignment horizontal="left" vertical="center" wrapText="1" readingOrder="1"/>
    </xf>
    <xf numFmtId="0" fontId="16" fillId="2" borderId="0" xfId="0" applyFont="1" applyFill="1" applyAlignment="1">
      <alignment horizontal="justify" vertical="center" wrapText="1" readingOrder="1"/>
    </xf>
    <xf numFmtId="0" fontId="16" fillId="2" borderId="0" xfId="0" applyFont="1" applyFill="1" applyAlignment="1">
      <alignment horizontal="left" vertical="center" wrapText="1" readingOrder="1"/>
    </xf>
    <xf numFmtId="0" fontId="15" fillId="2" borderId="0" xfId="0" applyFont="1" applyFill="1" applyAlignment="1">
      <alignment horizontal="right" vertical="center" wrapText="1"/>
    </xf>
    <xf numFmtId="0" fontId="43" fillId="0" borderId="0" xfId="4" applyFont="1" applyAlignment="1">
      <alignment horizontal="center" vertical="center"/>
    </xf>
    <xf numFmtId="0" fontId="44" fillId="0" borderId="0" xfId="4" applyFont="1" applyAlignment="1">
      <alignment horizontal="center" vertical="center"/>
    </xf>
    <xf numFmtId="44" fontId="24" fillId="2" borderId="0" xfId="0" applyNumberFormat="1" applyFont="1" applyFill="1" applyAlignment="1">
      <alignment horizontal="center" vertical="center" wrapText="1"/>
    </xf>
    <xf numFmtId="0" fontId="43" fillId="0" borderId="70" xfId="4" applyFont="1" applyBorder="1" applyAlignment="1">
      <alignment horizontal="center" vertical="center"/>
    </xf>
    <xf numFmtId="0" fontId="44" fillId="0" borderId="69" xfId="4" applyFont="1" applyBorder="1" applyAlignment="1">
      <alignment horizontal="center" vertical="center"/>
    </xf>
    <xf numFmtId="0" fontId="44" fillId="0" borderId="71" xfId="4" applyFont="1" applyBorder="1" applyAlignment="1">
      <alignment horizontal="center" vertical="center"/>
    </xf>
    <xf numFmtId="172" fontId="34" fillId="0" borderId="5" xfId="0" applyNumberFormat="1" applyFont="1" applyBorder="1" applyAlignment="1">
      <alignment vertical="center"/>
    </xf>
    <xf numFmtId="0" fontId="48" fillId="0" borderId="4" xfId="0" applyFont="1" applyBorder="1" applyAlignment="1">
      <alignment vertical="center"/>
    </xf>
    <xf numFmtId="0" fontId="48" fillId="0" borderId="6" xfId="0" applyFont="1" applyBorder="1" applyAlignment="1">
      <alignment vertical="center"/>
    </xf>
    <xf numFmtId="0" fontId="14" fillId="2" borderId="17" xfId="0" applyFont="1" applyFill="1" applyBorder="1" applyAlignment="1">
      <alignment horizontal="right" vertical="center" wrapText="1" readingOrder="1"/>
    </xf>
    <xf numFmtId="44" fontId="14" fillId="2" borderId="17" xfId="0" applyNumberFormat="1" applyFont="1" applyFill="1" applyBorder="1" applyAlignment="1">
      <alignment horizontal="right" vertical="center" wrapText="1" readingOrder="1"/>
    </xf>
    <xf numFmtId="44" fontId="14" fillId="2" borderId="17" xfId="1" applyFont="1" applyFill="1" applyBorder="1" applyAlignment="1">
      <alignment horizontal="right" vertical="center" wrapText="1" readingOrder="1"/>
    </xf>
    <xf numFmtId="44" fontId="14" fillId="2" borderId="44" xfId="1" applyFont="1" applyFill="1" applyBorder="1" applyAlignment="1">
      <alignment horizontal="right" vertical="center" wrapText="1" readingOrder="1"/>
    </xf>
    <xf numFmtId="0" fontId="4" fillId="0" borderId="0" xfId="0" applyFont="1" applyAlignment="1">
      <alignment horizontal="center"/>
    </xf>
    <xf numFmtId="0" fontId="0" fillId="0" borderId="8" xfId="0" applyBorder="1" applyAlignment="1">
      <alignment horizontal="center" vertical="center" wrapText="1"/>
    </xf>
    <xf numFmtId="0" fontId="0" fillId="0" borderId="8" xfId="0"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3" borderId="0" xfId="0" applyFont="1" applyFill="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3" fillId="0" borderId="0" xfId="0" applyFont="1" applyAlignment="1">
      <alignment horizontal="center" vertical="center"/>
    </xf>
    <xf numFmtId="0" fontId="2" fillId="3" borderId="5" xfId="0" applyFont="1" applyFill="1" applyBorder="1" applyAlignment="1">
      <alignment horizontal="center" vertical="center"/>
    </xf>
    <xf numFmtId="0" fontId="0" fillId="0" borderId="6" xfId="0" applyBorder="1" applyAlignment="1">
      <alignment horizontal="center" vertical="center"/>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54" xfId="0" applyBorder="1" applyAlignment="1">
      <alignment horizontal="center" vertical="center"/>
    </xf>
    <xf numFmtId="0" fontId="16" fillId="3" borderId="66" xfId="0" applyFont="1" applyFill="1" applyBorder="1" applyAlignment="1">
      <alignment horizontal="left" vertical="center" wrapText="1" readingOrder="1"/>
    </xf>
    <xf numFmtId="0" fontId="0" fillId="0" borderId="67" xfId="0" applyBorder="1" applyAlignment="1">
      <alignment horizontal="left" vertical="center" wrapText="1" readingOrder="1"/>
    </xf>
    <xf numFmtId="0" fontId="0" fillId="0" borderId="68" xfId="0" applyBorder="1" applyAlignment="1">
      <alignment horizontal="left" vertical="center" wrapText="1" readingOrder="1"/>
    </xf>
    <xf numFmtId="0" fontId="3" fillId="3" borderId="0" xfId="0" applyFont="1" applyFill="1" applyAlignment="1">
      <alignment horizontal="center" vertical="center" wrapText="1"/>
    </xf>
    <xf numFmtId="0" fontId="0" fillId="0" borderId="0" xfId="0" applyAlignment="1">
      <alignment horizontal="center" vertical="center" wrapText="1"/>
    </xf>
    <xf numFmtId="0" fontId="19" fillId="3" borderId="46" xfId="0" applyFont="1" applyFill="1" applyBorder="1" applyAlignment="1">
      <alignment horizontal="left" vertical="center" wrapText="1" readingOrder="1"/>
    </xf>
    <xf numFmtId="0" fontId="19" fillId="3" borderId="47" xfId="0" applyFont="1" applyFill="1" applyBorder="1" applyAlignment="1">
      <alignment horizontal="left" vertical="center" wrapText="1" readingOrder="1"/>
    </xf>
    <xf numFmtId="0" fontId="19" fillId="3" borderId="48" xfId="0" applyFont="1" applyFill="1" applyBorder="1" applyAlignment="1">
      <alignment horizontal="left" vertical="center" wrapText="1" readingOrder="1"/>
    </xf>
    <xf numFmtId="0" fontId="28" fillId="3" borderId="40" xfId="0" applyFont="1" applyFill="1" applyBorder="1" applyAlignment="1">
      <alignment horizontal="left" vertical="center" wrapText="1" readingOrder="1"/>
    </xf>
    <xf numFmtId="0" fontId="0" fillId="0" borderId="41" xfId="0" applyBorder="1" applyAlignment="1">
      <alignment vertical="center"/>
    </xf>
    <xf numFmtId="44" fontId="30" fillId="2" borderId="13" xfId="0" applyNumberFormat="1" applyFont="1" applyFill="1" applyBorder="1" applyAlignment="1">
      <alignment horizontal="right" vertical="center" wrapText="1"/>
    </xf>
    <xf numFmtId="0" fontId="30" fillId="2" borderId="16" xfId="0" applyFont="1" applyFill="1" applyBorder="1" applyAlignment="1">
      <alignment horizontal="right" vertical="center" wrapText="1"/>
    </xf>
    <xf numFmtId="0" fontId="30" fillId="2" borderId="43" xfId="0" applyFont="1" applyFill="1" applyBorder="1" applyAlignment="1">
      <alignment horizontal="right" vertical="center" wrapText="1"/>
    </xf>
    <xf numFmtId="165" fontId="30" fillId="2" borderId="13" xfId="0" applyNumberFormat="1" applyFont="1" applyFill="1" applyBorder="1" applyAlignment="1">
      <alignment horizontal="center" vertical="center" wrapText="1"/>
    </xf>
    <xf numFmtId="165" fontId="30" fillId="2" borderId="16" xfId="0" applyNumberFormat="1" applyFont="1" applyFill="1" applyBorder="1" applyAlignment="1">
      <alignment horizontal="center" vertical="center" wrapText="1"/>
    </xf>
    <xf numFmtId="165" fontId="30" fillId="2" borderId="43" xfId="0" applyNumberFormat="1" applyFont="1" applyFill="1" applyBorder="1" applyAlignment="1">
      <alignment horizontal="center" vertical="center" wrapText="1"/>
    </xf>
    <xf numFmtId="8" fontId="31" fillId="2" borderId="14" xfId="0" applyNumberFormat="1" applyFont="1" applyFill="1" applyBorder="1" applyAlignment="1">
      <alignment horizontal="right" vertical="center" wrapText="1"/>
    </xf>
    <xf numFmtId="8" fontId="31" fillId="2" borderId="17" xfId="0" applyNumberFormat="1" applyFont="1" applyFill="1" applyBorder="1" applyAlignment="1">
      <alignment horizontal="right" vertical="center" wrapText="1"/>
    </xf>
    <xf numFmtId="8" fontId="31" fillId="2" borderId="44" xfId="0" applyNumberFormat="1" applyFont="1" applyFill="1" applyBorder="1" applyAlignment="1">
      <alignment horizontal="right" vertical="center" wrapText="1"/>
    </xf>
    <xf numFmtId="0" fontId="26" fillId="3" borderId="1" xfId="0" applyFont="1" applyFill="1" applyBorder="1" applyAlignment="1">
      <alignment horizontal="center" vertical="center"/>
    </xf>
    <xf numFmtId="0" fontId="2" fillId="3" borderId="3" xfId="0" applyFont="1" applyFill="1" applyBorder="1" applyAlignment="1">
      <alignment horizontal="center" vertical="center"/>
    </xf>
    <xf numFmtId="166" fontId="26" fillId="3" borderId="1" xfId="0" applyNumberFormat="1" applyFont="1" applyFill="1" applyBorder="1" applyAlignment="1">
      <alignment horizontal="center"/>
    </xf>
    <xf numFmtId="166" fontId="2" fillId="3" borderId="3" xfId="0" applyNumberFormat="1" applyFont="1" applyFill="1" applyBorder="1" applyAlignment="1">
      <alignment horizontal="center"/>
    </xf>
    <xf numFmtId="166" fontId="26" fillId="0" borderId="4" xfId="0" applyNumberFormat="1" applyFont="1" applyBorder="1"/>
    <xf numFmtId="166" fontId="11" fillId="0" borderId="6" xfId="0" applyNumberFormat="1" applyFont="1" applyBorder="1"/>
    <xf numFmtId="166" fontId="11" fillId="0" borderId="4" xfId="0" applyNumberFormat="1" applyFont="1" applyBorder="1"/>
    <xf numFmtId="166" fontId="11" fillId="0" borderId="7" xfId="0" applyNumberFormat="1" applyFont="1" applyBorder="1"/>
    <xf numFmtId="166" fontId="26" fillId="3" borderId="9" xfId="0" applyNumberFormat="1" applyFont="1" applyFill="1" applyBorder="1"/>
    <xf numFmtId="166" fontId="11" fillId="0" borderId="5" xfId="0" applyNumberFormat="1" applyFont="1" applyBorder="1"/>
    <xf numFmtId="0" fontId="26" fillId="0" borderId="1" xfId="0" applyFont="1" applyBorder="1" applyAlignment="1">
      <alignment horizontal="centerContinuous"/>
    </xf>
    <xf numFmtId="0" fontId="26" fillId="0" borderId="2" xfId="0" applyFont="1" applyBorder="1" applyAlignment="1">
      <alignment horizontal="centerContinuous"/>
    </xf>
    <xf numFmtId="0" fontId="26" fillId="0" borderId="3" xfId="0" applyFont="1" applyBorder="1" applyAlignment="1">
      <alignment horizontal="centerContinuous"/>
    </xf>
    <xf numFmtId="44" fontId="11" fillId="0" borderId="9" xfId="0" applyNumberFormat="1" applyFont="1" applyBorder="1"/>
    <xf numFmtId="0" fontId="26" fillId="0" borderId="72" xfId="0" applyFont="1" applyBorder="1" applyAlignment="1">
      <alignment horizontal="centerContinuous"/>
    </xf>
    <xf numFmtId="0" fontId="26" fillId="0" borderId="73" xfId="0" applyFont="1" applyBorder="1" applyAlignment="1">
      <alignment horizontal="centerContinuous"/>
    </xf>
    <xf numFmtId="0" fontId="26" fillId="0" borderId="74" xfId="0" applyFont="1" applyBorder="1" applyAlignment="1">
      <alignment horizontal="centerContinuous"/>
    </xf>
    <xf numFmtId="0" fontId="26" fillId="0" borderId="51" xfId="0" applyFont="1" applyBorder="1"/>
    <xf numFmtId="44" fontId="11" fillId="0" borderId="5" xfId="0" applyNumberFormat="1" applyFont="1" applyBorder="1"/>
    <xf numFmtId="166" fontId="11" fillId="0" borderId="26" xfId="0" applyNumberFormat="1" applyFont="1" applyBorder="1"/>
    <xf numFmtId="166" fontId="26" fillId="3" borderId="35" xfId="0" applyNumberFormat="1" applyFont="1" applyFill="1" applyBorder="1"/>
    <xf numFmtId="0" fontId="26" fillId="0" borderId="75" xfId="0" applyFont="1" applyBorder="1" applyAlignment="1">
      <alignment horizontal="centerContinuous"/>
    </xf>
    <xf numFmtId="0" fontId="26" fillId="0" borderId="60" xfId="0" applyFont="1" applyBorder="1" applyAlignment="1">
      <alignment horizontal="centerContinuous"/>
    </xf>
    <xf numFmtId="0" fontId="26" fillId="0" borderId="61" xfId="0" applyFont="1" applyBorder="1" applyAlignment="1">
      <alignment horizontal="centerContinuous"/>
    </xf>
    <xf numFmtId="166" fontId="11" fillId="0" borderId="2" xfId="0" applyNumberFormat="1" applyFont="1" applyBorder="1"/>
    <xf numFmtId="166" fontId="11" fillId="0" borderId="3" xfId="0" applyNumberFormat="1" applyFont="1" applyBorder="1"/>
    <xf numFmtId="166" fontId="11" fillId="0" borderId="35" xfId="1" applyNumberFormat="1" applyFont="1" applyBorder="1"/>
    <xf numFmtId="44" fontId="12" fillId="0" borderId="0" xfId="1" applyFont="1" applyBorder="1" applyAlignment="1">
      <alignment vertical="center"/>
    </xf>
    <xf numFmtId="44" fontId="15" fillId="2" borderId="0" xfId="1" applyFont="1" applyFill="1" applyBorder="1" applyAlignment="1">
      <alignment horizontal="right" vertical="center" wrapText="1"/>
    </xf>
    <xf numFmtId="9" fontId="12" fillId="0" borderId="0" xfId="0" applyNumberFormat="1" applyFont="1" applyBorder="1" applyAlignment="1">
      <alignment vertical="center"/>
    </xf>
    <xf numFmtId="44" fontId="12" fillId="0" borderId="0" xfId="0" applyNumberFormat="1" applyFont="1" applyBorder="1" applyAlignment="1">
      <alignment vertical="center"/>
    </xf>
    <xf numFmtId="166" fontId="11" fillId="0" borderId="76" xfId="1" applyNumberFormat="1" applyFont="1" applyBorder="1"/>
    <xf numFmtId="0" fontId="14" fillId="2" borderId="77" xfId="0" applyFont="1" applyFill="1" applyBorder="1" applyAlignment="1">
      <alignment horizontal="left" vertical="center" wrapText="1" readingOrder="1"/>
    </xf>
    <xf numFmtId="0" fontId="11" fillId="0" borderId="78" xfId="0" applyFont="1" applyBorder="1"/>
    <xf numFmtId="44" fontId="26" fillId="3" borderId="79" xfId="0" applyNumberFormat="1" applyFont="1" applyFill="1" applyBorder="1"/>
  </cellXfs>
  <cellStyles count="5">
    <cellStyle name="Milliers" xfId="3" builtinId="3"/>
    <cellStyle name="Monétaire" xfId="1" builtinId="4"/>
    <cellStyle name="Normal" xfId="0" builtinId="0"/>
    <cellStyle name="Normal_Fiche de paie TEPA plus 20 salariés" xfId="4" xr:uid="{275726D7-FF1E-4DAE-98FB-98713EC7832C}"/>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38100</xdr:rowOff>
    </xdr:from>
    <xdr:to>
      <xdr:col>11</xdr:col>
      <xdr:colOff>257175</xdr:colOff>
      <xdr:row>19</xdr:row>
      <xdr:rowOff>171450</xdr:rowOff>
    </xdr:to>
    <xdr:sp macro="" textlink="">
      <xdr:nvSpPr>
        <xdr:cNvPr id="2" name="ZoneTexte 1">
          <a:extLst>
            <a:ext uri="{FF2B5EF4-FFF2-40B4-BE49-F238E27FC236}">
              <a16:creationId xmlns:a16="http://schemas.microsoft.com/office/drawing/2014/main" id="{5D591D36-47C2-4F59-A2CC-1D8E48F7AC59}"/>
            </a:ext>
          </a:extLst>
        </xdr:cNvPr>
        <xdr:cNvSpPr txBox="1"/>
      </xdr:nvSpPr>
      <xdr:spPr>
        <a:xfrm>
          <a:off x="247650" y="228600"/>
          <a:ext cx="8391525"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Ce</a:t>
          </a:r>
          <a:r>
            <a:rPr lang="fr-FR" sz="1100" baseline="0"/>
            <a:t> cas est le deuxième d'une série basée sur le type d'épreuves que vous aurez à présenter à l'examen en module CCP Paie</a:t>
          </a:r>
        </a:p>
        <a:p>
          <a:endParaRPr lang="fr-FR" sz="1100" baseline="0"/>
        </a:p>
        <a:p>
          <a:r>
            <a:rPr lang="fr-FR" sz="1600" b="1" baseline="0">
              <a:solidFill>
                <a:srgbClr val="FF0000"/>
              </a:solidFill>
            </a:rPr>
            <a:t>Ne le reliez pas au premier cas : Force 1. J'ai modifié l'énoncé. Les salaires, anciennetés, primes, mutuelles, position du géeant et autres éléments sont totalement différents. Oubliez donc l'énoncé du cas force 1</a:t>
          </a:r>
        </a:p>
        <a:p>
          <a:endParaRPr lang="fr-FR" sz="1100" baseline="0"/>
        </a:p>
        <a:p>
          <a:pPr eaLnBrk="1" fontAlgn="auto" latinLnBrk="0" hangingPunct="1"/>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a:effectLst/>
          </a:endParaRPr>
        </a:p>
        <a:p>
          <a:endParaRPr lang="fr-FR" sz="1100" baseline="0"/>
        </a:p>
        <a:p>
          <a:r>
            <a:rPr lang="fr-FR" sz="1100" b="1" baseline="0">
              <a:solidFill>
                <a:schemeClr val="dk1"/>
              </a:solidFill>
              <a:effectLst/>
              <a:latin typeface="+mn-lt"/>
              <a:ea typeface="+mn-ea"/>
              <a:cs typeface="+mn-cs"/>
            </a:rPr>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endParaRPr lang="fr-FR">
            <a:effectLst/>
          </a:endParaRPr>
        </a:p>
        <a:p>
          <a:endParaRPr lang="fr-FR" sz="1100" baseline="0"/>
        </a:p>
        <a:p>
          <a:r>
            <a:rPr lang="fr-FR" sz="1100" b="1" baseline="0"/>
            <a:t>La durée est de 4 heures mais si vous n'arrivez pas à le faire en temps, pas de panique, poursuivez malgré tout. </a:t>
          </a:r>
        </a:p>
        <a:p>
          <a:r>
            <a:rPr lang="fr-FR" sz="1100" b="1" baseline="0"/>
            <a:t>C'est le deuxième cas de ce type à effectuer mais avec plus de données que le premier. Il est donc normal que vous ayez des difficultés. A ce stade, traiter parfaitement ce cas en temps relève de l'exploit !!!</a:t>
          </a:r>
        </a:p>
        <a:p>
          <a:r>
            <a:rPr lang="fr-FR" sz="1100" b="1" baseline="0"/>
            <a:t>Pour être à l'aise avec ce type d'épreuve, il faut de la pratique et les choses s'arrangent en général au troisième  cas.</a:t>
          </a:r>
        </a:p>
        <a:p>
          <a:endParaRPr lang="fr-FR" sz="1100" b="1" baseline="0"/>
        </a:p>
        <a:p>
          <a:r>
            <a:rPr lang="fr-FR" sz="1100" b="1" baseline="0"/>
            <a:t>Bon courage</a:t>
          </a:r>
        </a:p>
        <a:p>
          <a:endParaRPr lang="fr-FR" sz="1100" baseline="0"/>
        </a:p>
        <a:p>
          <a:endParaRPr lang="fr-FR"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0</xdr:row>
      <xdr:rowOff>123824</xdr:rowOff>
    </xdr:from>
    <xdr:to>
      <xdr:col>6</xdr:col>
      <xdr:colOff>295274</xdr:colOff>
      <xdr:row>13</xdr:row>
      <xdr:rowOff>171449</xdr:rowOff>
    </xdr:to>
    <xdr:sp macro="" textlink="">
      <xdr:nvSpPr>
        <xdr:cNvPr id="2" name="ZoneTexte 1">
          <a:extLst>
            <a:ext uri="{FF2B5EF4-FFF2-40B4-BE49-F238E27FC236}">
              <a16:creationId xmlns:a16="http://schemas.microsoft.com/office/drawing/2014/main" id="{95EB0973-C41A-4172-9BDC-7DF7567784C6}"/>
            </a:ext>
          </a:extLst>
        </xdr:cNvPr>
        <xdr:cNvSpPr txBox="1"/>
      </xdr:nvSpPr>
      <xdr:spPr>
        <a:xfrm>
          <a:off x="85724" y="123824"/>
          <a:ext cx="7924800" cy="252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afin qu'il comprenne votre raisonnement.</a:t>
          </a:r>
        </a:p>
        <a:p>
          <a:endParaRPr lang="fr-FR" sz="1200" b="1" baseline="0"/>
        </a:p>
        <a:p>
          <a:r>
            <a:rPr lang="fr-FR" sz="1200" b="1" baseline="0"/>
            <a:t>Durée : 4 heures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1276350</xdr:colOff>
      <xdr:row>8</xdr:row>
      <xdr:rowOff>28575</xdr:rowOff>
    </xdr:from>
    <xdr:to>
      <xdr:col>4</xdr:col>
      <xdr:colOff>714375</xdr:colOff>
      <xdr:row>20</xdr:row>
      <xdr:rowOff>28575</xdr:rowOff>
    </xdr:to>
    <xdr:sp macro="" textlink="">
      <xdr:nvSpPr>
        <xdr:cNvPr id="2" name="ZoneTexte 1">
          <a:extLst>
            <a:ext uri="{FF2B5EF4-FFF2-40B4-BE49-F238E27FC236}">
              <a16:creationId xmlns:a16="http://schemas.microsoft.com/office/drawing/2014/main" id="{96319756-C703-4E90-B6E2-53A6B9558511}"/>
            </a:ext>
          </a:extLst>
        </xdr:cNvPr>
        <xdr:cNvSpPr txBox="1"/>
      </xdr:nvSpPr>
      <xdr:spPr>
        <a:xfrm>
          <a:off x="1276350" y="3248025"/>
          <a:ext cx="593407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Valette prend sa cinquième semaine au mois de mai.</a:t>
          </a:r>
        </a:p>
        <a:p>
          <a:r>
            <a:rPr lang="fr-FR" sz="1100" b="1"/>
            <a:t>Les 4 semaines de congés</a:t>
          </a:r>
          <a:r>
            <a:rPr lang="fr-FR" sz="1100" b="1" baseline="0"/>
            <a:t> précédents avaient été prises et rémunérées ainsi :</a:t>
          </a:r>
        </a:p>
        <a:p>
          <a:endParaRPr lang="fr-FR" sz="1100" b="1" baseline="0"/>
        </a:p>
        <a:p>
          <a:r>
            <a:rPr lang="fr-FR" sz="1100" b="1" baseline="0"/>
            <a:t>3 semaines prises en juillet N-2;  Indemnité versée 2 250 €</a:t>
          </a:r>
        </a:p>
        <a:p>
          <a:r>
            <a:rPr lang="fr-FR" sz="1100" b="1" baseline="0"/>
            <a:t>1 semaine prise en aout N-2; indemnité versée : 750 €</a:t>
          </a:r>
        </a:p>
        <a:p>
          <a:endParaRPr lang="fr-FR" sz="1100" b="1" baseline="0"/>
        </a:p>
        <a:p>
          <a:r>
            <a:rPr lang="fr-FR" sz="1100" b="1" baseline="0"/>
            <a:t>Le salaire brut cumulé de la période de référence (Juin N-3 à mai N-3 s'établissait ainsi :</a:t>
          </a:r>
        </a:p>
        <a:p>
          <a:r>
            <a:rPr lang="fr-FR" sz="1100" b="1" baseline="0"/>
            <a:t>Salaire de base : 39 600 €</a:t>
          </a:r>
        </a:p>
        <a:p>
          <a:r>
            <a:rPr lang="fr-FR" sz="1100" b="1" baseline="0"/>
            <a:t>Prime exceptionnelle : 200 €</a:t>
          </a:r>
        </a:p>
        <a:p>
          <a:r>
            <a:rPr lang="fr-FR" sz="1100" b="1" baseline="0"/>
            <a:t>Prime de rendement : 800 €</a:t>
          </a:r>
        </a:p>
        <a:p>
          <a:r>
            <a:rPr lang="fr-FR" sz="1100" b="1" baseline="0"/>
            <a:t>Soit au total : 40 600 €</a:t>
          </a:r>
          <a:endParaRPr lang="fr-FR" sz="1100" b="1"/>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631ED-52E7-4D0B-A14B-663782952B4D}">
  <sheetPr>
    <tabColor rgb="FFC00000"/>
  </sheetPr>
  <dimension ref="A1"/>
  <sheetViews>
    <sheetView workbookViewId="0">
      <selection activeCell="H26" sqref="H26"/>
    </sheetView>
  </sheetViews>
  <sheetFormatPr baseColWidth="10"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2"/>
  <sheetViews>
    <sheetView workbookViewId="0"/>
  </sheetViews>
  <sheetFormatPr baseColWidth="10" defaultRowHeight="15" x14ac:dyDescent="0.25"/>
  <cols>
    <col min="1" max="16384" width="11.42578125" style="31"/>
  </cols>
  <sheetData>
    <row r="2" spans="1:6" x14ac:dyDescent="0.25">
      <c r="A2" s="234" t="s">
        <v>112</v>
      </c>
      <c r="B2" s="235"/>
      <c r="C2" s="235"/>
      <c r="D2" s="235"/>
      <c r="E2" s="235"/>
      <c r="F2" s="2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68089-E319-4EE9-9035-B4B1ACE8A0C1}">
  <dimension ref="A16:M28"/>
  <sheetViews>
    <sheetView topLeftCell="A16" workbookViewId="0">
      <selection activeCell="H30" sqref="H30"/>
    </sheetView>
  </sheetViews>
  <sheetFormatPr baseColWidth="10" defaultRowHeight="15" x14ac:dyDescent="0.25"/>
  <cols>
    <col min="1" max="1" width="39.140625" bestFit="1" customWidth="1"/>
    <col min="2" max="2" width="16.140625" customWidth="1"/>
    <col min="5" max="5" width="26.140625" customWidth="1"/>
  </cols>
  <sheetData>
    <row r="16" spans="1:6" ht="23.25" x14ac:dyDescent="0.35">
      <c r="A16" s="478" t="s">
        <v>16</v>
      </c>
      <c r="B16" s="478"/>
      <c r="C16" s="478"/>
      <c r="D16" s="478"/>
      <c r="E16" s="478"/>
      <c r="F16" s="478"/>
    </row>
    <row r="17" spans="1:13" ht="24.75" customHeight="1" thickBot="1" x14ac:dyDescent="0.3"/>
    <row r="18" spans="1:13" s="1" customFormat="1" ht="26.25" customHeight="1" x14ac:dyDescent="0.25">
      <c r="A18" s="6"/>
      <c r="B18" s="4" t="s">
        <v>0</v>
      </c>
      <c r="C18" s="4" t="s">
        <v>1</v>
      </c>
      <c r="D18" s="4" t="s">
        <v>2</v>
      </c>
      <c r="E18" s="4" t="s">
        <v>3</v>
      </c>
      <c r="F18" s="5" t="s">
        <v>4</v>
      </c>
      <c r="H18"/>
      <c r="I18"/>
      <c r="J18"/>
      <c r="K18"/>
      <c r="L18"/>
      <c r="M18"/>
    </row>
    <row r="19" spans="1:13" s="1" customFormat="1" ht="26.25" customHeight="1" x14ac:dyDescent="0.25">
      <c r="A19" s="7" t="s">
        <v>5</v>
      </c>
      <c r="B19" s="236" t="s">
        <v>171</v>
      </c>
      <c r="C19" s="57" t="s">
        <v>172</v>
      </c>
      <c r="D19" s="236" t="s">
        <v>172</v>
      </c>
      <c r="E19" s="57" t="s">
        <v>173</v>
      </c>
      <c r="F19" s="58" t="s">
        <v>174</v>
      </c>
      <c r="H19"/>
      <c r="I19"/>
      <c r="J19"/>
      <c r="K19"/>
      <c r="L19"/>
      <c r="M19"/>
    </row>
    <row r="20" spans="1:13" s="1" customFormat="1" ht="26.25" customHeight="1" x14ac:dyDescent="0.25">
      <c r="A20" s="7" t="s">
        <v>6</v>
      </c>
      <c r="B20" s="127" t="s">
        <v>7</v>
      </c>
      <c r="C20" s="127" t="s">
        <v>7</v>
      </c>
      <c r="D20" s="127" t="s">
        <v>7</v>
      </c>
      <c r="E20" s="127" t="s">
        <v>8</v>
      </c>
      <c r="F20" s="219"/>
      <c r="H20"/>
      <c r="I20"/>
      <c r="J20"/>
      <c r="K20"/>
      <c r="L20"/>
      <c r="M20"/>
    </row>
    <row r="21" spans="1:13" s="1" customFormat="1" ht="26.25" customHeight="1" x14ac:dyDescent="0.25">
      <c r="A21" s="7" t="s">
        <v>9</v>
      </c>
      <c r="B21" s="127">
        <v>35</v>
      </c>
      <c r="C21" s="127">
        <v>35</v>
      </c>
      <c r="D21" s="127">
        <v>35</v>
      </c>
      <c r="E21" s="127">
        <v>24</v>
      </c>
      <c r="F21" s="219"/>
      <c r="H21"/>
      <c r="I21"/>
      <c r="J21"/>
      <c r="K21"/>
      <c r="L21"/>
      <c r="M21"/>
    </row>
    <row r="22" spans="1:13" s="1" customFormat="1" ht="26.25" customHeight="1" x14ac:dyDescent="0.25">
      <c r="A22" s="7" t="s">
        <v>56</v>
      </c>
      <c r="B22" s="293">
        <v>4.4999999999999998E-2</v>
      </c>
      <c r="C22" s="293">
        <v>0.13</v>
      </c>
      <c r="D22" s="293">
        <v>3.5000000000000003E-2</v>
      </c>
      <c r="E22" s="293">
        <v>1.4999999999999999E-2</v>
      </c>
      <c r="F22" s="294">
        <v>0.18</v>
      </c>
      <c r="H22"/>
      <c r="I22"/>
      <c r="J22"/>
      <c r="K22"/>
      <c r="L22"/>
      <c r="M22"/>
    </row>
    <row r="23" spans="1:13" s="1" customFormat="1" ht="26.25" customHeight="1" x14ac:dyDescent="0.25">
      <c r="A23" s="7" t="s">
        <v>10</v>
      </c>
      <c r="B23" s="127" t="s">
        <v>11</v>
      </c>
      <c r="C23" s="127" t="s">
        <v>12</v>
      </c>
      <c r="D23" s="127" t="s">
        <v>11</v>
      </c>
      <c r="E23" s="127" t="s">
        <v>11</v>
      </c>
      <c r="F23" s="219" t="s">
        <v>13</v>
      </c>
      <c r="I23"/>
      <c r="J23"/>
      <c r="K23"/>
      <c r="L23"/>
    </row>
    <row r="24" spans="1:13" s="1" customFormat="1" ht="26.25" customHeight="1" x14ac:dyDescent="0.25">
      <c r="A24" s="7" t="s">
        <v>15</v>
      </c>
      <c r="B24" s="127"/>
      <c r="C24" s="127"/>
      <c r="D24" s="127"/>
      <c r="E24" s="57" t="s">
        <v>245</v>
      </c>
      <c r="F24" s="219"/>
      <c r="I24"/>
      <c r="J24"/>
      <c r="K24"/>
      <c r="L24"/>
    </row>
    <row r="25" spans="1:13" s="1" customFormat="1" ht="30" customHeight="1" thickBot="1" x14ac:dyDescent="0.3">
      <c r="A25" s="11" t="s">
        <v>28</v>
      </c>
      <c r="B25" s="479" t="s">
        <v>29</v>
      </c>
      <c r="C25" s="480"/>
      <c r="D25" s="480"/>
      <c r="E25" s="480"/>
      <c r="F25" s="12"/>
    </row>
    <row r="26" spans="1:13" s="1" customFormat="1" ht="21" customHeight="1" x14ac:dyDescent="0.25"/>
    <row r="27" spans="1:13" s="1" customFormat="1" ht="21" customHeight="1" x14ac:dyDescent="0.25">
      <c r="A27" s="210" t="s">
        <v>104</v>
      </c>
    </row>
    <row r="28" spans="1:13" x14ac:dyDescent="0.25">
      <c r="A28" s="210" t="s">
        <v>105</v>
      </c>
    </row>
  </sheetData>
  <mergeCells count="2">
    <mergeCell ref="A16:F16"/>
    <mergeCell ref="B25:E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552B-6B9F-4664-885D-7C7B8AAA2597}">
  <dimension ref="A1:G21"/>
  <sheetViews>
    <sheetView workbookViewId="0">
      <selection activeCell="H26" sqref="H26"/>
    </sheetView>
  </sheetViews>
  <sheetFormatPr baseColWidth="10" defaultRowHeight="15" x14ac:dyDescent="0.25"/>
  <cols>
    <col min="1" max="1" width="45" style="1" customWidth="1"/>
    <col min="2" max="2" width="69.28515625" style="1" customWidth="1"/>
    <col min="3" max="16384" width="11.42578125" style="1"/>
  </cols>
  <sheetData>
    <row r="1" spans="1:7" ht="23.25" x14ac:dyDescent="0.25">
      <c r="A1" s="13" t="s">
        <v>17</v>
      </c>
    </row>
    <row r="3" spans="1:7" ht="24" customHeight="1" thickBot="1" x14ac:dyDescent="0.3">
      <c r="A3" s="14" t="s">
        <v>18</v>
      </c>
    </row>
    <row r="4" spans="1:7" ht="24" customHeight="1" x14ac:dyDescent="0.25">
      <c r="A4" s="6" t="s">
        <v>19</v>
      </c>
      <c r="B4" s="20" t="s">
        <v>59</v>
      </c>
      <c r="E4" s="2"/>
    </row>
    <row r="5" spans="1:7" ht="24" customHeight="1" x14ac:dyDescent="0.25">
      <c r="A5" s="7" t="s">
        <v>20</v>
      </c>
      <c r="B5" s="219" t="s">
        <v>21</v>
      </c>
      <c r="E5" s="3"/>
      <c r="F5" s="3"/>
      <c r="G5" s="3"/>
    </row>
    <row r="6" spans="1:7" ht="24" customHeight="1" x14ac:dyDescent="0.25">
      <c r="A6" s="481" t="s">
        <v>22</v>
      </c>
      <c r="B6" s="482"/>
      <c r="E6" s="3"/>
      <c r="F6" s="3"/>
      <c r="G6" s="3"/>
    </row>
    <row r="7" spans="1:7" ht="24" customHeight="1" x14ac:dyDescent="0.25">
      <c r="A7" s="7" t="s">
        <v>106</v>
      </c>
      <c r="B7" s="219" t="s">
        <v>23</v>
      </c>
      <c r="E7" s="3"/>
      <c r="F7" s="3"/>
      <c r="G7" s="3"/>
    </row>
    <row r="8" spans="1:7" customFormat="1" ht="24" customHeight="1" x14ac:dyDescent="0.25">
      <c r="A8" s="1" t="s">
        <v>107</v>
      </c>
      <c r="B8" s="16">
        <v>0.03</v>
      </c>
    </row>
    <row r="9" spans="1:7" ht="24" customHeight="1" x14ac:dyDescent="0.25">
      <c r="A9" s="7" t="s">
        <v>108</v>
      </c>
      <c r="B9" s="16">
        <v>0.05</v>
      </c>
      <c r="E9" s="3"/>
      <c r="F9" s="3"/>
      <c r="G9" s="3"/>
    </row>
    <row r="10" spans="1:7" ht="24" customHeight="1" thickBot="1" x14ac:dyDescent="0.3">
      <c r="A10" s="11" t="s">
        <v>24</v>
      </c>
      <c r="B10" s="17">
        <v>0.1</v>
      </c>
      <c r="E10" s="3"/>
      <c r="F10" s="3"/>
      <c r="G10" s="3"/>
    </row>
    <row r="11" spans="1:7" ht="24" customHeight="1" thickBot="1" x14ac:dyDescent="0.3">
      <c r="E11" s="3"/>
      <c r="F11" s="3"/>
      <c r="G11" s="3"/>
    </row>
    <row r="12" spans="1:7" ht="24" customHeight="1" thickBot="1" x14ac:dyDescent="0.3">
      <c r="A12" s="18" t="s">
        <v>30</v>
      </c>
      <c r="B12" s="19" t="s">
        <v>31</v>
      </c>
    </row>
    <row r="14" spans="1:7" ht="24" customHeight="1" thickBot="1" x14ac:dyDescent="0.3">
      <c r="A14" s="14" t="s">
        <v>55</v>
      </c>
    </row>
    <row r="15" spans="1:7" ht="21.75" customHeight="1" x14ac:dyDescent="0.25">
      <c r="A15" s="6" t="s">
        <v>54</v>
      </c>
      <c r="B15" s="211" t="s">
        <v>53</v>
      </c>
    </row>
    <row r="16" spans="1:7" ht="21.75" customHeight="1" x14ac:dyDescent="0.25">
      <c r="A16" s="472" t="s">
        <v>229</v>
      </c>
      <c r="B16" s="473" t="s">
        <v>231</v>
      </c>
    </row>
    <row r="17" spans="1:2" ht="21.75" customHeight="1" x14ac:dyDescent="0.25">
      <c r="A17" s="472" t="s">
        <v>230</v>
      </c>
      <c r="B17" s="473" t="s">
        <v>231</v>
      </c>
    </row>
    <row r="18" spans="1:2" ht="15.75" thickBot="1" x14ac:dyDescent="0.3"/>
    <row r="19" spans="1:2" ht="19.5" thickBot="1" x14ac:dyDescent="0.3">
      <c r="A19" s="18" t="s">
        <v>109</v>
      </c>
      <c r="B19" s="26">
        <v>2.7E-2</v>
      </c>
    </row>
    <row r="20" spans="1:2" ht="15.75" thickBot="1" x14ac:dyDescent="0.3"/>
    <row r="21" spans="1:2" ht="30.75" thickBot="1" x14ac:dyDescent="0.3">
      <c r="A21" s="212" t="s">
        <v>110</v>
      </c>
      <c r="B21" s="213" t="s">
        <v>111</v>
      </c>
    </row>
  </sheetData>
  <mergeCells count="1">
    <mergeCell ref="A6:B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24569-9E27-4C3F-AC76-772FE2510BFF}">
  <dimension ref="A1:F8"/>
  <sheetViews>
    <sheetView workbookViewId="0">
      <selection activeCell="B7" sqref="B7"/>
    </sheetView>
  </sheetViews>
  <sheetFormatPr baseColWidth="10" defaultRowHeight="15" x14ac:dyDescent="0.25"/>
  <cols>
    <col min="1" max="1" width="39.140625" style="1" bestFit="1" customWidth="1"/>
    <col min="2" max="2" width="23.42578125" style="1" bestFit="1" customWidth="1"/>
    <col min="3" max="3" width="11.42578125" style="1"/>
    <col min="4" max="4" width="23.42578125" style="1" bestFit="1" customWidth="1"/>
    <col min="5" max="5" width="33.28515625" style="1" bestFit="1" customWidth="1"/>
    <col min="6" max="6" width="28.28515625" style="1" customWidth="1"/>
    <col min="7" max="16384" width="11.42578125" style="1"/>
  </cols>
  <sheetData>
    <row r="1" spans="1:6" ht="23.25" x14ac:dyDescent="0.25">
      <c r="A1" s="483" t="s">
        <v>27</v>
      </c>
      <c r="B1" s="483"/>
      <c r="C1" s="483"/>
      <c r="D1" s="483"/>
      <c r="E1" s="483"/>
      <c r="F1" s="483"/>
    </row>
    <row r="3" spans="1:6" ht="15.75" thickBot="1" x14ac:dyDescent="0.3"/>
    <row r="4" spans="1:6" ht="26.25" customHeight="1" x14ac:dyDescent="0.25">
      <c r="A4" s="6"/>
      <c r="B4" s="4" t="s">
        <v>0</v>
      </c>
      <c r="C4" s="4" t="s">
        <v>1</v>
      </c>
      <c r="D4" s="4" t="s">
        <v>2</v>
      </c>
      <c r="E4" s="4" t="s">
        <v>3</v>
      </c>
      <c r="F4" s="5" t="s">
        <v>4</v>
      </c>
    </row>
    <row r="5" spans="1:6" ht="24.75" customHeight="1" x14ac:dyDescent="0.25">
      <c r="A5" s="7" t="s">
        <v>14</v>
      </c>
      <c r="B5" s="8">
        <v>2000</v>
      </c>
      <c r="C5" s="8">
        <v>3400</v>
      </c>
      <c r="D5" s="8">
        <v>2500</v>
      </c>
      <c r="E5" s="8" t="s">
        <v>26</v>
      </c>
      <c r="F5" s="9">
        <v>5000</v>
      </c>
    </row>
    <row r="6" spans="1:6" ht="24.75" customHeight="1" x14ac:dyDescent="0.25">
      <c r="A6" s="7" t="s">
        <v>25</v>
      </c>
      <c r="B6" s="8">
        <v>1800</v>
      </c>
      <c r="C6" s="8">
        <v>2800</v>
      </c>
      <c r="D6" s="8">
        <v>2000</v>
      </c>
      <c r="E6" s="8" t="s">
        <v>26</v>
      </c>
      <c r="F6" s="10"/>
    </row>
    <row r="7" spans="1:6" ht="24.75" customHeight="1" thickBot="1" x14ac:dyDescent="0.3">
      <c r="A7" s="11" t="s">
        <v>56</v>
      </c>
      <c r="B7" s="23">
        <v>4.4999999999999998E-2</v>
      </c>
      <c r="C7" s="24">
        <v>0.13</v>
      </c>
      <c r="D7" s="23">
        <v>3.5000000000000003E-2</v>
      </c>
      <c r="E7" s="23">
        <v>1.4999999999999999E-2</v>
      </c>
      <c r="F7" s="17">
        <v>0.18</v>
      </c>
    </row>
    <row r="8" spans="1:6" ht="21" customHeight="1" x14ac:dyDescent="0.25"/>
  </sheetData>
  <mergeCells count="1">
    <mergeCell ref="A1:F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2DF0E-CD33-40D4-A122-2C1CEC300428}">
  <dimension ref="A1:H39"/>
  <sheetViews>
    <sheetView topLeftCell="A12" workbookViewId="0">
      <selection activeCell="I28" sqref="I28"/>
    </sheetView>
  </sheetViews>
  <sheetFormatPr baseColWidth="10" defaultRowHeight="15" x14ac:dyDescent="0.25"/>
  <cols>
    <col min="1" max="1" width="20.42578125" style="215" bestFit="1" customWidth="1"/>
    <col min="2" max="2" width="13" style="1" bestFit="1" customWidth="1"/>
    <col min="3" max="3" width="17.28515625" style="1" customWidth="1"/>
    <col min="4" max="4" width="13" style="1" bestFit="1" customWidth="1"/>
    <col min="5" max="16384" width="11.42578125" style="1"/>
  </cols>
  <sheetData>
    <row r="1" spans="1:8" ht="18.75" x14ac:dyDescent="0.25">
      <c r="A1" s="487" t="s">
        <v>175</v>
      </c>
      <c r="B1" s="487"/>
      <c r="C1" s="487"/>
      <c r="D1" s="487"/>
      <c r="E1" s="487"/>
      <c r="F1" s="487"/>
    </row>
    <row r="2" spans="1:8" ht="18.75" x14ac:dyDescent="0.25">
      <c r="A2" s="214"/>
      <c r="B2" s="214"/>
      <c r="C2" s="214"/>
      <c r="D2" s="214"/>
      <c r="E2" s="214"/>
      <c r="F2" s="214"/>
    </row>
    <row r="3" spans="1:8" ht="15.75" thickBot="1" x14ac:dyDescent="0.3"/>
    <row r="4" spans="1:8" x14ac:dyDescent="0.25">
      <c r="A4" s="216"/>
      <c r="B4" s="4" t="s">
        <v>0</v>
      </c>
      <c r="C4" s="4" t="s">
        <v>1</v>
      </c>
      <c r="D4" s="4" t="s">
        <v>2</v>
      </c>
      <c r="E4" s="4" t="s">
        <v>3</v>
      </c>
      <c r="F4" s="5" t="s">
        <v>4</v>
      </c>
    </row>
    <row r="5" spans="1:8" x14ac:dyDescent="0.25">
      <c r="A5" s="217">
        <v>43948</v>
      </c>
      <c r="B5" s="127">
        <v>7</v>
      </c>
      <c r="C5" s="127">
        <v>7</v>
      </c>
      <c r="D5" s="127">
        <v>7</v>
      </c>
      <c r="E5" s="127">
        <v>4.8</v>
      </c>
      <c r="F5" s="219">
        <v>9</v>
      </c>
    </row>
    <row r="6" spans="1:8" x14ac:dyDescent="0.25">
      <c r="A6" s="217">
        <v>43949</v>
      </c>
      <c r="B6" s="127">
        <v>7</v>
      </c>
      <c r="C6" s="127">
        <v>7</v>
      </c>
      <c r="D6" s="127">
        <v>7</v>
      </c>
      <c r="E6" s="127">
        <v>4.8</v>
      </c>
      <c r="F6" s="219">
        <v>9</v>
      </c>
    </row>
    <row r="7" spans="1:8" x14ac:dyDescent="0.25">
      <c r="A7" s="217">
        <v>43950</v>
      </c>
      <c r="B7" s="127">
        <v>7</v>
      </c>
      <c r="C7" s="127">
        <v>7</v>
      </c>
      <c r="D7" s="127">
        <v>7</v>
      </c>
      <c r="E7" s="127">
        <v>4.8</v>
      </c>
      <c r="F7" s="219">
        <v>9</v>
      </c>
    </row>
    <row r="8" spans="1:8" x14ac:dyDescent="0.25">
      <c r="A8" s="217">
        <v>43951</v>
      </c>
      <c r="B8" s="127">
        <v>7</v>
      </c>
      <c r="C8" s="127">
        <v>7</v>
      </c>
      <c r="D8" s="127">
        <v>7</v>
      </c>
      <c r="E8" s="127">
        <v>4.8</v>
      </c>
      <c r="F8" s="219">
        <v>9</v>
      </c>
      <c r="G8" s="218"/>
    </row>
    <row r="9" spans="1:8" x14ac:dyDescent="0.25">
      <c r="A9" s="217">
        <v>43952</v>
      </c>
      <c r="B9" s="488" t="s">
        <v>81</v>
      </c>
      <c r="C9" s="488"/>
      <c r="D9" s="488"/>
      <c r="E9" s="488"/>
      <c r="F9" s="489"/>
      <c r="G9" s="218"/>
    </row>
    <row r="10" spans="1:8" x14ac:dyDescent="0.25">
      <c r="A10" s="217">
        <v>43953</v>
      </c>
      <c r="B10" s="127"/>
      <c r="C10" s="127"/>
      <c r="D10" s="127"/>
      <c r="E10" s="127"/>
      <c r="F10" s="219"/>
      <c r="G10" s="218"/>
    </row>
    <row r="11" spans="1:8" x14ac:dyDescent="0.25">
      <c r="A11" s="217">
        <v>43954</v>
      </c>
      <c r="B11" s="127"/>
      <c r="C11" s="127"/>
      <c r="D11" s="127"/>
      <c r="E11" s="127"/>
      <c r="F11" s="219"/>
      <c r="G11" s="218"/>
    </row>
    <row r="12" spans="1:8" x14ac:dyDescent="0.25">
      <c r="A12" s="217">
        <v>43955</v>
      </c>
      <c r="B12" s="127">
        <v>7</v>
      </c>
      <c r="C12" s="127">
        <v>7</v>
      </c>
      <c r="D12" s="127">
        <v>7</v>
      </c>
      <c r="E12" s="127">
        <v>4.8</v>
      </c>
      <c r="F12" s="219">
        <v>9</v>
      </c>
      <c r="G12" s="218"/>
    </row>
    <row r="13" spans="1:8" x14ac:dyDescent="0.25">
      <c r="A13" s="217">
        <v>43956</v>
      </c>
      <c r="B13" s="127">
        <v>7</v>
      </c>
      <c r="C13" s="127">
        <v>7</v>
      </c>
      <c r="D13" s="127">
        <v>7</v>
      </c>
      <c r="E13" s="127">
        <v>4.8</v>
      </c>
      <c r="F13" s="219">
        <v>9</v>
      </c>
      <c r="G13" s="218"/>
    </row>
    <row r="14" spans="1:8" x14ac:dyDescent="0.25">
      <c r="A14" s="217">
        <v>43957</v>
      </c>
      <c r="B14" s="127">
        <v>7</v>
      </c>
      <c r="C14" s="127">
        <v>7</v>
      </c>
      <c r="D14" s="127">
        <v>7</v>
      </c>
      <c r="E14" s="127">
        <v>4.8</v>
      </c>
      <c r="F14" s="219">
        <v>9</v>
      </c>
      <c r="G14" s="218"/>
    </row>
    <row r="15" spans="1:8" x14ac:dyDescent="0.25">
      <c r="A15" s="217">
        <v>43958</v>
      </c>
      <c r="B15" s="127">
        <v>7</v>
      </c>
      <c r="C15" s="127">
        <v>7</v>
      </c>
      <c r="D15" s="127">
        <v>7</v>
      </c>
      <c r="E15" s="127">
        <v>4.8</v>
      </c>
      <c r="F15" s="219">
        <v>9</v>
      </c>
      <c r="G15" s="218"/>
      <c r="H15" s="218"/>
    </row>
    <row r="16" spans="1:8" x14ac:dyDescent="0.25">
      <c r="A16" s="217">
        <v>43959</v>
      </c>
      <c r="B16" s="488" t="s">
        <v>81</v>
      </c>
      <c r="C16" s="488"/>
      <c r="D16" s="488"/>
      <c r="E16" s="488"/>
      <c r="F16" s="489"/>
      <c r="G16" s="218"/>
    </row>
    <row r="17" spans="1:7" x14ac:dyDescent="0.25">
      <c r="A17" s="217">
        <v>43960</v>
      </c>
      <c r="B17" s="127"/>
      <c r="C17" s="127"/>
      <c r="D17" s="127"/>
      <c r="E17" s="127"/>
      <c r="F17" s="219"/>
      <c r="G17" s="218"/>
    </row>
    <row r="18" spans="1:7" ht="15.75" thickBot="1" x14ac:dyDescent="0.3">
      <c r="A18" s="217">
        <v>43961</v>
      </c>
      <c r="B18" s="127"/>
      <c r="C18" s="25"/>
      <c r="D18" s="25"/>
      <c r="E18" s="25"/>
      <c r="F18" s="219"/>
      <c r="G18" s="218"/>
    </row>
    <row r="19" spans="1:7" x14ac:dyDescent="0.25">
      <c r="A19" s="217">
        <v>43962</v>
      </c>
      <c r="B19" s="220">
        <v>7</v>
      </c>
      <c r="C19" s="490" t="s">
        <v>129</v>
      </c>
      <c r="D19" s="221">
        <v>9</v>
      </c>
      <c r="E19" s="221">
        <v>6</v>
      </c>
      <c r="F19" s="222">
        <v>10</v>
      </c>
      <c r="G19" s="218"/>
    </row>
    <row r="20" spans="1:7" x14ac:dyDescent="0.25">
      <c r="A20" s="217">
        <v>43963</v>
      </c>
      <c r="B20" s="220">
        <v>7</v>
      </c>
      <c r="C20" s="491"/>
      <c r="D20" s="223">
        <v>9</v>
      </c>
      <c r="E20" s="223">
        <v>6</v>
      </c>
      <c r="F20" s="222">
        <v>10</v>
      </c>
      <c r="G20" s="218"/>
    </row>
    <row r="21" spans="1:7" x14ac:dyDescent="0.25">
      <c r="A21" s="217">
        <v>43964</v>
      </c>
      <c r="B21" s="220">
        <v>7</v>
      </c>
      <c r="C21" s="491"/>
      <c r="D21" s="223">
        <v>9</v>
      </c>
      <c r="E21" s="223">
        <v>6</v>
      </c>
      <c r="F21" s="222">
        <v>10</v>
      </c>
      <c r="G21" s="218"/>
    </row>
    <row r="22" spans="1:7" x14ac:dyDescent="0.25">
      <c r="A22" s="217">
        <v>43965</v>
      </c>
      <c r="B22" s="220">
        <v>7</v>
      </c>
      <c r="C22" s="491"/>
      <c r="D22" s="223">
        <v>10</v>
      </c>
      <c r="E22" s="223">
        <v>4.8</v>
      </c>
      <c r="F22" s="222">
        <v>10</v>
      </c>
      <c r="G22" s="218"/>
    </row>
    <row r="23" spans="1:7" ht="15.75" thickBot="1" x14ac:dyDescent="0.3">
      <c r="A23" s="217">
        <v>43966</v>
      </c>
      <c r="B23" s="220">
        <v>7</v>
      </c>
      <c r="C23" s="492"/>
      <c r="D23" s="224">
        <v>6</v>
      </c>
      <c r="E23" s="224">
        <v>4.8</v>
      </c>
      <c r="F23" s="222">
        <v>10</v>
      </c>
      <c r="G23" s="218"/>
    </row>
    <row r="24" spans="1:7" x14ac:dyDescent="0.25">
      <c r="A24" s="217">
        <v>43967</v>
      </c>
      <c r="B24" s="225"/>
      <c r="C24" s="226"/>
      <c r="D24" s="227"/>
      <c r="E24" s="226"/>
      <c r="F24" s="15"/>
      <c r="G24" s="218"/>
    </row>
    <row r="25" spans="1:7" x14ac:dyDescent="0.25">
      <c r="A25" s="217">
        <v>43968</v>
      </c>
      <c r="B25" s="225"/>
      <c r="C25" s="225"/>
      <c r="D25" s="127"/>
      <c r="E25" s="225"/>
      <c r="F25" s="15"/>
      <c r="G25" s="218"/>
    </row>
    <row r="26" spans="1:7" x14ac:dyDescent="0.25">
      <c r="A26" s="217">
        <v>43969</v>
      </c>
      <c r="B26" s="127">
        <v>7</v>
      </c>
      <c r="C26" s="127">
        <v>7</v>
      </c>
      <c r="D26" s="127">
        <v>7</v>
      </c>
      <c r="E26" s="127">
        <v>4.8</v>
      </c>
      <c r="F26" s="219">
        <v>12</v>
      </c>
      <c r="G26" s="218"/>
    </row>
    <row r="27" spans="1:7" x14ac:dyDescent="0.25">
      <c r="A27" s="217">
        <v>43970</v>
      </c>
      <c r="B27" s="127">
        <v>7</v>
      </c>
      <c r="C27" s="127">
        <v>7</v>
      </c>
      <c r="D27" s="127">
        <v>7</v>
      </c>
      <c r="E27" s="127">
        <v>4.8</v>
      </c>
      <c r="F27" s="219">
        <v>12</v>
      </c>
      <c r="G27" s="218"/>
    </row>
    <row r="28" spans="1:7" x14ac:dyDescent="0.25">
      <c r="A28" s="217">
        <v>43971</v>
      </c>
      <c r="B28" s="127">
        <v>7</v>
      </c>
      <c r="C28" s="127">
        <v>7</v>
      </c>
      <c r="D28" s="127">
        <v>7</v>
      </c>
      <c r="E28" s="127">
        <v>4.8</v>
      </c>
      <c r="F28" s="219">
        <v>12</v>
      </c>
      <c r="G28" s="218"/>
    </row>
    <row r="29" spans="1:7" x14ac:dyDescent="0.25">
      <c r="A29" s="217">
        <v>43972</v>
      </c>
      <c r="B29" s="488" t="s">
        <v>81</v>
      </c>
      <c r="C29" s="488"/>
      <c r="D29" s="488"/>
      <c r="E29" s="488"/>
      <c r="F29" s="489"/>
      <c r="G29" s="218"/>
    </row>
    <row r="30" spans="1:7" x14ac:dyDescent="0.25">
      <c r="A30" s="217">
        <v>43973</v>
      </c>
      <c r="B30" s="127">
        <v>7</v>
      </c>
      <c r="C30" s="127">
        <v>7</v>
      </c>
      <c r="D30" s="127">
        <v>7</v>
      </c>
      <c r="E30" s="127">
        <v>4.8</v>
      </c>
      <c r="F30" s="219">
        <v>12</v>
      </c>
      <c r="G30" s="218"/>
    </row>
    <row r="31" spans="1:7" x14ac:dyDescent="0.25">
      <c r="A31" s="217">
        <v>43974</v>
      </c>
      <c r="B31" s="127"/>
      <c r="C31" s="127"/>
      <c r="D31" s="127"/>
      <c r="E31" s="127"/>
      <c r="F31" s="219"/>
      <c r="G31" s="218"/>
    </row>
    <row r="32" spans="1:7" ht="15.75" thickBot="1" x14ac:dyDescent="0.3">
      <c r="A32" s="217">
        <v>43975</v>
      </c>
      <c r="B32" s="25"/>
      <c r="C32" s="127"/>
      <c r="D32" s="25"/>
      <c r="E32" s="127"/>
      <c r="F32" s="219"/>
      <c r="G32" s="218"/>
    </row>
    <row r="33" spans="1:7" x14ac:dyDescent="0.25">
      <c r="A33" s="228">
        <v>43976</v>
      </c>
      <c r="B33" s="484" t="s">
        <v>32</v>
      </c>
      <c r="C33" s="229">
        <v>7</v>
      </c>
      <c r="D33" s="221">
        <v>10</v>
      </c>
      <c r="E33" s="230">
        <v>4.8</v>
      </c>
      <c r="F33" s="219">
        <v>15</v>
      </c>
      <c r="G33" s="218"/>
    </row>
    <row r="34" spans="1:7" x14ac:dyDescent="0.25">
      <c r="A34" s="228">
        <v>43977</v>
      </c>
      <c r="B34" s="485"/>
      <c r="C34" s="229">
        <v>7</v>
      </c>
      <c r="D34" s="223">
        <v>10</v>
      </c>
      <c r="E34" s="230">
        <v>4.8</v>
      </c>
      <c r="F34" s="219">
        <v>5</v>
      </c>
      <c r="G34" s="218"/>
    </row>
    <row r="35" spans="1:7" x14ac:dyDescent="0.25">
      <c r="A35" s="228">
        <v>43978</v>
      </c>
      <c r="B35" s="485"/>
      <c r="C35" s="229">
        <v>7</v>
      </c>
      <c r="D35" s="223">
        <v>10</v>
      </c>
      <c r="E35" s="230">
        <v>4.8</v>
      </c>
      <c r="F35" s="219">
        <v>2</v>
      </c>
      <c r="G35" s="218"/>
    </row>
    <row r="36" spans="1:7" x14ac:dyDescent="0.25">
      <c r="A36" s="228">
        <v>43979</v>
      </c>
      <c r="B36" s="485"/>
      <c r="C36" s="229">
        <v>7</v>
      </c>
      <c r="D36" s="223">
        <v>10</v>
      </c>
      <c r="E36" s="230">
        <v>4.8</v>
      </c>
      <c r="F36" s="219">
        <v>9</v>
      </c>
      <c r="G36" s="218"/>
    </row>
    <row r="37" spans="1:7" ht="15.75" thickBot="1" x14ac:dyDescent="0.3">
      <c r="A37" s="228">
        <v>43980</v>
      </c>
      <c r="B37" s="486"/>
      <c r="C37" s="229">
        <v>7</v>
      </c>
      <c r="D37" s="224">
        <v>8</v>
      </c>
      <c r="E37" s="230">
        <v>4.8</v>
      </c>
      <c r="F37" s="219">
        <v>10</v>
      </c>
      <c r="G37" s="218"/>
    </row>
    <row r="38" spans="1:7" x14ac:dyDescent="0.25">
      <c r="A38" s="217">
        <v>43981</v>
      </c>
      <c r="B38" s="227"/>
      <c r="C38" s="127"/>
      <c r="D38" s="227"/>
      <c r="E38" s="127"/>
      <c r="F38" s="219">
        <v>12</v>
      </c>
      <c r="G38" s="218"/>
    </row>
    <row r="39" spans="1:7" ht="15.75" thickBot="1" x14ac:dyDescent="0.3">
      <c r="A39" s="231">
        <v>43982</v>
      </c>
      <c r="B39" s="209"/>
      <c r="C39" s="209"/>
      <c r="D39" s="209"/>
      <c r="E39" s="209"/>
      <c r="F39" s="232">
        <v>4</v>
      </c>
      <c r="G39" s="218"/>
    </row>
  </sheetData>
  <mergeCells count="6">
    <mergeCell ref="B33:B37"/>
    <mergeCell ref="A1:F1"/>
    <mergeCell ref="B9:F9"/>
    <mergeCell ref="B16:F16"/>
    <mergeCell ref="C19:C23"/>
    <mergeCell ref="B29:F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5"/>
  <sheetViews>
    <sheetView topLeftCell="A12" workbookViewId="0">
      <selection activeCell="F29" sqref="F29"/>
    </sheetView>
  </sheetViews>
  <sheetFormatPr baseColWidth="10" defaultRowHeight="12.75" x14ac:dyDescent="0.25"/>
  <cols>
    <col min="1" max="1" width="55.28515625" style="103" bestFit="1" customWidth="1"/>
    <col min="2" max="2" width="13.7109375" style="103" customWidth="1"/>
    <col min="3" max="3" width="11.42578125" style="103"/>
    <col min="4" max="4" width="21.28515625" style="103" bestFit="1" customWidth="1"/>
    <col min="5" max="5" width="11.7109375" style="103" bestFit="1" customWidth="1"/>
    <col min="6" max="6" width="14.42578125" style="103" bestFit="1" customWidth="1"/>
    <col min="7" max="7" width="10.42578125" style="103" bestFit="1" customWidth="1"/>
    <col min="8" max="8" width="14" style="103" bestFit="1" customWidth="1"/>
    <col min="9" max="9" width="49.42578125" style="103" customWidth="1"/>
    <col min="10" max="10" width="15.85546875" style="103" customWidth="1"/>
    <col min="11" max="16384" width="11.42578125" style="103"/>
  </cols>
  <sheetData>
    <row r="1" spans="1:7" ht="15" customHeight="1" x14ac:dyDescent="0.25">
      <c r="A1" s="99" t="s">
        <v>14</v>
      </c>
      <c r="B1" s="100"/>
      <c r="C1" s="100"/>
      <c r="D1" s="100"/>
      <c r="E1" s="101"/>
      <c r="F1" s="102">
        <v>2000</v>
      </c>
      <c r="G1" s="154"/>
    </row>
    <row r="2" spans="1:7" ht="15" customHeight="1" x14ac:dyDescent="0.25">
      <c r="A2" s="104" t="s">
        <v>32</v>
      </c>
      <c r="B2" s="95">
        <v>35</v>
      </c>
      <c r="C2" s="96"/>
      <c r="D2" s="97"/>
      <c r="E2" s="238">
        <f>F1/147</f>
        <v>13.605442176870747</v>
      </c>
      <c r="F2" s="98">
        <f>-B2*E2</f>
        <v>-476.19047619047615</v>
      </c>
      <c r="G2" s="155"/>
    </row>
    <row r="3" spans="1:7" ht="15" customHeight="1" x14ac:dyDescent="0.25">
      <c r="A3" s="104"/>
      <c r="B3" s="105"/>
      <c r="C3" s="105"/>
      <c r="D3" s="105"/>
      <c r="E3" s="106"/>
      <c r="F3" s="107"/>
      <c r="G3" s="154"/>
    </row>
    <row r="4" spans="1:7" ht="15" customHeight="1" x14ac:dyDescent="0.25">
      <c r="A4" s="104"/>
      <c r="B4" s="105"/>
      <c r="C4" s="105"/>
      <c r="D4" s="105"/>
      <c r="E4" s="106"/>
      <c r="F4" s="108"/>
    </row>
    <row r="5" spans="1:7" ht="15" customHeight="1" thickBot="1" x14ac:dyDescent="0.3">
      <c r="A5" s="109" t="s">
        <v>73</v>
      </c>
      <c r="B5" s="110">
        <v>1700</v>
      </c>
      <c r="C5" s="28"/>
      <c r="D5" s="111"/>
      <c r="E5" s="237"/>
      <c r="F5" s="112">
        <f>E5*B5</f>
        <v>0</v>
      </c>
      <c r="G5" s="156"/>
    </row>
    <row r="6" spans="1:7" ht="15" customHeight="1" thickBot="1" x14ac:dyDescent="0.3">
      <c r="F6" s="144">
        <f>F1+F2+F3+F4+F5</f>
        <v>1523.8095238095239</v>
      </c>
      <c r="G6" s="156"/>
    </row>
    <row r="7" spans="1:7" ht="15" customHeight="1" thickBot="1" x14ac:dyDescent="0.3"/>
    <row r="8" spans="1:7" ht="24" customHeight="1" x14ac:dyDescent="0.25">
      <c r="A8" s="113" t="s">
        <v>35</v>
      </c>
      <c r="B8" s="114"/>
      <c r="C8" s="115"/>
      <c r="D8" s="115"/>
      <c r="E8" s="116"/>
      <c r="F8" s="117"/>
      <c r="G8" s="157"/>
    </row>
    <row r="9" spans="1:7" ht="25.5" x14ac:dyDescent="0.25">
      <c r="A9" s="118"/>
      <c r="B9" s="119" t="s">
        <v>49</v>
      </c>
      <c r="C9" s="119" t="s">
        <v>22</v>
      </c>
      <c r="D9" s="119" t="s">
        <v>50</v>
      </c>
      <c r="E9" s="120" t="s">
        <v>22</v>
      </c>
      <c r="F9" s="121" t="s">
        <v>51</v>
      </c>
      <c r="G9" s="158"/>
    </row>
    <row r="10" spans="1:7" ht="15" customHeight="1" x14ac:dyDescent="0.25">
      <c r="A10" s="79" t="s">
        <v>36</v>
      </c>
      <c r="B10" s="122"/>
      <c r="C10" s="88"/>
      <c r="D10" s="88"/>
      <c r="E10" s="123"/>
      <c r="F10" s="129"/>
      <c r="G10" s="159"/>
    </row>
    <row r="11" spans="1:7" ht="15" customHeight="1" x14ac:dyDescent="0.25">
      <c r="A11" s="124" t="s">
        <v>76</v>
      </c>
      <c r="B11" s="75">
        <f>$F$6</f>
        <v>1523.8095238095239</v>
      </c>
      <c r="C11" s="125"/>
      <c r="D11" s="125"/>
      <c r="E11" s="94">
        <v>7.0000000000000007E-2</v>
      </c>
      <c r="F11" s="78">
        <f>E11*B11</f>
        <v>106.66666666666669</v>
      </c>
      <c r="G11" s="160"/>
    </row>
    <row r="12" spans="1:7" ht="15" customHeight="1" x14ac:dyDescent="0.25">
      <c r="A12" s="124" t="s">
        <v>52</v>
      </c>
      <c r="B12" s="75">
        <f t="shared" ref="B12:B21" si="0">$F$6</f>
        <v>1523.8095238095239</v>
      </c>
      <c r="C12" s="80"/>
      <c r="D12" s="126"/>
      <c r="E12" s="152"/>
      <c r="F12" s="78"/>
      <c r="G12" s="160"/>
    </row>
    <row r="13" spans="1:7" ht="15" customHeight="1" x14ac:dyDescent="0.25">
      <c r="A13" s="124" t="s">
        <v>37</v>
      </c>
      <c r="B13" s="75">
        <v>3864</v>
      </c>
      <c r="C13" s="80">
        <v>0.01</v>
      </c>
      <c r="D13" s="81">
        <f>+C13*B13</f>
        <v>38.64</v>
      </c>
      <c r="E13" s="152">
        <v>0.01</v>
      </c>
      <c r="F13" s="130">
        <f>+E13*B13</f>
        <v>38.64</v>
      </c>
      <c r="G13" s="161"/>
    </row>
    <row r="14" spans="1:7" ht="15" customHeight="1" x14ac:dyDescent="0.25">
      <c r="A14" s="79" t="s">
        <v>62</v>
      </c>
      <c r="B14" s="75">
        <f t="shared" si="0"/>
        <v>1523.8095238095239</v>
      </c>
      <c r="C14" s="80"/>
      <c r="D14" s="77"/>
      <c r="E14" s="94">
        <v>2.7E-2</v>
      </c>
      <c r="F14" s="78">
        <f>E14*B14</f>
        <v>41.142857142857146</v>
      </c>
      <c r="G14" s="160"/>
    </row>
    <row r="15" spans="1:7" ht="15" customHeight="1" x14ac:dyDescent="0.25">
      <c r="A15" s="79" t="s">
        <v>39</v>
      </c>
      <c r="B15" s="75"/>
      <c r="C15" s="76"/>
      <c r="D15" s="77"/>
      <c r="E15" s="94"/>
      <c r="F15" s="78"/>
      <c r="G15" s="160"/>
    </row>
    <row r="16" spans="1:7" ht="15" customHeight="1" x14ac:dyDescent="0.25">
      <c r="A16" s="124" t="s">
        <v>63</v>
      </c>
      <c r="B16" s="75">
        <f t="shared" si="0"/>
        <v>1523.8095238095239</v>
      </c>
      <c r="C16" s="80">
        <v>6.9000000000000006E-2</v>
      </c>
      <c r="D16" s="81">
        <f>B16*C16</f>
        <v>105.14285714285715</v>
      </c>
      <c r="E16" s="152">
        <v>8.5500000000000007E-2</v>
      </c>
      <c r="F16" s="78">
        <f t="shared" ref="F16:F20" si="1">E16*B16</f>
        <v>130.28571428571431</v>
      </c>
      <c r="G16" s="160"/>
    </row>
    <row r="17" spans="1:10" ht="15" customHeight="1" x14ac:dyDescent="0.25">
      <c r="A17" s="124" t="s">
        <v>64</v>
      </c>
      <c r="B17" s="75">
        <f t="shared" si="0"/>
        <v>1523.8095238095239</v>
      </c>
      <c r="C17" s="80">
        <v>4.0000000000000001E-3</v>
      </c>
      <c r="D17" s="81">
        <f>B17*C17</f>
        <v>6.0952380952380958</v>
      </c>
      <c r="E17" s="152">
        <v>2.0199999999999999E-2</v>
      </c>
      <c r="F17" s="78">
        <f t="shared" si="1"/>
        <v>30.780952380952382</v>
      </c>
      <c r="G17" s="160"/>
      <c r="I17" s="376" t="s">
        <v>192</v>
      </c>
      <c r="J17" s="167"/>
    </row>
    <row r="18" spans="1:10" ht="15" customHeight="1" thickBot="1" x14ac:dyDescent="0.3">
      <c r="A18" s="124" t="s">
        <v>78</v>
      </c>
      <c r="B18" s="75">
        <f t="shared" si="0"/>
        <v>1523.8095238095239</v>
      </c>
      <c r="C18" s="80">
        <v>4.0099999999999997E-2</v>
      </c>
      <c r="D18" s="81">
        <f>B18*C18</f>
        <v>61.104761904761901</v>
      </c>
      <c r="E18" s="152">
        <v>6.0100000000000001E-2</v>
      </c>
      <c r="F18" s="78">
        <f t="shared" si="1"/>
        <v>91.580952380952382</v>
      </c>
      <c r="G18" s="160"/>
      <c r="I18" s="167"/>
      <c r="J18" s="167"/>
    </row>
    <row r="19" spans="1:10" ht="15" customHeight="1" x14ac:dyDescent="0.25">
      <c r="A19" s="74" t="s">
        <v>79</v>
      </c>
      <c r="B19" s="75">
        <f t="shared" si="0"/>
        <v>1523.8095238095239</v>
      </c>
      <c r="C19" s="76"/>
      <c r="D19" s="77"/>
      <c r="E19" s="94">
        <v>3.4500000000000003E-2</v>
      </c>
      <c r="F19" s="78">
        <f t="shared" si="1"/>
        <v>52.571428571428577</v>
      </c>
      <c r="G19" s="162"/>
      <c r="I19" s="378" t="s">
        <v>14</v>
      </c>
      <c r="J19" s="381">
        <v>2000</v>
      </c>
    </row>
    <row r="20" spans="1:10" ht="15" customHeight="1" x14ac:dyDescent="0.25">
      <c r="A20" s="79" t="s">
        <v>66</v>
      </c>
      <c r="B20" s="75">
        <f t="shared" si="0"/>
        <v>1523.8095238095239</v>
      </c>
      <c r="C20" s="76"/>
      <c r="D20" s="77"/>
      <c r="E20" s="94">
        <v>4.2500000000000003E-2</v>
      </c>
      <c r="F20" s="78">
        <f t="shared" si="1"/>
        <v>64.761904761904773</v>
      </c>
      <c r="G20" s="160"/>
      <c r="I20" s="379" t="s">
        <v>193</v>
      </c>
      <c r="J20" s="380">
        <v>151.66999999999999</v>
      </c>
    </row>
    <row r="21" spans="1:10" ht="15" customHeight="1" x14ac:dyDescent="0.25">
      <c r="A21" s="79" t="s">
        <v>61</v>
      </c>
      <c r="B21" s="75">
        <f t="shared" si="0"/>
        <v>1523.8095238095239</v>
      </c>
      <c r="C21" s="76"/>
      <c r="D21" s="77"/>
      <c r="E21" s="94"/>
      <c r="F21" s="78">
        <f>D68</f>
        <v>25.081904761904767</v>
      </c>
      <c r="G21" s="160"/>
      <c r="I21" s="379" t="s">
        <v>194</v>
      </c>
      <c r="J21" s="380">
        <v>147</v>
      </c>
    </row>
    <row r="22" spans="1:10" ht="15" customHeight="1" x14ac:dyDescent="0.25">
      <c r="A22" s="79" t="s">
        <v>41</v>
      </c>
      <c r="B22" s="75">
        <f>$F$6*98.25%+F12+F13</f>
        <v>1535.7828571428574</v>
      </c>
      <c r="C22" s="80">
        <v>2.9000000000000001E-2</v>
      </c>
      <c r="D22" s="81">
        <f>B22*C22</f>
        <v>44.537702857142868</v>
      </c>
      <c r="E22" s="152"/>
      <c r="F22" s="78"/>
      <c r="G22" s="160"/>
      <c r="I22" s="104" t="s">
        <v>190</v>
      </c>
      <c r="J22" s="382">
        <v>5</v>
      </c>
    </row>
    <row r="23" spans="1:10" ht="15" customHeight="1" x14ac:dyDescent="0.25">
      <c r="A23" s="79" t="s">
        <v>42</v>
      </c>
      <c r="B23" s="75">
        <f>$F$6*98.25%+F12+F13</f>
        <v>1535.7828571428574</v>
      </c>
      <c r="C23" s="80">
        <v>6.8000000000000005E-2</v>
      </c>
      <c r="D23" s="81">
        <f>B23*C23</f>
        <v>104.43323428571432</v>
      </c>
      <c r="E23" s="82"/>
      <c r="F23" s="78"/>
      <c r="G23" s="160"/>
      <c r="I23" s="379" t="s">
        <v>195</v>
      </c>
      <c r="J23" s="383">
        <v>2.7E-2</v>
      </c>
    </row>
    <row r="24" spans="1:10" ht="15" customHeight="1" x14ac:dyDescent="0.25">
      <c r="A24" s="79" t="s">
        <v>57</v>
      </c>
      <c r="B24" s="75"/>
      <c r="C24" s="71">
        <v>9.7000000000000003E-2</v>
      </c>
      <c r="D24" s="72"/>
      <c r="E24" s="73"/>
      <c r="F24" s="78"/>
      <c r="G24" s="160"/>
      <c r="I24" s="384" t="s">
        <v>196</v>
      </c>
      <c r="J24" s="385">
        <v>0</v>
      </c>
    </row>
    <row r="25" spans="1:10" ht="15" customHeight="1" x14ac:dyDescent="0.25">
      <c r="A25" s="395" t="s">
        <v>205</v>
      </c>
      <c r="B25" s="396"/>
      <c r="C25" s="396"/>
      <c r="D25" s="55"/>
      <c r="E25" s="396"/>
      <c r="F25" s="455">
        <f>-H77</f>
        <v>-335.39047619047574</v>
      </c>
      <c r="G25" s="160"/>
      <c r="I25" s="379" t="s">
        <v>197</v>
      </c>
      <c r="J25" s="386">
        <v>11.65</v>
      </c>
    </row>
    <row r="26" spans="1:10" ht="15" customHeight="1" x14ac:dyDescent="0.25">
      <c r="A26" s="70"/>
      <c r="B26" s="83"/>
      <c r="C26" s="84"/>
      <c r="D26" s="85"/>
      <c r="E26" s="86"/>
      <c r="F26" s="131"/>
      <c r="G26" s="162"/>
      <c r="I26" s="379"/>
      <c r="J26" s="387"/>
    </row>
    <row r="27" spans="1:10" ht="15" customHeight="1" x14ac:dyDescent="0.25">
      <c r="A27" s="70"/>
      <c r="B27" s="75"/>
      <c r="C27" s="71"/>
      <c r="D27" s="72"/>
      <c r="E27" s="153"/>
      <c r="F27" s="128"/>
      <c r="G27" s="163"/>
      <c r="I27" s="379" t="s">
        <v>198</v>
      </c>
      <c r="J27" s="380">
        <v>35</v>
      </c>
    </row>
    <row r="28" spans="1:10" ht="15" customHeight="1" x14ac:dyDescent="0.25">
      <c r="A28" s="79" t="s">
        <v>44</v>
      </c>
      <c r="B28" s="87"/>
      <c r="C28" s="88"/>
      <c r="D28" s="89">
        <f>SUM(D10:D26)</f>
        <v>359.95379428571437</v>
      </c>
      <c r="E28" s="90"/>
      <c r="F28" s="91">
        <f>SUM(F11:F26)</f>
        <v>246.12190476190528</v>
      </c>
      <c r="G28" s="164"/>
      <c r="I28" s="379" t="s">
        <v>144</v>
      </c>
      <c r="J28" s="380">
        <f>B7</f>
        <v>0</v>
      </c>
    </row>
    <row r="29" spans="1:10" ht="15" customHeight="1" thickBot="1" x14ac:dyDescent="0.3">
      <c r="A29" s="79" t="s">
        <v>228</v>
      </c>
      <c r="B29" s="87"/>
      <c r="C29" s="88"/>
      <c r="D29" s="87"/>
      <c r="E29" s="92"/>
      <c r="F29" s="145"/>
      <c r="G29" s="165"/>
      <c r="I29" s="379" t="s">
        <v>34</v>
      </c>
      <c r="J29" s="380">
        <f>B8</f>
        <v>0</v>
      </c>
    </row>
    <row r="30" spans="1:10" ht="15" customHeight="1" thickBot="1" x14ac:dyDescent="0.3">
      <c r="A30" s="93" t="s">
        <v>45</v>
      </c>
      <c r="B30" s="87"/>
      <c r="C30" s="88"/>
      <c r="D30" s="132"/>
      <c r="E30" s="92"/>
      <c r="F30" s="146">
        <f>F6-D28</f>
        <v>1163.8557295238095</v>
      </c>
      <c r="G30" s="166"/>
      <c r="I30" s="379" t="s">
        <v>146</v>
      </c>
      <c r="J30" s="380"/>
    </row>
    <row r="31" spans="1:10" ht="26.25" customHeight="1" x14ac:dyDescent="0.25">
      <c r="A31" s="79" t="s">
        <v>46</v>
      </c>
      <c r="B31" s="87"/>
      <c r="C31" s="88"/>
      <c r="D31" s="87"/>
      <c r="E31" s="92"/>
      <c r="F31" s="147">
        <f>D48</f>
        <v>21.891691428571427</v>
      </c>
      <c r="G31" s="166"/>
      <c r="I31" s="379" t="s">
        <v>147</v>
      </c>
      <c r="J31" s="380"/>
    </row>
    <row r="32" spans="1:10" ht="16.5" customHeight="1" x14ac:dyDescent="0.25">
      <c r="A32" s="399" t="s">
        <v>47</v>
      </c>
      <c r="B32" s="399" t="s">
        <v>48</v>
      </c>
      <c r="C32" s="399" t="s">
        <v>22</v>
      </c>
      <c r="D32" s="400" t="s">
        <v>206</v>
      </c>
      <c r="E32" s="400"/>
      <c r="F32" s="401" t="s">
        <v>207</v>
      </c>
      <c r="G32" s="393"/>
      <c r="H32" s="393"/>
      <c r="I32" s="104" t="s">
        <v>199</v>
      </c>
      <c r="J32" s="380"/>
    </row>
    <row r="33" spans="1:10" ht="15" x14ac:dyDescent="0.25">
      <c r="A33" s="402" t="s">
        <v>208</v>
      </c>
      <c r="B33" s="403"/>
      <c r="C33" s="398"/>
      <c r="D33" s="404">
        <f>F6+F13+D22-D28</f>
        <v>1247.0334323809525</v>
      </c>
      <c r="E33" s="405"/>
      <c r="F33" s="406">
        <f>D33</f>
        <v>1247.0334323809525</v>
      </c>
      <c r="G33" s="393"/>
      <c r="H33" s="393"/>
      <c r="I33" s="104" t="s">
        <v>200</v>
      </c>
      <c r="J33" s="107">
        <f>F30</f>
        <v>1163.8557295238095</v>
      </c>
    </row>
    <row r="34" spans="1:10" ht="21" customHeight="1" x14ac:dyDescent="0.25">
      <c r="A34" s="402" t="s">
        <v>209</v>
      </c>
      <c r="B34" s="407">
        <f>D33</f>
        <v>1247.0334323809525</v>
      </c>
      <c r="C34" s="408">
        <f>J36</f>
        <v>4.4999999999999998E-2</v>
      </c>
      <c r="D34" s="404">
        <f>C34*B34</f>
        <v>56.11650445714286</v>
      </c>
      <c r="E34" s="405"/>
      <c r="F34" s="406">
        <f t="shared" ref="F34" si="2">D34</f>
        <v>56.11650445714286</v>
      </c>
      <c r="G34" s="393"/>
      <c r="H34" s="393"/>
      <c r="I34" s="104" t="s">
        <v>201</v>
      </c>
      <c r="J34" s="389">
        <v>0</v>
      </c>
    </row>
    <row r="35" spans="1:10" ht="19.5" customHeight="1" x14ac:dyDescent="0.25">
      <c r="A35" s="402" t="s">
        <v>210</v>
      </c>
      <c r="B35" s="403"/>
      <c r="C35" s="404"/>
      <c r="D35" s="404"/>
      <c r="E35" s="405"/>
      <c r="F35" s="406"/>
      <c r="G35" s="393"/>
      <c r="H35" s="393"/>
      <c r="I35" s="379" t="s">
        <v>203</v>
      </c>
      <c r="J35" s="380">
        <v>0.31940000000000002</v>
      </c>
    </row>
    <row r="36" spans="1:10" ht="15" x14ac:dyDescent="0.25">
      <c r="A36" s="402"/>
      <c r="B36" s="403"/>
      <c r="C36" s="398"/>
      <c r="D36" s="398"/>
      <c r="E36" s="405"/>
      <c r="F36" s="409"/>
      <c r="G36" s="393"/>
      <c r="H36" s="393"/>
      <c r="I36" s="390" t="s">
        <v>56</v>
      </c>
      <c r="J36" s="458">
        <v>4.4999999999999998E-2</v>
      </c>
    </row>
    <row r="37" spans="1:10" ht="15" x14ac:dyDescent="0.25">
      <c r="A37" s="397" t="s">
        <v>211</v>
      </c>
      <c r="B37" s="398"/>
      <c r="C37" s="398"/>
      <c r="D37" s="404">
        <f>F30-D34</f>
        <v>1107.7392250666667</v>
      </c>
      <c r="E37" s="405"/>
      <c r="F37" s="406"/>
      <c r="G37" s="393"/>
      <c r="H37" s="393"/>
      <c r="I37" s="379"/>
      <c r="J37" s="391"/>
    </row>
    <row r="38" spans="1:10" ht="15" x14ac:dyDescent="0.25">
      <c r="A38" s="402" t="s">
        <v>212</v>
      </c>
      <c r="B38" s="398"/>
      <c r="C38" s="398"/>
      <c r="D38" s="456">
        <f>D55</f>
        <v>454.24761904761863</v>
      </c>
      <c r="E38" s="405"/>
      <c r="F38" s="406"/>
      <c r="G38" s="393"/>
      <c r="H38" s="393"/>
      <c r="I38" s="379"/>
      <c r="J38" s="391"/>
    </row>
    <row r="39" spans="1:10" ht="15.75" customHeight="1" x14ac:dyDescent="0.25">
      <c r="A39" s="402" t="s">
        <v>213</v>
      </c>
      <c r="B39" s="410"/>
      <c r="C39" s="398"/>
      <c r="D39" s="404">
        <f>F6+F28</f>
        <v>1769.931428571429</v>
      </c>
      <c r="E39" s="405"/>
      <c r="F39" s="406"/>
      <c r="G39" s="393"/>
      <c r="H39" s="393"/>
      <c r="I39" s="379" t="s">
        <v>204</v>
      </c>
      <c r="J39" s="387"/>
    </row>
    <row r="40" spans="1:10" ht="15.75" customHeight="1" thickBot="1" x14ac:dyDescent="0.3">
      <c r="A40" s="411" t="s">
        <v>214</v>
      </c>
      <c r="B40" s="412"/>
      <c r="C40" s="412"/>
      <c r="D40" s="412"/>
      <c r="E40" s="413"/>
      <c r="F40" s="414"/>
      <c r="G40" s="393"/>
      <c r="H40" s="393"/>
      <c r="I40" s="388" t="s">
        <v>191</v>
      </c>
      <c r="J40" s="392">
        <v>1.4999999999999999E-2</v>
      </c>
    </row>
    <row r="41" spans="1:10" ht="15.75" customHeight="1" x14ac:dyDescent="0.25">
      <c r="A41" s="167"/>
      <c r="B41" s="167"/>
      <c r="C41" s="167"/>
      <c r="D41" s="167"/>
      <c r="E41" s="167"/>
      <c r="F41" s="167"/>
      <c r="G41" s="167"/>
      <c r="H41" s="167"/>
    </row>
    <row r="42" spans="1:10" ht="15" x14ac:dyDescent="0.25">
      <c r="A42" s="167"/>
      <c r="B42" s="167"/>
      <c r="C42" s="167"/>
      <c r="D42" s="167"/>
      <c r="E42" s="167"/>
      <c r="F42" s="167"/>
      <c r="G42" s="167"/>
      <c r="H42" s="167"/>
    </row>
    <row r="43" spans="1:10" ht="15.75" customHeight="1" thickBot="1" x14ac:dyDescent="0.3">
      <c r="A43" s="493" t="s">
        <v>90</v>
      </c>
      <c r="B43" s="494"/>
      <c r="C43" s="494"/>
      <c r="D43" s="495"/>
      <c r="E43" s="167"/>
      <c r="F43" s="167"/>
      <c r="G43" s="167"/>
      <c r="H43" s="167"/>
    </row>
    <row r="44" spans="1:10" ht="15" x14ac:dyDescent="0.25">
      <c r="A44" s="416" t="s">
        <v>91</v>
      </c>
      <c r="B44" s="417">
        <f>F6</f>
        <v>1523.8095238095239</v>
      </c>
      <c r="C44" s="418">
        <v>2.4E-2</v>
      </c>
      <c r="D44" s="419">
        <f t="shared" ref="D44:D46" si="3">B44*C44</f>
        <v>36.571428571428577</v>
      </c>
      <c r="E44" s="167"/>
      <c r="F44" s="167"/>
      <c r="G44" s="167"/>
      <c r="H44" s="167"/>
    </row>
    <row r="45" spans="1:10" ht="15" x14ac:dyDescent="0.25">
      <c r="A45" s="420" t="s">
        <v>92</v>
      </c>
      <c r="B45" s="421">
        <f>B44</f>
        <v>1523.8095238095239</v>
      </c>
      <c r="C45" s="422">
        <v>7.4999999999999997E-3</v>
      </c>
      <c r="D45" s="423">
        <f t="shared" si="3"/>
        <v>11.428571428571429</v>
      </c>
      <c r="E45" s="167"/>
      <c r="F45" s="167"/>
      <c r="G45" s="167"/>
      <c r="H45" s="167"/>
    </row>
    <row r="46" spans="1:10" ht="15" x14ac:dyDescent="0.25">
      <c r="A46" s="420" t="s">
        <v>216</v>
      </c>
      <c r="B46" s="421">
        <f>B22</f>
        <v>1535.7828571428574</v>
      </c>
      <c r="C46" s="424">
        <v>-1.7000000000000001E-2</v>
      </c>
      <c r="D46" s="423">
        <f t="shared" si="3"/>
        <v>-26.10830857142858</v>
      </c>
      <c r="E46" s="167"/>
      <c r="F46" s="167"/>
      <c r="G46" s="167"/>
      <c r="H46" s="167"/>
    </row>
    <row r="47" spans="1:10" ht="15" x14ac:dyDescent="0.25">
      <c r="A47" s="420" t="s">
        <v>22</v>
      </c>
      <c r="B47" s="425"/>
      <c r="C47" s="426"/>
      <c r="D47" s="427"/>
      <c r="E47" s="167"/>
      <c r="F47" s="167"/>
      <c r="G47" s="167"/>
      <c r="H47" s="167"/>
    </row>
    <row r="48" spans="1:10" ht="15.75" thickBot="1" x14ac:dyDescent="0.3">
      <c r="A48" s="428" t="s">
        <v>95</v>
      </c>
      <c r="B48" s="429"/>
      <c r="C48" s="430"/>
      <c r="D48" s="431">
        <f>SUM(D44:D47)</f>
        <v>21.891691428571427</v>
      </c>
      <c r="E48" s="167"/>
      <c r="F48" s="167"/>
      <c r="G48" s="167"/>
      <c r="H48" s="167"/>
    </row>
    <row r="49" spans="1:9" ht="15" x14ac:dyDescent="0.25">
      <c r="A49" s="432"/>
      <c r="B49" s="433"/>
      <c r="C49" s="434"/>
      <c r="D49" s="435"/>
      <c r="E49" s="167"/>
      <c r="F49" s="167"/>
      <c r="G49" s="167"/>
      <c r="H49" s="167"/>
    </row>
    <row r="50" spans="1:9" ht="15" x14ac:dyDescent="0.25">
      <c r="A50" s="432"/>
      <c r="B50" s="433"/>
      <c r="C50" s="434"/>
      <c r="D50" s="435"/>
      <c r="E50" s="167"/>
      <c r="F50" s="167"/>
      <c r="G50" s="167"/>
      <c r="H50" s="167"/>
    </row>
    <row r="51" spans="1:9" ht="15.75" thickBot="1" x14ac:dyDescent="0.3">
      <c r="A51" s="436" t="s">
        <v>212</v>
      </c>
      <c r="B51" s="167"/>
      <c r="C51" s="167"/>
      <c r="D51" s="167"/>
      <c r="E51" s="167"/>
      <c r="F51" s="167"/>
      <c r="G51" s="167"/>
      <c r="H51" s="167"/>
    </row>
    <row r="52" spans="1:9" ht="15" x14ac:dyDescent="0.25">
      <c r="A52" s="437" t="s">
        <v>217</v>
      </c>
      <c r="B52" s="438"/>
      <c r="C52" s="377"/>
      <c r="D52" s="457">
        <f>H77</f>
        <v>335.39047619047574</v>
      </c>
      <c r="E52" s="167"/>
      <c r="F52" s="167"/>
      <c r="G52" s="167"/>
      <c r="H52" s="167"/>
    </row>
    <row r="53" spans="1:9" ht="15" x14ac:dyDescent="0.25">
      <c r="A53" s="439" t="s">
        <v>218</v>
      </c>
      <c r="B53" s="440">
        <f>F6</f>
        <v>1523.8095238095239</v>
      </c>
      <c r="C53" s="441">
        <v>0.06</v>
      </c>
      <c r="D53" s="442">
        <f>C53*B53</f>
        <v>91.428571428571431</v>
      </c>
      <c r="E53" s="167"/>
      <c r="F53" s="167"/>
      <c r="G53" s="167"/>
      <c r="H53" s="167"/>
    </row>
    <row r="54" spans="1:9" ht="15" x14ac:dyDescent="0.25">
      <c r="A54" s="439" t="s">
        <v>219</v>
      </c>
      <c r="B54" s="440">
        <f>B53</f>
        <v>1523.8095238095239</v>
      </c>
      <c r="C54" s="415">
        <v>1.7999999999999999E-2</v>
      </c>
      <c r="D54" s="442">
        <f>C54*B54</f>
        <v>27.428571428571427</v>
      </c>
      <c r="E54" s="167"/>
      <c r="F54" s="167"/>
      <c r="G54" s="167"/>
      <c r="H54" s="167"/>
    </row>
    <row r="55" spans="1:9" ht="15.75" thickBot="1" x14ac:dyDescent="0.3">
      <c r="A55" s="443" t="s">
        <v>101</v>
      </c>
      <c r="B55" s="444"/>
      <c r="C55" s="445"/>
      <c r="D55" s="446">
        <f>SUM(D52:D54)</f>
        <v>454.24761904761863</v>
      </c>
      <c r="E55" s="167"/>
      <c r="F55" s="167"/>
      <c r="G55" s="167"/>
      <c r="H55" s="167"/>
    </row>
    <row r="56" spans="1:9" ht="15" x14ac:dyDescent="0.25">
      <c r="A56" s="167"/>
      <c r="B56" s="167"/>
      <c r="C56" s="167"/>
      <c r="D56" s="167"/>
      <c r="E56" s="167"/>
      <c r="F56" s="167"/>
      <c r="G56" s="167"/>
      <c r="H56" s="167"/>
    </row>
    <row r="57" spans="1:9" ht="15.75" thickBot="1" x14ac:dyDescent="0.3">
      <c r="A57" s="167"/>
      <c r="B57" s="167"/>
      <c r="C57" s="167"/>
      <c r="D57" s="167"/>
      <c r="E57" s="167"/>
      <c r="F57" s="167"/>
      <c r="G57" s="167"/>
      <c r="H57" s="167"/>
    </row>
    <row r="58" spans="1:9" ht="15" x14ac:dyDescent="0.25">
      <c r="A58" s="447" t="s">
        <v>61</v>
      </c>
      <c r="B58" s="448" t="s">
        <v>48</v>
      </c>
      <c r="C58" s="448" t="s">
        <v>22</v>
      </c>
      <c r="D58" s="449" t="s">
        <v>202</v>
      </c>
      <c r="E58" s="167"/>
      <c r="F58" s="167"/>
      <c r="G58" s="167"/>
      <c r="H58" s="167"/>
    </row>
    <row r="59" spans="1:9" ht="16.5" x14ac:dyDescent="0.25">
      <c r="A59" s="450" t="s">
        <v>220</v>
      </c>
      <c r="B59" s="182">
        <f>$F$6</f>
        <v>1523.8095238095239</v>
      </c>
      <c r="C59" s="451"/>
      <c r="D59" s="452"/>
      <c r="E59" s="167"/>
      <c r="F59" s="167"/>
      <c r="G59" s="167"/>
      <c r="H59" s="167"/>
    </row>
    <row r="60" spans="1:9" ht="16.5" x14ac:dyDescent="0.25">
      <c r="A60" s="450" t="s">
        <v>221</v>
      </c>
      <c r="B60" s="182">
        <f t="shared" ref="B60:B66" si="4">$F$6</f>
        <v>1523.8095238095239</v>
      </c>
      <c r="C60" s="451"/>
      <c r="D60" s="474"/>
      <c r="E60" s="167"/>
      <c r="F60" s="167"/>
      <c r="G60" s="167"/>
      <c r="H60" s="167"/>
      <c r="I60" s="167"/>
    </row>
    <row r="61" spans="1:9" ht="16.5" x14ac:dyDescent="0.25">
      <c r="A61" s="450" t="s">
        <v>222</v>
      </c>
      <c r="B61" s="182">
        <f t="shared" si="4"/>
        <v>1523.8095238095239</v>
      </c>
      <c r="C61" s="183">
        <v>3.0000000000000001E-3</v>
      </c>
      <c r="D61" s="475">
        <f t="shared" ref="D61:D66" si="5">C61*B61</f>
        <v>4.5714285714285721</v>
      </c>
      <c r="E61" s="167"/>
      <c r="F61" s="167"/>
      <c r="G61" s="167"/>
      <c r="H61" s="167"/>
      <c r="I61" s="167"/>
    </row>
    <row r="62" spans="1:9" ht="16.5" x14ac:dyDescent="0.25">
      <c r="A62" s="450" t="s">
        <v>223</v>
      </c>
      <c r="B62" s="182">
        <f t="shared" si="4"/>
        <v>1523.8095238095239</v>
      </c>
      <c r="C62" s="183">
        <v>6.7999999999999996E-3</v>
      </c>
      <c r="D62" s="475">
        <f t="shared" si="5"/>
        <v>10.361904761904762</v>
      </c>
      <c r="E62" s="167"/>
      <c r="F62" s="167"/>
      <c r="G62" s="167"/>
      <c r="H62" s="167"/>
      <c r="I62" s="167"/>
    </row>
    <row r="63" spans="1:9" ht="16.5" x14ac:dyDescent="0.25">
      <c r="A63" s="450" t="s">
        <v>215</v>
      </c>
      <c r="B63" s="182">
        <f t="shared" si="4"/>
        <v>1523.8095238095239</v>
      </c>
      <c r="C63" s="183">
        <v>5.4999999999999997E-3</v>
      </c>
      <c r="D63" s="475">
        <f t="shared" si="5"/>
        <v>8.3809523809523814</v>
      </c>
      <c r="E63" s="167"/>
      <c r="F63" s="167"/>
      <c r="G63" s="167"/>
      <c r="H63" s="167"/>
      <c r="I63" s="167"/>
    </row>
    <row r="64" spans="1:9" ht="16.5" x14ac:dyDescent="0.25">
      <c r="A64" s="450" t="s">
        <v>224</v>
      </c>
      <c r="B64" s="182">
        <f t="shared" si="4"/>
        <v>1523.8095238095239</v>
      </c>
      <c r="C64" s="453">
        <v>1.6000000000000001E-4</v>
      </c>
      <c r="D64" s="475">
        <f t="shared" si="5"/>
        <v>0.24380952380952384</v>
      </c>
      <c r="E64" s="167"/>
      <c r="F64" s="167"/>
      <c r="G64" s="167"/>
      <c r="H64" s="167"/>
    </row>
    <row r="65" spans="1:8" ht="16.5" x14ac:dyDescent="0.25">
      <c r="A65" s="450" t="s">
        <v>225</v>
      </c>
      <c r="B65" s="182"/>
      <c r="C65" s="451"/>
      <c r="D65" s="476">
        <f>SUM(D61:D64)</f>
        <v>23.558095238095241</v>
      </c>
      <c r="E65" s="167"/>
      <c r="F65" s="167"/>
      <c r="G65" s="167"/>
      <c r="H65" s="167"/>
    </row>
    <row r="66" spans="1:8" ht="16.5" x14ac:dyDescent="0.25">
      <c r="A66" s="450" t="s">
        <v>220</v>
      </c>
      <c r="B66" s="182">
        <f t="shared" si="4"/>
        <v>1523.8095238095239</v>
      </c>
      <c r="C66" s="183">
        <v>1E-3</v>
      </c>
      <c r="D66" s="475">
        <f t="shared" si="5"/>
        <v>1.5238095238095239</v>
      </c>
      <c r="E66" s="167"/>
      <c r="F66" s="167"/>
      <c r="G66" s="167"/>
      <c r="H66" s="167"/>
    </row>
    <row r="67" spans="1:8" ht="16.5" x14ac:dyDescent="0.25">
      <c r="A67" s="450"/>
      <c r="B67" s="451"/>
      <c r="C67" s="451"/>
      <c r="D67" s="474"/>
      <c r="E67" s="167"/>
      <c r="F67" s="167"/>
      <c r="G67" s="167"/>
      <c r="H67" s="167"/>
    </row>
    <row r="68" spans="1:8" ht="17.25" thickBot="1" x14ac:dyDescent="0.3">
      <c r="A68" s="454" t="s">
        <v>226</v>
      </c>
      <c r="B68" s="394"/>
      <c r="C68" s="394"/>
      <c r="D68" s="477">
        <f>SUM(D65:D66)</f>
        <v>25.081904761904767</v>
      </c>
      <c r="E68" s="167"/>
      <c r="F68" s="167"/>
      <c r="G68" s="167"/>
      <c r="H68" s="167"/>
    </row>
    <row r="69" spans="1:8" ht="15" x14ac:dyDescent="0.25">
      <c r="A69" s="167"/>
      <c r="B69" s="167"/>
      <c r="C69" s="167"/>
      <c r="D69" s="167"/>
      <c r="E69" s="167"/>
      <c r="F69" s="167"/>
      <c r="G69" s="167"/>
      <c r="H69" s="167"/>
    </row>
    <row r="70" spans="1:8" ht="15.75" thickBot="1" x14ac:dyDescent="0.3">
      <c r="A70" s="167"/>
      <c r="B70" s="167"/>
      <c r="C70" s="167"/>
      <c r="D70" s="167"/>
      <c r="E70" s="167"/>
      <c r="F70" s="167"/>
      <c r="G70" s="167"/>
      <c r="H70" s="167"/>
    </row>
    <row r="71" spans="1:8" ht="20.25" x14ac:dyDescent="0.25">
      <c r="A71" s="239" t="s">
        <v>114</v>
      </c>
      <c r="B71" s="240"/>
      <c r="C71" s="240"/>
      <c r="D71" s="240"/>
      <c r="E71" s="240"/>
      <c r="F71" s="240"/>
      <c r="G71" s="240"/>
      <c r="H71" s="20"/>
    </row>
    <row r="72" spans="1:8" ht="25.5" x14ac:dyDescent="0.25">
      <c r="A72" s="104"/>
      <c r="B72" s="241" t="s">
        <v>115</v>
      </c>
      <c r="C72" s="241" t="s">
        <v>116</v>
      </c>
      <c r="D72" s="241" t="s">
        <v>26</v>
      </c>
      <c r="E72" s="242" t="s">
        <v>117</v>
      </c>
      <c r="F72" s="243" t="s">
        <v>118</v>
      </c>
      <c r="G72" s="244" t="s">
        <v>119</v>
      </c>
      <c r="H72" s="245" t="s">
        <v>120</v>
      </c>
    </row>
    <row r="73" spans="1:8" ht="16.5" customHeight="1" x14ac:dyDescent="0.25">
      <c r="A73" s="246" t="s">
        <v>121</v>
      </c>
      <c r="B73" s="459">
        <v>2000</v>
      </c>
      <c r="C73" s="248">
        <f>B73</f>
        <v>2000</v>
      </c>
      <c r="D73" s="459">
        <v>1766.92</v>
      </c>
      <c r="E73" s="248">
        <f>+D73</f>
        <v>1766.92</v>
      </c>
      <c r="F73" s="249">
        <f>ROUND(0.3194/0.6*((1.6*E73/C73)-1),4)</f>
        <v>0.22009999999999999</v>
      </c>
      <c r="G73" s="250">
        <f>F73*C73</f>
        <v>440.2</v>
      </c>
      <c r="H73" s="251">
        <f>G73</f>
        <v>440.2</v>
      </c>
    </row>
    <row r="74" spans="1:8" ht="16.5" customHeight="1" x14ac:dyDescent="0.25">
      <c r="A74" s="246" t="s">
        <v>122</v>
      </c>
      <c r="B74" s="459">
        <v>2000</v>
      </c>
      <c r="C74" s="248">
        <f>C73+B74</f>
        <v>4000</v>
      </c>
      <c r="D74" s="459">
        <v>1766.92</v>
      </c>
      <c r="E74" s="248">
        <f>E73+D74</f>
        <v>3533.84</v>
      </c>
      <c r="F74" s="249">
        <f>+F73</f>
        <v>0.22009999999999999</v>
      </c>
      <c r="G74" s="250">
        <f>F74*C74</f>
        <v>880.4</v>
      </c>
      <c r="H74" s="251">
        <f>G74-G73</f>
        <v>440.2</v>
      </c>
    </row>
    <row r="75" spans="1:8" ht="16.5" customHeight="1" x14ac:dyDescent="0.25">
      <c r="A75" s="246" t="s">
        <v>123</v>
      </c>
      <c r="B75" s="459">
        <v>2000</v>
      </c>
      <c r="C75" s="248">
        <f>C74+B75</f>
        <v>6000</v>
      </c>
      <c r="D75" s="459">
        <v>1766.92</v>
      </c>
      <c r="E75" s="248">
        <f>E74+D75</f>
        <v>5300.76</v>
      </c>
      <c r="F75" s="249">
        <f>+F74</f>
        <v>0.22009999999999999</v>
      </c>
      <c r="G75" s="250">
        <f>F75*C75</f>
        <v>1320.6</v>
      </c>
      <c r="H75" s="251">
        <f>G75-G74</f>
        <v>440.19999999999993</v>
      </c>
    </row>
    <row r="76" spans="1:8" ht="16.5" customHeight="1" x14ac:dyDescent="0.25">
      <c r="A76" s="246" t="s">
        <v>124</v>
      </c>
      <c r="B76" s="459">
        <v>2000</v>
      </c>
      <c r="C76" s="248">
        <f>C75+B76</f>
        <v>8000</v>
      </c>
      <c r="D76" s="459">
        <v>1766.92</v>
      </c>
      <c r="E76" s="248">
        <f>E75+D76</f>
        <v>7067.68</v>
      </c>
      <c r="F76" s="249">
        <f>+F75</f>
        <v>0.22009999999999999</v>
      </c>
      <c r="G76" s="250">
        <f>F76*C76</f>
        <v>1760.8</v>
      </c>
      <c r="H76" s="251">
        <f>G76-G75</f>
        <v>440.20000000000005</v>
      </c>
    </row>
    <row r="77" spans="1:8" ht="16.5" customHeight="1" thickBot="1" x14ac:dyDescent="0.3">
      <c r="A77" s="252" t="s">
        <v>125</v>
      </c>
      <c r="B77" s="257">
        <f>F6</f>
        <v>1523.8095238095239</v>
      </c>
      <c r="C77" s="253">
        <f>C76+B77</f>
        <v>9523.8095238095229</v>
      </c>
      <c r="D77" s="257">
        <f>C85</f>
        <v>1346.2247619047619</v>
      </c>
      <c r="E77" s="253">
        <f>E76+D77</f>
        <v>8413.9047619047615</v>
      </c>
      <c r="F77" s="254">
        <f>ROUND(0.3194/0.6*((1.6*E77/C77)-1),4)</f>
        <v>0.22009999999999999</v>
      </c>
      <c r="G77" s="255">
        <f>F77*C77</f>
        <v>2096.1904761904757</v>
      </c>
      <c r="H77" s="256">
        <f>G77-G76</f>
        <v>335.39047619047574</v>
      </c>
    </row>
    <row r="80" spans="1:8" x14ac:dyDescent="0.25">
      <c r="B80" s="295" t="s">
        <v>166</v>
      </c>
      <c r="C80" s="295"/>
      <c r="D80" s="295" t="s">
        <v>167</v>
      </c>
      <c r="E80" s="295"/>
      <c r="F80" s="295"/>
      <c r="G80" s="295"/>
      <c r="H80" s="295"/>
    </row>
    <row r="81" spans="2:8" x14ac:dyDescent="0.25">
      <c r="B81" s="295"/>
      <c r="C81" s="295"/>
      <c r="D81" s="295"/>
      <c r="E81" s="295"/>
      <c r="F81" s="295"/>
      <c r="G81" s="295"/>
      <c r="H81" s="295"/>
    </row>
    <row r="82" spans="2:8" x14ac:dyDescent="0.25">
      <c r="B82" s="295" t="s">
        <v>168</v>
      </c>
      <c r="C82" s="296">
        <f>F6</f>
        <v>1523.8095238095239</v>
      </c>
      <c r="D82" s="295"/>
      <c r="E82" s="295"/>
      <c r="F82" s="295"/>
      <c r="G82" s="295"/>
      <c r="H82" s="295"/>
    </row>
    <row r="83" spans="2:8" x14ac:dyDescent="0.25">
      <c r="B83" s="295" t="s">
        <v>169</v>
      </c>
      <c r="C83" s="296">
        <f>F1</f>
        <v>2000</v>
      </c>
      <c r="D83" s="295"/>
      <c r="E83" s="295"/>
      <c r="F83" s="295"/>
      <c r="G83" s="295"/>
      <c r="H83" s="295"/>
    </row>
    <row r="84" spans="2:8" x14ac:dyDescent="0.25">
      <c r="B84" s="295" t="s">
        <v>170</v>
      </c>
      <c r="C84" s="297" t="s">
        <v>227</v>
      </c>
      <c r="D84" s="295"/>
      <c r="E84" s="295"/>
      <c r="F84" s="295"/>
      <c r="G84" s="295"/>
      <c r="H84" s="295"/>
    </row>
    <row r="85" spans="2:8" x14ac:dyDescent="0.25">
      <c r="B85" s="295" t="s">
        <v>170</v>
      </c>
      <c r="C85" s="298">
        <f>1766.92*F6/2000</f>
        <v>1346.2247619047619</v>
      </c>
      <c r="D85" s="295"/>
      <c r="E85" s="295"/>
      <c r="F85" s="295"/>
      <c r="G85" s="295"/>
      <c r="H85" s="295"/>
    </row>
  </sheetData>
  <mergeCells count="1">
    <mergeCell ref="A43:D43"/>
  </mergeCells>
  <phoneticPr fontId="3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95"/>
  <sheetViews>
    <sheetView workbookViewId="0">
      <selection activeCell="A8" sqref="A8"/>
    </sheetView>
  </sheetViews>
  <sheetFormatPr baseColWidth="10" defaultRowHeight="15" x14ac:dyDescent="0.25"/>
  <cols>
    <col min="1" max="1" width="56.7109375" style="31" customWidth="1"/>
    <col min="2" max="2" width="13.42578125" style="31" bestFit="1" customWidth="1"/>
    <col min="3" max="3" width="12" style="31" bestFit="1" customWidth="1"/>
    <col min="4" max="4" width="17.140625" style="31" customWidth="1"/>
    <col min="5" max="5" width="12.5703125" style="31" customWidth="1"/>
    <col min="6" max="6" width="15.7109375" style="31" customWidth="1"/>
    <col min="7" max="7" width="11.85546875" style="31" bestFit="1" customWidth="1"/>
    <col min="8" max="8" width="30.140625" style="31" bestFit="1" customWidth="1"/>
    <col min="9" max="11" width="12" style="31" bestFit="1" customWidth="1"/>
    <col min="12" max="12" width="11.42578125" style="31"/>
    <col min="13" max="13" width="16.85546875" style="31" customWidth="1"/>
    <col min="14" max="15" width="12" style="31" bestFit="1" customWidth="1"/>
    <col min="16" max="16" width="11.42578125" style="31"/>
    <col min="17" max="17" width="14.5703125" style="31" bestFit="1" customWidth="1"/>
    <col min="18" max="16384" width="11.42578125" style="31"/>
  </cols>
  <sheetData>
    <row r="1" spans="1:17" x14ac:dyDescent="0.25">
      <c r="A1" s="288" t="s">
        <v>128</v>
      </c>
      <c r="B1" s="289"/>
      <c r="C1" s="289"/>
      <c r="D1" s="290">
        <f>3400/26</f>
        <v>130.76923076923077</v>
      </c>
    </row>
    <row r="2" spans="1:17" ht="15.75" thickBot="1" x14ac:dyDescent="0.3"/>
    <row r="3" spans="1:17" x14ac:dyDescent="0.25">
      <c r="A3" s="21" t="s">
        <v>14</v>
      </c>
      <c r="B3" s="133">
        <v>151.66659999999999</v>
      </c>
      <c r="C3" s="135">
        <f>F3/B3</f>
        <v>22.417592271469132</v>
      </c>
      <c r="D3" s="29"/>
      <c r="E3" s="59"/>
      <c r="F3" s="30">
        <v>3400</v>
      </c>
    </row>
    <row r="4" spans="1:17" x14ac:dyDescent="0.25">
      <c r="A4" s="22" t="s">
        <v>33</v>
      </c>
      <c r="B4" s="32"/>
      <c r="C4" s="134">
        <f>C3*125%</f>
        <v>28.021990339336416</v>
      </c>
      <c r="D4" s="32"/>
      <c r="E4" s="60"/>
      <c r="F4" s="34">
        <f>B4*C4</f>
        <v>0</v>
      </c>
    </row>
    <row r="5" spans="1:17" ht="15.75" thickBot="1" x14ac:dyDescent="0.3">
      <c r="A5" s="22" t="s">
        <v>34</v>
      </c>
      <c r="B5" s="32"/>
      <c r="C5" s="32"/>
      <c r="D5" s="32"/>
      <c r="E5" s="60"/>
      <c r="F5" s="35"/>
    </row>
    <row r="6" spans="1:17" ht="15.75" thickBot="1" x14ac:dyDescent="0.3">
      <c r="A6" s="22" t="s">
        <v>126</v>
      </c>
      <c r="B6" s="260">
        <v>6</v>
      </c>
      <c r="C6" s="32"/>
      <c r="D6" s="32"/>
      <c r="E6" s="258">
        <f>-D1</f>
        <v>-130.76923076923077</v>
      </c>
      <c r="F6" s="259">
        <f>E6*B6</f>
        <v>-784.61538461538464</v>
      </c>
      <c r="H6" s="514" t="s">
        <v>110</v>
      </c>
      <c r="I6" s="515"/>
      <c r="J6" s="523" t="s">
        <v>235</v>
      </c>
      <c r="K6" s="524"/>
      <c r="L6" s="533" t="s">
        <v>133</v>
      </c>
      <c r="M6" s="534"/>
      <c r="N6" s="535"/>
      <c r="O6" s="522" t="s">
        <v>134</v>
      </c>
      <c r="P6" s="523"/>
      <c r="Q6" s="529" t="s">
        <v>239</v>
      </c>
    </row>
    <row r="7" spans="1:17" x14ac:dyDescent="0.25">
      <c r="A7" s="22" t="s">
        <v>127</v>
      </c>
      <c r="B7" s="260">
        <f>B6</f>
        <v>6</v>
      </c>
      <c r="C7" s="32"/>
      <c r="D7" s="32"/>
      <c r="E7" s="258">
        <f>-E6</f>
        <v>130.76923076923077</v>
      </c>
      <c r="F7" s="259">
        <f>E7*B7</f>
        <v>784.61538461538464</v>
      </c>
      <c r="H7" s="516" t="s">
        <v>130</v>
      </c>
      <c r="I7" s="517"/>
      <c r="J7" s="32" t="s">
        <v>236</v>
      </c>
      <c r="K7" s="66">
        <f>3400/26*18</f>
        <v>2353.8461538461538</v>
      </c>
      <c r="L7" s="21">
        <v>18</v>
      </c>
      <c r="M7" s="536">
        <f>I14</f>
        <v>134.66666666666666</v>
      </c>
      <c r="N7" s="537">
        <f>L7*M7</f>
        <v>2424</v>
      </c>
      <c r="O7" s="22" t="s">
        <v>240</v>
      </c>
      <c r="P7" s="33">
        <v>2250</v>
      </c>
      <c r="Q7" s="531">
        <f>N7-P7</f>
        <v>174</v>
      </c>
    </row>
    <row r="8" spans="1:17" ht="15.75" thickBot="1" x14ac:dyDescent="0.3">
      <c r="A8" s="27" t="s">
        <v>244</v>
      </c>
      <c r="B8" s="51"/>
      <c r="C8" s="28"/>
      <c r="D8" s="137"/>
      <c r="E8" s="28"/>
      <c r="F8" s="538">
        <f>Q11</f>
        <v>255.38461538461536</v>
      </c>
      <c r="H8" s="518"/>
      <c r="I8" s="517"/>
      <c r="J8" s="32" t="s">
        <v>237</v>
      </c>
      <c r="K8" s="66">
        <f>3400/26*6</f>
        <v>784.61538461538464</v>
      </c>
      <c r="L8" s="22">
        <v>6</v>
      </c>
      <c r="M8" s="521">
        <f>M7</f>
        <v>134.66666666666666</v>
      </c>
      <c r="N8" s="517">
        <f>L8*M8</f>
        <v>808</v>
      </c>
      <c r="O8" s="22" t="s">
        <v>241</v>
      </c>
      <c r="P8" s="33">
        <v>750</v>
      </c>
      <c r="Q8" s="531">
        <f>N8-P8</f>
        <v>58</v>
      </c>
    </row>
    <row r="9" spans="1:17" ht="15.75" thickBot="1" x14ac:dyDescent="0.3">
      <c r="A9" s="539"/>
      <c r="B9" s="540"/>
      <c r="C9" s="541"/>
      <c r="D9" s="542"/>
      <c r="E9" s="541"/>
      <c r="F9" s="543"/>
      <c r="H9" s="518" t="s">
        <v>14</v>
      </c>
      <c r="I9" s="517">
        <v>39600</v>
      </c>
      <c r="J9" s="32" t="s">
        <v>243</v>
      </c>
      <c r="K9" s="34">
        <f>+K8</f>
        <v>784.61538461538464</v>
      </c>
      <c r="L9" s="22">
        <f>+L8</f>
        <v>6</v>
      </c>
      <c r="M9" s="521">
        <f>+M8</f>
        <v>134.66666666666666</v>
      </c>
      <c r="N9" s="517">
        <f>L9*M9</f>
        <v>808</v>
      </c>
      <c r="O9" s="22" t="s">
        <v>242</v>
      </c>
      <c r="P9" s="530">
        <f>+K9</f>
        <v>784.61538461538464</v>
      </c>
      <c r="Q9" s="531">
        <f>N9-P9</f>
        <v>23.384615384615358</v>
      </c>
    </row>
    <row r="10" spans="1:17" ht="15.75" thickBot="1" x14ac:dyDescent="0.3">
      <c r="A10" s="544" t="s">
        <v>35</v>
      </c>
      <c r="B10" s="545"/>
      <c r="C10" s="545"/>
      <c r="D10" s="545"/>
      <c r="E10" s="545"/>
      <c r="F10" s="546">
        <f>SUM(F3:F8)</f>
        <v>3655.3846153846152</v>
      </c>
      <c r="H10" s="518" t="s">
        <v>131</v>
      </c>
      <c r="I10" s="517">
        <v>800</v>
      </c>
      <c r="J10" s="32"/>
      <c r="K10" s="35"/>
      <c r="L10" s="22"/>
      <c r="M10" s="32"/>
      <c r="N10" s="35"/>
      <c r="O10" s="22"/>
      <c r="P10" s="32"/>
    </row>
    <row r="11" spans="1:17" ht="15.75" thickBot="1" x14ac:dyDescent="0.3">
      <c r="A11" s="136"/>
      <c r="B11" s="36"/>
      <c r="C11" s="37"/>
      <c r="D11" s="37"/>
      <c r="E11" s="61"/>
      <c r="F11" s="38"/>
      <c r="H11" s="518" t="s">
        <v>132</v>
      </c>
      <c r="I11" s="517">
        <f>SUM(I9:I10)</f>
        <v>40400</v>
      </c>
      <c r="J11" s="276"/>
      <c r="K11" s="525">
        <f>SUM(K7:K8)</f>
        <v>3138.4615384615386</v>
      </c>
      <c r="L11" s="264"/>
      <c r="M11" s="276"/>
      <c r="N11" s="532">
        <f>SUM(N7:N8)</f>
        <v>3232</v>
      </c>
      <c r="O11" s="264"/>
      <c r="P11" s="284">
        <f>SUM(P7:P8)</f>
        <v>3000</v>
      </c>
      <c r="Q11" s="532">
        <f>SUM(Q7:Q9)</f>
        <v>255.38461538461536</v>
      </c>
    </row>
    <row r="12" spans="1:17" ht="29.25" thickBot="1" x14ac:dyDescent="0.3">
      <c r="A12" s="39"/>
      <c r="B12" s="40" t="s">
        <v>49</v>
      </c>
      <c r="C12" s="40" t="s">
        <v>22</v>
      </c>
      <c r="D12" s="40" t="s">
        <v>50</v>
      </c>
      <c r="E12" s="40" t="s">
        <v>22</v>
      </c>
      <c r="F12" s="41" t="s">
        <v>51</v>
      </c>
      <c r="H12" s="518" t="s">
        <v>133</v>
      </c>
      <c r="I12" s="517">
        <f>I11/10</f>
        <v>4040</v>
      </c>
      <c r="L12" s="526" t="s">
        <v>238</v>
      </c>
      <c r="M12" s="527"/>
      <c r="N12" s="528"/>
    </row>
    <row r="13" spans="1:17" x14ac:dyDescent="0.25">
      <c r="A13" s="42" t="s">
        <v>36</v>
      </c>
      <c r="B13" s="43"/>
      <c r="C13" s="44"/>
      <c r="D13" s="44"/>
      <c r="E13" s="62"/>
      <c r="F13" s="41"/>
      <c r="H13" s="518" t="s">
        <v>233</v>
      </c>
      <c r="I13" s="517">
        <f>30</f>
        <v>30</v>
      </c>
    </row>
    <row r="14" spans="1:17" ht="27" thickBot="1" x14ac:dyDescent="0.3">
      <c r="A14" s="45" t="s">
        <v>75</v>
      </c>
      <c r="B14" s="51">
        <f>F10</f>
        <v>3655.3846153846152</v>
      </c>
      <c r="C14" s="46"/>
      <c r="D14" s="53"/>
      <c r="E14" s="68">
        <v>7.0000000000000007E-2</v>
      </c>
      <c r="F14" s="54">
        <f>B14*E14</f>
        <v>255.87692307692308</v>
      </c>
      <c r="H14" s="519" t="s">
        <v>234</v>
      </c>
      <c r="I14" s="520">
        <f>I12/I13</f>
        <v>134.66666666666666</v>
      </c>
    </row>
    <row r="15" spans="1:17" x14ac:dyDescent="0.25">
      <c r="A15" s="45" t="s">
        <v>52</v>
      </c>
      <c r="B15" s="69">
        <f>G83</f>
        <v>3655.3846153846171</v>
      </c>
      <c r="C15" s="47"/>
      <c r="D15" s="55"/>
      <c r="E15" s="204">
        <v>1.4999999999999999E-2</v>
      </c>
      <c r="F15" s="54">
        <f>B15*E15</f>
        <v>54.830769230769256</v>
      </c>
    </row>
    <row r="16" spans="1:17" x14ac:dyDescent="0.25">
      <c r="A16" s="45" t="s">
        <v>37</v>
      </c>
      <c r="B16" s="75">
        <v>3864</v>
      </c>
      <c r="C16" s="80">
        <v>0.01</v>
      </c>
      <c r="D16" s="81">
        <f>+C16*B16</f>
        <v>38.64</v>
      </c>
      <c r="E16" s="152">
        <v>0.01</v>
      </c>
      <c r="F16" s="130">
        <f>+E16*B16</f>
        <v>38.64</v>
      </c>
    </row>
    <row r="17" spans="1:6" x14ac:dyDescent="0.25">
      <c r="A17" s="42" t="s">
        <v>38</v>
      </c>
      <c r="B17" s="51">
        <f t="shared" ref="B17:B27" si="0">$F$10</f>
        <v>3655.3846153846152</v>
      </c>
      <c r="D17" s="51"/>
      <c r="E17" s="205">
        <v>2.7E-2</v>
      </c>
      <c r="F17" s="54">
        <f>B17*E17</f>
        <v>98.695384615384611</v>
      </c>
    </row>
    <row r="18" spans="1:6" x14ac:dyDescent="0.25">
      <c r="A18" s="42" t="s">
        <v>39</v>
      </c>
      <c r="B18" s="51"/>
      <c r="C18" s="48"/>
      <c r="D18" s="51"/>
      <c r="E18" s="68"/>
      <c r="F18" s="54"/>
    </row>
    <row r="19" spans="1:6" x14ac:dyDescent="0.25">
      <c r="A19" s="45" t="s">
        <v>63</v>
      </c>
      <c r="B19" s="51">
        <f>G83</f>
        <v>3655.3846153846171</v>
      </c>
      <c r="C19" s="47">
        <v>6.9000000000000006E-2</v>
      </c>
      <c r="D19" s="55">
        <f>B19*C19</f>
        <v>252.22153846153859</v>
      </c>
      <c r="E19" s="204">
        <v>8.5500000000000007E-2</v>
      </c>
      <c r="F19" s="54">
        <f t="shared" ref="F19:F25" si="1">B19*E19</f>
        <v>312.53538461538477</v>
      </c>
    </row>
    <row r="20" spans="1:6" x14ac:dyDescent="0.25">
      <c r="A20" s="45" t="s">
        <v>67</v>
      </c>
      <c r="B20" s="51">
        <f t="shared" si="0"/>
        <v>3655.3846153846152</v>
      </c>
      <c r="C20" s="47">
        <v>4.0000000000000001E-3</v>
      </c>
      <c r="D20" s="55">
        <f>B20*C20</f>
        <v>14.621538461538462</v>
      </c>
      <c r="E20" s="204">
        <v>2.0199999999999999E-2</v>
      </c>
      <c r="F20" s="54">
        <f t="shared" si="1"/>
        <v>73.83876923076923</v>
      </c>
    </row>
    <row r="21" spans="1:6" x14ac:dyDescent="0.25">
      <c r="A21" s="45" t="s">
        <v>68</v>
      </c>
      <c r="B21" s="51">
        <f>B19</f>
        <v>3655.3846153846171</v>
      </c>
      <c r="C21" s="47">
        <v>4.0099999999999997E-2</v>
      </c>
      <c r="D21" s="55">
        <f>B21*C21</f>
        <v>146.58092307692314</v>
      </c>
      <c r="E21" s="204">
        <v>6.0100000000000001E-2</v>
      </c>
      <c r="F21" s="54">
        <f t="shared" si="1"/>
        <v>219.68861538461547</v>
      </c>
    </row>
    <row r="22" spans="1:6" x14ac:dyDescent="0.25">
      <c r="A22" s="45" t="s">
        <v>69</v>
      </c>
      <c r="B22" s="51">
        <f>H83</f>
        <v>0</v>
      </c>
      <c r="C22" s="47">
        <v>9.7199999999999995E-2</v>
      </c>
      <c r="D22" s="55">
        <f>B22*C22</f>
        <v>0</v>
      </c>
      <c r="E22" s="204">
        <v>0.1457</v>
      </c>
      <c r="F22" s="54">
        <f t="shared" si="1"/>
        <v>0</v>
      </c>
    </row>
    <row r="23" spans="1:6" x14ac:dyDescent="0.25">
      <c r="A23" s="45" t="s">
        <v>80</v>
      </c>
      <c r="B23" s="313"/>
      <c r="C23" s="47">
        <v>1.4E-3</v>
      </c>
      <c r="D23" s="55">
        <f>B23*C23</f>
        <v>0</v>
      </c>
      <c r="E23" s="204">
        <v>2.0999999999999999E-3</v>
      </c>
      <c r="F23" s="54">
        <f t="shared" si="1"/>
        <v>0</v>
      </c>
    </row>
    <row r="24" spans="1:6" x14ac:dyDescent="0.25">
      <c r="A24" s="49" t="s">
        <v>74</v>
      </c>
      <c r="B24" s="51">
        <f t="shared" si="0"/>
        <v>3655.3846153846152</v>
      </c>
      <c r="C24" s="48"/>
      <c r="D24" s="51"/>
      <c r="E24" s="68">
        <v>3.4500000000000003E-2</v>
      </c>
      <c r="F24" s="54">
        <f t="shared" si="1"/>
        <v>126.11076923076924</v>
      </c>
    </row>
    <row r="25" spans="1:6" x14ac:dyDescent="0.25">
      <c r="A25" s="42" t="s">
        <v>66</v>
      </c>
      <c r="B25" s="51">
        <f t="shared" si="0"/>
        <v>3655.3846153846152</v>
      </c>
      <c r="C25" s="48"/>
      <c r="D25" s="51"/>
      <c r="E25" s="68">
        <v>4.2500000000000003E-2</v>
      </c>
      <c r="F25" s="54">
        <f t="shared" si="1"/>
        <v>155.35384615384615</v>
      </c>
    </row>
    <row r="26" spans="1:6" x14ac:dyDescent="0.25">
      <c r="A26" s="42" t="s">
        <v>61</v>
      </c>
      <c r="B26" s="51"/>
      <c r="C26" s="48"/>
      <c r="D26" s="51"/>
      <c r="E26" s="68"/>
      <c r="F26" s="206">
        <f>D60</f>
        <v>60.167630769230776</v>
      </c>
    </row>
    <row r="27" spans="1:6" x14ac:dyDescent="0.25">
      <c r="A27" s="42" t="s">
        <v>71</v>
      </c>
      <c r="B27" s="51">
        <f t="shared" si="0"/>
        <v>3655.3846153846152</v>
      </c>
      <c r="C27" s="56">
        <v>2.4000000000000001E-4</v>
      </c>
      <c r="D27" s="51">
        <f>B27*C27</f>
        <v>0.8772923076923077</v>
      </c>
      <c r="E27" s="64">
        <v>3.6000000000000002E-4</v>
      </c>
      <c r="F27" s="54">
        <f>B27*E27</f>
        <v>1.3159384615384615</v>
      </c>
    </row>
    <row r="28" spans="1:6" x14ac:dyDescent="0.25">
      <c r="A28" s="42" t="s">
        <v>41</v>
      </c>
      <c r="B28" s="51">
        <f>$F$10*98.25%+F15+F16</f>
        <v>3684.8861538461538</v>
      </c>
      <c r="C28" s="47">
        <v>2.9000000000000001E-2</v>
      </c>
      <c r="D28" s="55">
        <f>B28*C28</f>
        <v>106.86169846153847</v>
      </c>
      <c r="E28" s="204"/>
      <c r="F28" s="54"/>
    </row>
    <row r="29" spans="1:6" x14ac:dyDescent="0.25">
      <c r="A29" s="42" t="s">
        <v>42</v>
      </c>
      <c r="B29" s="51">
        <f>$F$10*98.25%+F15+F16</f>
        <v>3684.8861538461538</v>
      </c>
      <c r="C29" s="47">
        <v>6.8000000000000005E-2</v>
      </c>
      <c r="D29" s="55">
        <f>B29*C29</f>
        <v>250.57225846153847</v>
      </c>
      <c r="E29" s="204"/>
      <c r="F29" s="54"/>
    </row>
    <row r="30" spans="1:6" x14ac:dyDescent="0.25">
      <c r="A30" s="42"/>
      <c r="B30" s="51"/>
      <c r="C30" s="44"/>
      <c r="D30" s="55"/>
      <c r="E30" s="204"/>
      <c r="F30" s="54"/>
    </row>
    <row r="31" spans="1:6" x14ac:dyDescent="0.25">
      <c r="A31" s="395" t="s">
        <v>205</v>
      </c>
      <c r="B31" s="51"/>
      <c r="C31" s="47"/>
      <c r="D31" s="55"/>
      <c r="E31" s="204"/>
      <c r="F31" s="54"/>
    </row>
    <row r="32" spans="1:6" x14ac:dyDescent="0.25">
      <c r="A32" s="42" t="s">
        <v>44</v>
      </c>
      <c r="B32" s="52"/>
      <c r="C32" s="44"/>
      <c r="D32" s="52">
        <f>SUM(D13:D31)</f>
        <v>810.37524923076944</v>
      </c>
      <c r="E32" s="63"/>
      <c r="F32" s="52">
        <f>SUM(F13:F31)</f>
        <v>1397.0540307692311</v>
      </c>
    </row>
    <row r="33" spans="1:6" ht="15.75" thickBot="1" x14ac:dyDescent="0.3">
      <c r="A33" s="42" t="s">
        <v>228</v>
      </c>
      <c r="B33" s="52"/>
      <c r="C33" s="44"/>
      <c r="D33" s="52"/>
      <c r="E33" s="63"/>
      <c r="F33" s="138">
        <f>+F10-D32</f>
        <v>2845.0093661538458</v>
      </c>
    </row>
    <row r="34" spans="1:6" ht="15.75" thickBot="1" x14ac:dyDescent="0.3">
      <c r="A34" s="50" t="s">
        <v>45</v>
      </c>
      <c r="B34" s="52"/>
      <c r="C34" s="44"/>
      <c r="D34" s="52"/>
      <c r="E34" s="63"/>
      <c r="F34" s="139">
        <f>F10-D32</f>
        <v>2845.0093661538458</v>
      </c>
    </row>
    <row r="35" spans="1:6" ht="28.5" x14ac:dyDescent="0.25">
      <c r="A35" s="42" t="s">
        <v>46</v>
      </c>
      <c r="B35" s="140"/>
      <c r="C35" s="141"/>
      <c r="D35" s="140"/>
      <c r="E35" s="142"/>
      <c r="F35" s="143">
        <f>D67</f>
        <v>53.003076923076911</v>
      </c>
    </row>
    <row r="36" spans="1:6" x14ac:dyDescent="0.25">
      <c r="A36" s="399" t="s">
        <v>47</v>
      </c>
      <c r="B36" s="399" t="s">
        <v>48</v>
      </c>
      <c r="C36" s="399" t="s">
        <v>22</v>
      </c>
      <c r="D36" s="400" t="s">
        <v>206</v>
      </c>
      <c r="E36" s="400"/>
      <c r="F36" s="401" t="s">
        <v>207</v>
      </c>
    </row>
    <row r="37" spans="1:6" x14ac:dyDescent="0.25">
      <c r="A37" s="402" t="s">
        <v>208</v>
      </c>
      <c r="B37" s="403"/>
      <c r="C37" s="398"/>
      <c r="D37" s="404">
        <f>F10+F16+D28-D32</f>
        <v>2990.5110646153839</v>
      </c>
      <c r="E37" s="405"/>
      <c r="F37" s="406">
        <f>D37</f>
        <v>2990.5110646153839</v>
      </c>
    </row>
    <row r="38" spans="1:6" x14ac:dyDescent="0.25">
      <c r="A38" s="402" t="s">
        <v>209</v>
      </c>
      <c r="B38" s="407">
        <f>D37</f>
        <v>2990.5110646153839</v>
      </c>
      <c r="C38" s="408">
        <v>0.13</v>
      </c>
      <c r="D38" s="404">
        <f>C38*B38</f>
        <v>388.76643839999991</v>
      </c>
      <c r="E38" s="405"/>
      <c r="F38" s="406">
        <f t="shared" ref="F38" si="2">D38</f>
        <v>388.76643839999991</v>
      </c>
    </row>
    <row r="39" spans="1:6" x14ac:dyDescent="0.25">
      <c r="A39" s="402" t="s">
        <v>210</v>
      </c>
      <c r="B39" s="403"/>
      <c r="C39" s="404"/>
      <c r="D39" s="404"/>
      <c r="E39" s="405"/>
      <c r="F39" s="406"/>
    </row>
    <row r="40" spans="1:6" x14ac:dyDescent="0.25">
      <c r="A40" s="402"/>
      <c r="B40" s="403"/>
      <c r="C40" s="398"/>
      <c r="D40" s="398"/>
      <c r="E40" s="405"/>
      <c r="F40" s="409"/>
    </row>
    <row r="41" spans="1:6" x14ac:dyDescent="0.25">
      <c r="A41" s="397" t="s">
        <v>211</v>
      </c>
      <c r="B41" s="398"/>
      <c r="C41" s="398"/>
      <c r="D41" s="404">
        <f>F34-D38</f>
        <v>2456.2429277538458</v>
      </c>
      <c r="E41" s="405"/>
      <c r="F41" s="406"/>
    </row>
    <row r="42" spans="1:6" x14ac:dyDescent="0.25">
      <c r="A42" s="402" t="s">
        <v>212</v>
      </c>
      <c r="B42" s="398"/>
      <c r="C42" s="398"/>
      <c r="D42" s="404">
        <f>D75</f>
        <v>285.12</v>
      </c>
      <c r="E42" s="405"/>
      <c r="F42" s="406"/>
    </row>
    <row r="43" spans="1:6" x14ac:dyDescent="0.25">
      <c r="A43" s="402" t="s">
        <v>213</v>
      </c>
      <c r="B43" s="410"/>
      <c r="C43" s="398"/>
      <c r="D43" s="404">
        <f>F10+F32</f>
        <v>5052.4386461538461</v>
      </c>
      <c r="E43" s="405"/>
      <c r="F43" s="406"/>
    </row>
    <row r="44" spans="1:6" ht="15.75" thickBot="1" x14ac:dyDescent="0.3">
      <c r="A44" s="411" t="s">
        <v>214</v>
      </c>
      <c r="B44" s="412"/>
      <c r="C44" s="412"/>
      <c r="D44" s="412"/>
      <c r="E44" s="413"/>
      <c r="F44" s="414"/>
    </row>
    <row r="45" spans="1:6" x14ac:dyDescent="0.25">
      <c r="A45" s="465"/>
      <c r="B45" s="466"/>
      <c r="C45" s="466"/>
      <c r="D45" s="466"/>
      <c r="E45" s="466"/>
      <c r="F45" s="467"/>
    </row>
    <row r="46" spans="1:6" x14ac:dyDescent="0.25">
      <c r="A46" s="465"/>
      <c r="B46" s="466"/>
      <c r="C46" s="466"/>
      <c r="D46" s="466"/>
      <c r="E46" s="466"/>
      <c r="F46" s="467"/>
    </row>
    <row r="47" spans="1:6" x14ac:dyDescent="0.25">
      <c r="A47" s="465"/>
      <c r="B47" s="466"/>
      <c r="C47" s="466"/>
      <c r="D47" s="466"/>
      <c r="E47" s="466"/>
      <c r="F47" s="467"/>
    </row>
    <row r="48" spans="1:6" x14ac:dyDescent="0.25">
      <c r="A48" s="460"/>
      <c r="B48" s="461"/>
      <c r="C48" s="462"/>
      <c r="D48" s="463"/>
      <c r="E48" s="463"/>
      <c r="F48" s="464"/>
    </row>
    <row r="49" spans="1:4" ht="15.75" thickBot="1" x14ac:dyDescent="0.3">
      <c r="A49" s="501" t="s">
        <v>61</v>
      </c>
      <c r="B49" s="502"/>
      <c r="C49" s="167"/>
      <c r="D49" s="167"/>
    </row>
    <row r="50" spans="1:4" x14ac:dyDescent="0.25">
      <c r="A50" s="168"/>
      <c r="B50" s="503">
        <f>F10</f>
        <v>3655.3846153846152</v>
      </c>
      <c r="C50" s="506">
        <f>0.3%+0.68%+0.55%+0.016%</f>
        <v>1.5460000000000002E-2</v>
      </c>
      <c r="D50" s="509">
        <f>B50*C50</f>
        <v>56.512246153846156</v>
      </c>
    </row>
    <row r="51" spans="1:4" x14ac:dyDescent="0.25">
      <c r="A51" s="169" t="s">
        <v>82</v>
      </c>
      <c r="B51" s="504"/>
      <c r="C51" s="507"/>
      <c r="D51" s="510"/>
    </row>
    <row r="52" spans="1:4" x14ac:dyDescent="0.25">
      <c r="A52" s="169" t="s">
        <v>83</v>
      </c>
      <c r="B52" s="504"/>
      <c r="C52" s="507"/>
      <c r="D52" s="510"/>
    </row>
    <row r="53" spans="1:4" x14ac:dyDescent="0.25">
      <c r="A53" s="169" t="s">
        <v>84</v>
      </c>
      <c r="B53" s="504"/>
      <c r="C53" s="507"/>
      <c r="D53" s="510"/>
    </row>
    <row r="54" spans="1:4" x14ac:dyDescent="0.25">
      <c r="A54" s="169" t="s">
        <v>85</v>
      </c>
      <c r="B54" s="504"/>
      <c r="C54" s="507"/>
      <c r="D54" s="510"/>
    </row>
    <row r="55" spans="1:4" x14ac:dyDescent="0.25">
      <c r="A55" s="169" t="s">
        <v>86</v>
      </c>
      <c r="B55" s="504"/>
      <c r="C55" s="507"/>
      <c r="D55" s="510"/>
    </row>
    <row r="56" spans="1:4" ht="15.75" thickBot="1" x14ac:dyDescent="0.3">
      <c r="A56" s="170" t="s">
        <v>87</v>
      </c>
      <c r="B56" s="505"/>
      <c r="C56" s="508"/>
      <c r="D56" s="511"/>
    </row>
    <row r="57" spans="1:4" ht="15.75" thickBot="1" x14ac:dyDescent="0.3">
      <c r="A57" s="167"/>
      <c r="B57" s="171"/>
      <c r="C57" s="171"/>
      <c r="D57" s="171"/>
    </row>
    <row r="58" spans="1:4" ht="15.75" thickBot="1" x14ac:dyDescent="0.3">
      <c r="A58" s="172" t="s">
        <v>88</v>
      </c>
      <c r="B58" s="173">
        <f>B21</f>
        <v>3655.3846153846171</v>
      </c>
      <c r="C58" s="174">
        <v>1E-3</v>
      </c>
      <c r="D58" s="175">
        <f>C58*B58</f>
        <v>3.6553846153846172</v>
      </c>
    </row>
    <row r="59" spans="1:4" ht="15.75" thickBot="1" x14ac:dyDescent="0.3">
      <c r="A59" s="167"/>
      <c r="B59" s="167"/>
      <c r="C59" s="167"/>
      <c r="D59" s="167"/>
    </row>
    <row r="60" spans="1:4" ht="15.75" thickBot="1" x14ac:dyDescent="0.3">
      <c r="A60" s="172" t="s">
        <v>89</v>
      </c>
      <c r="B60" s="176"/>
      <c r="C60" s="176"/>
      <c r="D60" s="177">
        <f>D50+D58</f>
        <v>60.167630769230776</v>
      </c>
    </row>
    <row r="61" spans="1:4" ht="15.75" thickBot="1" x14ac:dyDescent="0.3">
      <c r="A61" s="167"/>
      <c r="B61" s="167"/>
      <c r="C61" s="167"/>
      <c r="D61" s="167"/>
    </row>
    <row r="62" spans="1:4" ht="15.75" thickBot="1" x14ac:dyDescent="0.3">
      <c r="A62" s="498" t="s">
        <v>90</v>
      </c>
      <c r="B62" s="499"/>
      <c r="C62" s="499"/>
      <c r="D62" s="500"/>
    </row>
    <row r="63" spans="1:4" x14ac:dyDescent="0.25">
      <c r="A63" s="178" t="s">
        <v>91</v>
      </c>
      <c r="B63" s="182">
        <f>F10</f>
        <v>3655.3846153846152</v>
      </c>
      <c r="C63" s="179">
        <v>2.4E-2</v>
      </c>
      <c r="D63" s="180">
        <f>C63*B63</f>
        <v>87.729230769230767</v>
      </c>
    </row>
    <row r="64" spans="1:4" x14ac:dyDescent="0.25">
      <c r="A64" s="181" t="s">
        <v>92</v>
      </c>
      <c r="B64" s="182">
        <f>B63</f>
        <v>3655.3846153846152</v>
      </c>
      <c r="C64" s="183">
        <v>7.4999999999999997E-3</v>
      </c>
      <c r="D64" s="184">
        <f t="shared" ref="D64:D65" si="3">C64*B64</f>
        <v>27.415384615384614</v>
      </c>
    </row>
    <row r="65" spans="1:10" x14ac:dyDescent="0.25">
      <c r="A65" s="181" t="s">
        <v>93</v>
      </c>
      <c r="B65" s="182">
        <f>B27</f>
        <v>3655.3846153846152</v>
      </c>
      <c r="C65" s="183">
        <v>-1.7000000000000001E-2</v>
      </c>
      <c r="D65" s="184">
        <f t="shared" si="3"/>
        <v>-62.141538461538467</v>
      </c>
    </row>
    <row r="66" spans="1:10" x14ac:dyDescent="0.25">
      <c r="A66" s="42" t="s">
        <v>94</v>
      </c>
      <c r="B66" s="185"/>
      <c r="C66" s="47">
        <v>0.11310000000000001</v>
      </c>
      <c r="D66" s="186">
        <f>C66*B66</f>
        <v>0</v>
      </c>
    </row>
    <row r="67" spans="1:10" ht="15.75" thickBot="1" x14ac:dyDescent="0.3">
      <c r="A67" s="202" t="s">
        <v>95</v>
      </c>
      <c r="B67" s="187"/>
      <c r="C67" s="188"/>
      <c r="D67" s="189">
        <f>SUM(D63:D66)</f>
        <v>53.003076923076911</v>
      </c>
    </row>
    <row r="68" spans="1:10" x14ac:dyDescent="0.25">
      <c r="A68" s="103"/>
      <c r="B68" s="103"/>
      <c r="C68" s="103"/>
      <c r="D68" s="103"/>
    </row>
    <row r="69" spans="1:10" ht="15.75" thickBot="1" x14ac:dyDescent="0.3">
      <c r="A69" s="103"/>
      <c r="B69" s="103"/>
      <c r="C69" s="103"/>
      <c r="D69" s="103"/>
    </row>
    <row r="70" spans="1:10" ht="15.75" thickBot="1" x14ac:dyDescent="0.3">
      <c r="A70" s="498" t="s">
        <v>102</v>
      </c>
      <c r="B70" s="499"/>
      <c r="C70" s="499"/>
      <c r="D70" s="500"/>
    </row>
    <row r="71" spans="1:10" x14ac:dyDescent="0.25">
      <c r="A71" s="190" t="s">
        <v>96</v>
      </c>
      <c r="B71" s="191"/>
      <c r="C71" s="191"/>
      <c r="D71" s="192">
        <f>-F29</f>
        <v>0</v>
      </c>
    </row>
    <row r="72" spans="1:10" x14ac:dyDescent="0.25">
      <c r="A72" s="193" t="s">
        <v>97</v>
      </c>
      <c r="B72" s="194"/>
      <c r="C72" s="195">
        <v>1.5</v>
      </c>
      <c r="D72" s="196" t="s">
        <v>98</v>
      </c>
    </row>
    <row r="73" spans="1:10" x14ac:dyDescent="0.25">
      <c r="A73" s="193" t="s">
        <v>99</v>
      </c>
      <c r="B73" s="197">
        <f>F10</f>
        <v>3655.3846153846152</v>
      </c>
      <c r="C73" s="198">
        <v>1.7999999999999999E-2</v>
      </c>
      <c r="D73" s="199">
        <f>C73*B73</f>
        <v>65.796923076923065</v>
      </c>
    </row>
    <row r="74" spans="1:10" x14ac:dyDescent="0.25">
      <c r="A74" s="193" t="s">
        <v>100</v>
      </c>
      <c r="B74" s="197">
        <f>B73</f>
        <v>3655.3846153846152</v>
      </c>
      <c r="C74" s="198">
        <v>0.06</v>
      </c>
      <c r="D74" s="199">
        <f>C74*B74</f>
        <v>219.32307692307691</v>
      </c>
    </row>
    <row r="75" spans="1:10" ht="15.75" thickBot="1" x14ac:dyDescent="0.3">
      <c r="A75" s="203" t="s">
        <v>101</v>
      </c>
      <c r="B75" s="200"/>
      <c r="C75" s="200"/>
      <c r="D75" s="201">
        <f>SUM(D71:D74)</f>
        <v>285.12</v>
      </c>
    </row>
    <row r="77" spans="1:10" ht="15.75" thickBot="1" x14ac:dyDescent="0.3"/>
    <row r="78" spans="1:10" ht="15.75" x14ac:dyDescent="0.25">
      <c r="A78" s="299" t="s">
        <v>176</v>
      </c>
      <c r="B78" s="286" t="s">
        <v>157</v>
      </c>
      <c r="C78" s="286" t="s">
        <v>158</v>
      </c>
      <c r="D78" s="286" t="s">
        <v>159</v>
      </c>
      <c r="E78" s="286" t="s">
        <v>158</v>
      </c>
      <c r="F78" s="286" t="s">
        <v>160</v>
      </c>
      <c r="G78" s="286" t="s">
        <v>161</v>
      </c>
      <c r="H78" s="291" t="s">
        <v>162</v>
      </c>
      <c r="I78" s="291" t="s">
        <v>163</v>
      </c>
      <c r="J78" s="292" t="s">
        <v>164</v>
      </c>
    </row>
    <row r="79" spans="1:10" x14ac:dyDescent="0.25">
      <c r="A79" s="22" t="s">
        <v>148</v>
      </c>
      <c r="B79" s="280">
        <v>3400</v>
      </c>
      <c r="C79" s="280">
        <f>B79</f>
        <v>3400</v>
      </c>
      <c r="D79" s="280">
        <v>3864</v>
      </c>
      <c r="E79" s="280">
        <f>D79</f>
        <v>3864</v>
      </c>
      <c r="F79" s="280">
        <f>MIN(E79,C79)</f>
        <v>3400</v>
      </c>
      <c r="G79" s="280">
        <f>+F79</f>
        <v>3400</v>
      </c>
      <c r="H79" s="280">
        <f>B79-G79</f>
        <v>0</v>
      </c>
      <c r="I79" s="280">
        <f>IF(C79&gt;E79,C79,0)</f>
        <v>0</v>
      </c>
      <c r="J79" s="259">
        <f>I79</f>
        <v>0</v>
      </c>
    </row>
    <row r="80" spans="1:10" x14ac:dyDescent="0.25">
      <c r="A80" s="22" t="s">
        <v>149</v>
      </c>
      <c r="B80" s="280">
        <v>3400</v>
      </c>
      <c r="C80" s="280">
        <f>C79+B80</f>
        <v>6800</v>
      </c>
      <c r="D80" s="280">
        <v>3864</v>
      </c>
      <c r="E80" s="280">
        <f>E79+D80</f>
        <v>7728</v>
      </c>
      <c r="F80" s="280">
        <f>MIN(E80,C80)</f>
        <v>6800</v>
      </c>
      <c r="G80" s="280">
        <f>+F80-F79</f>
        <v>3400</v>
      </c>
      <c r="H80" s="280">
        <f t="shared" ref="H80:H83" si="4">B80-G80</f>
        <v>0</v>
      </c>
      <c r="I80" s="280">
        <f>IF(C80&gt;E80,C80,0)</f>
        <v>0</v>
      </c>
      <c r="J80" s="259">
        <f>I80-I79</f>
        <v>0</v>
      </c>
    </row>
    <row r="81" spans="1:10" x14ac:dyDescent="0.25">
      <c r="A81" s="22" t="s">
        <v>150</v>
      </c>
      <c r="B81" s="280">
        <v>3400</v>
      </c>
      <c r="C81" s="280">
        <f t="shared" ref="C81:E83" si="5">C80+B81</f>
        <v>10200</v>
      </c>
      <c r="D81" s="280">
        <v>3864</v>
      </c>
      <c r="E81" s="280">
        <f t="shared" si="5"/>
        <v>11592</v>
      </c>
      <c r="F81" s="280">
        <f t="shared" ref="F81:F83" si="6">MIN(E81,C81)</f>
        <v>10200</v>
      </c>
      <c r="G81" s="280">
        <f t="shared" ref="G81:G83" si="7">+F81-F80</f>
        <v>3400</v>
      </c>
      <c r="H81" s="280">
        <f t="shared" si="4"/>
        <v>0</v>
      </c>
      <c r="I81" s="280">
        <f t="shared" ref="I81:I83" si="8">IF(C81&gt;E81,C81,0)</f>
        <v>0</v>
      </c>
      <c r="J81" s="259">
        <f t="shared" ref="J81:J83" si="9">I81-I80</f>
        <v>0</v>
      </c>
    </row>
    <row r="82" spans="1:10" x14ac:dyDescent="0.25">
      <c r="A82" s="22" t="s">
        <v>151</v>
      </c>
      <c r="B82" s="280">
        <v>3400</v>
      </c>
      <c r="C82" s="280">
        <f t="shared" si="5"/>
        <v>13600</v>
      </c>
      <c r="D82" s="280">
        <v>3864</v>
      </c>
      <c r="E82" s="280">
        <f t="shared" si="5"/>
        <v>15456</v>
      </c>
      <c r="F82" s="280">
        <f t="shared" si="6"/>
        <v>13600</v>
      </c>
      <c r="G82" s="280">
        <f t="shared" si="7"/>
        <v>3400</v>
      </c>
      <c r="H82" s="280">
        <f t="shared" si="4"/>
        <v>0</v>
      </c>
      <c r="I82" s="280">
        <f t="shared" si="8"/>
        <v>0</v>
      </c>
      <c r="J82" s="259">
        <f t="shared" si="9"/>
        <v>0</v>
      </c>
    </row>
    <row r="83" spans="1:10" ht="15.75" thickBot="1" x14ac:dyDescent="0.3">
      <c r="A83" s="264" t="s">
        <v>152</v>
      </c>
      <c r="B83" s="284">
        <f>F10</f>
        <v>3655.3846153846152</v>
      </c>
      <c r="C83" s="285">
        <f t="shared" si="5"/>
        <v>17255.384615384617</v>
      </c>
      <c r="D83" s="280">
        <v>3864</v>
      </c>
      <c r="E83" s="285">
        <f t="shared" si="5"/>
        <v>19320</v>
      </c>
      <c r="F83" s="285">
        <f t="shared" si="6"/>
        <v>17255.384615384617</v>
      </c>
      <c r="G83" s="315">
        <f t="shared" si="7"/>
        <v>3655.3846153846171</v>
      </c>
      <c r="H83" s="315">
        <f t="shared" si="4"/>
        <v>0</v>
      </c>
      <c r="I83" s="285">
        <f t="shared" si="8"/>
        <v>0</v>
      </c>
      <c r="J83" s="281">
        <f t="shared" si="9"/>
        <v>0</v>
      </c>
    </row>
    <row r="86" spans="1:10" x14ac:dyDescent="0.25">
      <c r="A86" s="496" t="s">
        <v>183</v>
      </c>
      <c r="B86" s="497"/>
      <c r="C86" s="497"/>
      <c r="D86" s="497"/>
      <c r="E86" s="497"/>
      <c r="F86" s="497"/>
      <c r="G86" s="497"/>
      <c r="H86" s="497"/>
    </row>
    <row r="87" spans="1:10" ht="15.75" thickBot="1" x14ac:dyDescent="0.3">
      <c r="A87" s="1"/>
      <c r="B87" s="1"/>
      <c r="C87" s="1"/>
      <c r="D87" s="1"/>
      <c r="E87" s="1"/>
      <c r="F87" s="1"/>
      <c r="G87" s="1"/>
      <c r="H87" s="1"/>
    </row>
    <row r="88" spans="1:10" ht="15.75" thickBot="1" x14ac:dyDescent="0.3">
      <c r="A88" s="300" t="s">
        <v>177</v>
      </c>
      <c r="B88" s="301"/>
      <c r="C88" s="301"/>
      <c r="D88" s="302">
        <v>3428</v>
      </c>
      <c r="E88" s="1"/>
      <c r="F88" s="1"/>
      <c r="G88" s="1"/>
      <c r="H88" s="1"/>
    </row>
    <row r="89" spans="1:10" ht="15.75" thickBot="1" x14ac:dyDescent="0.3">
      <c r="A89" s="1"/>
      <c r="B89" s="1"/>
      <c r="C89" s="1"/>
      <c r="D89" s="1"/>
      <c r="E89" s="1"/>
      <c r="F89" s="1"/>
      <c r="G89" s="1"/>
      <c r="H89" s="1"/>
    </row>
    <row r="90" spans="1:10" ht="30" x14ac:dyDescent="0.25">
      <c r="A90" s="307" t="s">
        <v>178</v>
      </c>
      <c r="B90" s="4" t="s">
        <v>179</v>
      </c>
      <c r="C90" s="4" t="s">
        <v>180</v>
      </c>
      <c r="D90" s="4" t="s">
        <v>181</v>
      </c>
      <c r="E90" s="303" t="s">
        <v>182</v>
      </c>
      <c r="F90" s="303" t="s">
        <v>184</v>
      </c>
      <c r="G90" s="303" t="s">
        <v>185</v>
      </c>
      <c r="H90" s="304" t="s">
        <v>186</v>
      </c>
    </row>
    <row r="91" spans="1:10" x14ac:dyDescent="0.25">
      <c r="A91" s="7" t="s">
        <v>121</v>
      </c>
      <c r="B91" s="280">
        <v>3400</v>
      </c>
      <c r="C91" s="308">
        <f>B91</f>
        <v>3400</v>
      </c>
      <c r="D91" s="280">
        <v>3864</v>
      </c>
      <c r="E91" s="308">
        <f>D91</f>
        <v>3864</v>
      </c>
      <c r="F91" s="309" t="str">
        <f>IF(E91&gt;C91,"","OUI")</f>
        <v/>
      </c>
      <c r="G91" s="305">
        <f t="shared" ref="G91:G95" si="10">IF(C91&gt;E91,C91,0)</f>
        <v>0</v>
      </c>
      <c r="H91" s="310">
        <f>G91</f>
        <v>0</v>
      </c>
    </row>
    <row r="92" spans="1:10" x14ac:dyDescent="0.25">
      <c r="A92" s="7" t="s">
        <v>122</v>
      </c>
      <c r="B92" s="280">
        <v>3400</v>
      </c>
      <c r="C92" s="308">
        <f>C91+B92</f>
        <v>6800</v>
      </c>
      <c r="D92" s="280">
        <v>3864</v>
      </c>
      <c r="E92" s="308">
        <f>E91+D92</f>
        <v>7728</v>
      </c>
      <c r="F92" s="309" t="str">
        <f t="shared" ref="F92:F95" si="11">IF(E92&gt;C92,"","OUI")</f>
        <v/>
      </c>
      <c r="G92" s="305">
        <f t="shared" si="10"/>
        <v>0</v>
      </c>
      <c r="H92" s="310">
        <f>G92-G91</f>
        <v>0</v>
      </c>
    </row>
    <row r="93" spans="1:10" x14ac:dyDescent="0.25">
      <c r="A93" s="7" t="s">
        <v>123</v>
      </c>
      <c r="B93" s="280">
        <v>3400</v>
      </c>
      <c r="C93" s="308">
        <f>C92+B93</f>
        <v>10200</v>
      </c>
      <c r="D93" s="280">
        <v>3864</v>
      </c>
      <c r="E93" s="308">
        <f t="shared" ref="E93:E95" si="12">E92+D93</f>
        <v>11592</v>
      </c>
      <c r="F93" s="309" t="str">
        <f t="shared" si="11"/>
        <v/>
      </c>
      <c r="G93" s="305">
        <f t="shared" si="10"/>
        <v>0</v>
      </c>
      <c r="H93" s="310">
        <f t="shared" ref="H93:H95" si="13">G93-G92</f>
        <v>0</v>
      </c>
    </row>
    <row r="94" spans="1:10" x14ac:dyDescent="0.25">
      <c r="A94" s="7" t="s">
        <v>124</v>
      </c>
      <c r="B94" s="280">
        <v>3400</v>
      </c>
      <c r="C94" s="308">
        <f t="shared" ref="C94:C95" si="14">C93+B94</f>
        <v>13600</v>
      </c>
      <c r="D94" s="280">
        <v>3864</v>
      </c>
      <c r="E94" s="308">
        <f t="shared" si="12"/>
        <v>15456</v>
      </c>
      <c r="F94" s="309" t="str">
        <f t="shared" si="11"/>
        <v/>
      </c>
      <c r="G94" s="305">
        <f t="shared" si="10"/>
        <v>0</v>
      </c>
      <c r="H94" s="310">
        <f t="shared" si="13"/>
        <v>0</v>
      </c>
    </row>
    <row r="95" spans="1:10" ht="15.75" thickBot="1" x14ac:dyDescent="0.3">
      <c r="A95" s="11" t="s">
        <v>125</v>
      </c>
      <c r="B95" s="284">
        <f>+B83</f>
        <v>3655.3846153846152</v>
      </c>
      <c r="C95" s="311">
        <f t="shared" si="14"/>
        <v>17255.384615384617</v>
      </c>
      <c r="D95" s="280">
        <v>3864</v>
      </c>
      <c r="E95" s="311">
        <f t="shared" si="12"/>
        <v>19320</v>
      </c>
      <c r="F95" s="312" t="str">
        <f t="shared" si="11"/>
        <v/>
      </c>
      <c r="G95" s="306">
        <f t="shared" si="10"/>
        <v>0</v>
      </c>
      <c r="H95" s="314">
        <f t="shared" si="13"/>
        <v>0</v>
      </c>
    </row>
  </sheetData>
  <mergeCells count="8">
    <mergeCell ref="A86:H86"/>
    <mergeCell ref="H6:I6"/>
    <mergeCell ref="A70:D70"/>
    <mergeCell ref="A49:B49"/>
    <mergeCell ref="B50:B56"/>
    <mergeCell ref="C50:C56"/>
    <mergeCell ref="D50:D56"/>
    <mergeCell ref="A62:D62"/>
  </mergeCells>
  <phoneticPr fontId="3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2"/>
  <sheetViews>
    <sheetView workbookViewId="0">
      <selection activeCell="C29" sqref="C29"/>
    </sheetView>
  </sheetViews>
  <sheetFormatPr baseColWidth="10" defaultRowHeight="15" x14ac:dyDescent="0.25"/>
  <cols>
    <col min="1" max="1" width="55.85546875" style="31" customWidth="1"/>
    <col min="2" max="2" width="13.7109375" style="31" customWidth="1"/>
    <col min="3" max="3" width="14.85546875" style="31" customWidth="1"/>
    <col min="4" max="4" width="19.42578125" style="31" customWidth="1"/>
    <col min="5" max="5" width="12.85546875" style="31" customWidth="1"/>
    <col min="6" max="6" width="15.7109375" style="31" customWidth="1"/>
    <col min="7" max="7" width="11.42578125" style="31"/>
    <col min="8" max="8" width="18.5703125" style="31" bestFit="1" customWidth="1"/>
    <col min="9" max="16384" width="11.42578125" style="31"/>
  </cols>
  <sheetData>
    <row r="1" spans="1:12" x14ac:dyDescent="0.25">
      <c r="A1" s="318" t="s">
        <v>14</v>
      </c>
      <c r="B1" s="319">
        <v>151.66659999999999</v>
      </c>
      <c r="C1" s="320">
        <v>16.483499999999999</v>
      </c>
      <c r="D1" s="321"/>
      <c r="E1" s="322"/>
      <c r="F1" s="323">
        <v>2500</v>
      </c>
      <c r="H1" s="21"/>
      <c r="I1" s="261" t="s">
        <v>135</v>
      </c>
      <c r="J1" s="261" t="s">
        <v>136</v>
      </c>
      <c r="K1" s="261" t="s">
        <v>137</v>
      </c>
      <c r="L1" s="262" t="s">
        <v>143</v>
      </c>
    </row>
    <row r="2" spans="1:12" x14ac:dyDescent="0.25">
      <c r="A2" s="324" t="s">
        <v>144</v>
      </c>
      <c r="B2" s="325">
        <f>K4</f>
        <v>16</v>
      </c>
      <c r="C2" s="326">
        <f>C1*125%</f>
        <v>20.604374999999997</v>
      </c>
      <c r="D2" s="325"/>
      <c r="E2" s="327"/>
      <c r="F2" s="328">
        <f>B2*C2</f>
        <v>329.66999999999996</v>
      </c>
      <c r="H2" s="22" t="s">
        <v>138</v>
      </c>
      <c r="I2" s="260">
        <f>SUM('CALENDRIER DU MOIS DE MAI'!D19:D23)</f>
        <v>43</v>
      </c>
      <c r="J2" s="260">
        <f>I2-35</f>
        <v>8</v>
      </c>
      <c r="K2" s="260">
        <f>MIN(J2,8)</f>
        <v>8</v>
      </c>
      <c r="L2" s="263">
        <f>J2-K2</f>
        <v>0</v>
      </c>
    </row>
    <row r="3" spans="1:12" x14ac:dyDescent="0.25">
      <c r="A3" s="324" t="s">
        <v>34</v>
      </c>
      <c r="B3" s="325">
        <f>L4</f>
        <v>5</v>
      </c>
      <c r="C3" s="329">
        <f>C1*1.5</f>
        <v>24.725249999999999</v>
      </c>
      <c r="D3" s="325"/>
      <c r="E3" s="327"/>
      <c r="F3" s="328">
        <f>B3*C3</f>
        <v>123.62625</v>
      </c>
      <c r="H3" s="22" t="s">
        <v>139</v>
      </c>
      <c r="I3" s="260">
        <f>SUM('CALENDRIER DU MOIS DE MAI'!D33:D37)</f>
        <v>48</v>
      </c>
      <c r="J3" s="260">
        <f t="shared" ref="J3" si="0">I3-35</f>
        <v>13</v>
      </c>
      <c r="K3" s="260">
        <f>MIN(J3,8)</f>
        <v>8</v>
      </c>
      <c r="L3" s="263">
        <f>J3-K3</f>
        <v>5</v>
      </c>
    </row>
    <row r="4" spans="1:12" ht="15.75" thickBot="1" x14ac:dyDescent="0.3">
      <c r="A4" s="324" t="s">
        <v>32</v>
      </c>
      <c r="B4" s="325"/>
      <c r="C4" s="330"/>
      <c r="D4" s="325"/>
      <c r="E4" s="327"/>
      <c r="F4" s="331"/>
      <c r="H4" s="264" t="s">
        <v>113</v>
      </c>
      <c r="I4" s="265"/>
      <c r="J4" s="260">
        <f>SUM(J2:J3)</f>
        <v>21</v>
      </c>
      <c r="K4" s="265">
        <f>SUM(K2:K3)</f>
        <v>16</v>
      </c>
      <c r="L4" s="266">
        <f>SUM(L2:L3)</f>
        <v>5</v>
      </c>
    </row>
    <row r="5" spans="1:12" ht="15.75" thickBot="1" x14ac:dyDescent="0.3">
      <c r="A5" s="27" t="s">
        <v>18</v>
      </c>
      <c r="B5" s="233"/>
      <c r="C5" s="28"/>
      <c r="D5" s="28"/>
      <c r="E5" s="65">
        <v>0.1</v>
      </c>
      <c r="F5" s="332">
        <f>E5*B5</f>
        <v>0</v>
      </c>
    </row>
    <row r="6" spans="1:12" ht="15.75" thickBot="1" x14ac:dyDescent="0.3">
      <c r="A6" s="333" t="s">
        <v>35</v>
      </c>
      <c r="B6" s="334"/>
      <c r="C6" s="334"/>
      <c r="D6" s="334"/>
      <c r="E6" s="334"/>
      <c r="F6" s="335">
        <f>SUM(F1:F5)</f>
        <v>2953.2962499999999</v>
      </c>
    </row>
    <row r="7" spans="1:12" x14ac:dyDescent="0.25">
      <c r="A7" s="334"/>
      <c r="B7" s="336"/>
      <c r="C7" s="337"/>
      <c r="D7" s="337"/>
      <c r="E7" s="338"/>
      <c r="F7" s="339"/>
    </row>
    <row r="8" spans="1:12" ht="25.5" x14ac:dyDescent="0.25">
      <c r="A8" s="340"/>
      <c r="B8" s="341" t="s">
        <v>49</v>
      </c>
      <c r="C8" s="341" t="s">
        <v>22</v>
      </c>
      <c r="D8" s="341" t="s">
        <v>50</v>
      </c>
      <c r="E8" s="341" t="s">
        <v>22</v>
      </c>
      <c r="F8" s="342" t="s">
        <v>51</v>
      </c>
    </row>
    <row r="9" spans="1:12" x14ac:dyDescent="0.25">
      <c r="A9" s="343" t="s">
        <v>36</v>
      </c>
      <c r="B9" s="344"/>
      <c r="C9" s="345"/>
      <c r="D9" s="345"/>
      <c r="E9" s="346"/>
      <c r="F9" s="342"/>
    </row>
    <row r="10" spans="1:12" x14ac:dyDescent="0.25">
      <c r="A10" s="347" t="s">
        <v>187</v>
      </c>
      <c r="B10" s="348">
        <f>$F$6</f>
        <v>2953.2962499999999</v>
      </c>
      <c r="C10" s="349"/>
      <c r="D10" s="350"/>
      <c r="E10" s="351">
        <v>7.0000000000000007E-2</v>
      </c>
      <c r="F10" s="352">
        <f>B10*E10</f>
        <v>206.7307375</v>
      </c>
    </row>
    <row r="11" spans="1:12" x14ac:dyDescent="0.25">
      <c r="A11" s="347" t="s">
        <v>52</v>
      </c>
      <c r="B11" s="348"/>
      <c r="C11" s="353"/>
      <c r="D11" s="354"/>
      <c r="E11" s="355">
        <v>1.4999999999999999E-2</v>
      </c>
      <c r="F11" s="352">
        <f>B11*E11</f>
        <v>0</v>
      </c>
    </row>
    <row r="12" spans="1:12" x14ac:dyDescent="0.25">
      <c r="A12" s="45" t="s">
        <v>37</v>
      </c>
      <c r="B12" s="75">
        <v>3864</v>
      </c>
      <c r="C12" s="80">
        <v>0.01</v>
      </c>
      <c r="D12" s="81">
        <f>+C12*B12</f>
        <v>38.64</v>
      </c>
      <c r="E12" s="152">
        <v>0.01</v>
      </c>
      <c r="F12" s="130">
        <f>+E12*B12</f>
        <v>38.64</v>
      </c>
    </row>
    <row r="13" spans="1:12" x14ac:dyDescent="0.25">
      <c r="A13" s="343" t="s">
        <v>38</v>
      </c>
      <c r="B13" s="348">
        <f t="shared" ref="B13:B22" si="1">$F$6</f>
        <v>2953.2962499999999</v>
      </c>
      <c r="C13" s="334"/>
      <c r="D13" s="348"/>
      <c r="E13" s="356">
        <v>2.7E-2</v>
      </c>
      <c r="F13" s="352">
        <f>B13*E13</f>
        <v>79.738998749999993</v>
      </c>
    </row>
    <row r="14" spans="1:12" x14ac:dyDescent="0.25">
      <c r="A14" s="343" t="s">
        <v>39</v>
      </c>
      <c r="B14" s="348"/>
      <c r="C14" s="357"/>
      <c r="D14" s="348"/>
      <c r="E14" s="358"/>
      <c r="F14" s="352"/>
    </row>
    <row r="15" spans="1:12" x14ac:dyDescent="0.25">
      <c r="A15" s="347" t="s">
        <v>63</v>
      </c>
      <c r="B15" s="348">
        <f t="shared" si="1"/>
        <v>2953.2962499999999</v>
      </c>
      <c r="C15" s="353">
        <v>6.9000000000000006E-2</v>
      </c>
      <c r="D15" s="354">
        <f>B15*C15</f>
        <v>203.77744125000001</v>
      </c>
      <c r="E15" s="355">
        <v>8.5500000000000007E-2</v>
      </c>
      <c r="F15" s="352">
        <f t="shared" ref="F15:F21" si="2">B15*E15</f>
        <v>252.506829375</v>
      </c>
    </row>
    <row r="16" spans="1:12" x14ac:dyDescent="0.25">
      <c r="A16" s="347" t="s">
        <v>64</v>
      </c>
      <c r="B16" s="348">
        <f t="shared" si="1"/>
        <v>2953.2962499999999</v>
      </c>
      <c r="C16" s="353">
        <v>4.0000000000000001E-3</v>
      </c>
      <c r="D16" s="354">
        <f>B16*C16</f>
        <v>11.813184999999999</v>
      </c>
      <c r="E16" s="355">
        <v>2.0199999999999999E-2</v>
      </c>
      <c r="F16" s="352">
        <f t="shared" si="2"/>
        <v>59.656584249999995</v>
      </c>
    </row>
    <row r="17" spans="1:6" x14ac:dyDescent="0.25">
      <c r="A17" s="347" t="s">
        <v>65</v>
      </c>
      <c r="B17" s="348">
        <f t="shared" si="1"/>
        <v>2953.2962499999999</v>
      </c>
      <c r="C17" s="353">
        <v>4.0099999999999997E-2</v>
      </c>
      <c r="D17" s="354">
        <f>B17*C17</f>
        <v>118.42717962499998</v>
      </c>
      <c r="E17" s="355">
        <v>6.0100000000000001E-2</v>
      </c>
      <c r="F17" s="352">
        <f t="shared" si="2"/>
        <v>177.493104625</v>
      </c>
    </row>
    <row r="18" spans="1:6" x14ac:dyDescent="0.25">
      <c r="A18" s="347" t="s">
        <v>188</v>
      </c>
      <c r="B18" s="348"/>
      <c r="C18" s="353">
        <v>9.7199999999999995E-2</v>
      </c>
      <c r="D18" s="354">
        <f>B18*C18</f>
        <v>0</v>
      </c>
      <c r="E18" s="355">
        <v>0.1457</v>
      </c>
      <c r="F18" s="352">
        <f t="shared" si="2"/>
        <v>0</v>
      </c>
    </row>
    <row r="19" spans="1:6" x14ac:dyDescent="0.25">
      <c r="A19" s="347" t="s">
        <v>70</v>
      </c>
      <c r="B19" s="348"/>
      <c r="C19" s="353">
        <v>1.4E-3</v>
      </c>
      <c r="D19" s="354">
        <f>B19*C19</f>
        <v>0</v>
      </c>
      <c r="E19" s="355">
        <v>2.0999999999999999E-3</v>
      </c>
      <c r="F19" s="352">
        <f t="shared" si="2"/>
        <v>0</v>
      </c>
    </row>
    <row r="20" spans="1:6" x14ac:dyDescent="0.25">
      <c r="A20" s="359" t="s">
        <v>189</v>
      </c>
      <c r="B20" s="348">
        <f t="shared" si="1"/>
        <v>2953.2962499999999</v>
      </c>
      <c r="C20" s="357"/>
      <c r="D20" s="348"/>
      <c r="E20" s="358">
        <v>3.4500000000000003E-2</v>
      </c>
      <c r="F20" s="352">
        <f t="shared" si="2"/>
        <v>101.888720625</v>
      </c>
    </row>
    <row r="21" spans="1:6" x14ac:dyDescent="0.25">
      <c r="A21" s="343" t="s">
        <v>66</v>
      </c>
      <c r="B21" s="348">
        <f t="shared" si="1"/>
        <v>2953.2962499999999</v>
      </c>
      <c r="C21" s="357"/>
      <c r="D21" s="348"/>
      <c r="E21" s="358">
        <v>4.2500000000000003E-2</v>
      </c>
      <c r="F21" s="352">
        <f t="shared" si="2"/>
        <v>125.515090625</v>
      </c>
    </row>
    <row r="22" spans="1:6" x14ac:dyDescent="0.25">
      <c r="A22" s="343" t="s">
        <v>61</v>
      </c>
      <c r="B22" s="348">
        <f t="shared" si="1"/>
        <v>2953.2962499999999</v>
      </c>
      <c r="C22" s="357"/>
      <c r="D22" s="348"/>
      <c r="E22" s="358"/>
      <c r="F22" s="360">
        <f>D55</f>
        <v>48.611256275000002</v>
      </c>
    </row>
    <row r="23" spans="1:6" x14ac:dyDescent="0.25">
      <c r="A23" s="343" t="s">
        <v>72</v>
      </c>
      <c r="B23" s="348"/>
      <c r="C23" s="361">
        <v>2.4000000000000001E-4</v>
      </c>
      <c r="D23" s="348">
        <f>B23*C23</f>
        <v>0</v>
      </c>
      <c r="E23" s="356">
        <v>3.6000000000000002E-4</v>
      </c>
      <c r="F23" s="352">
        <f>B23*E23</f>
        <v>0</v>
      </c>
    </row>
    <row r="24" spans="1:6" x14ac:dyDescent="0.25">
      <c r="A24" s="343" t="s">
        <v>41</v>
      </c>
      <c r="B24" s="362">
        <f>(F1*0.9825)+F12</f>
        <v>2494.89</v>
      </c>
      <c r="C24" s="353">
        <v>2.9000000000000001E-2</v>
      </c>
      <c r="D24" s="354">
        <f>B24*C24</f>
        <v>72.35181</v>
      </c>
      <c r="E24" s="355"/>
      <c r="F24" s="352"/>
    </row>
    <row r="25" spans="1:6" x14ac:dyDescent="0.25">
      <c r="A25" s="343" t="s">
        <v>42</v>
      </c>
      <c r="B25" s="362">
        <f>B24</f>
        <v>2494.89</v>
      </c>
      <c r="C25" s="353">
        <v>6.8000000000000005E-2</v>
      </c>
      <c r="D25" s="354">
        <f>B25*C25</f>
        <v>169.65252000000001</v>
      </c>
      <c r="E25" s="363"/>
      <c r="F25" s="352"/>
    </row>
    <row r="26" spans="1:6" x14ac:dyDescent="0.25">
      <c r="A26" s="343" t="s">
        <v>145</v>
      </c>
      <c r="B26" s="362">
        <f>(F2+F3)*0.9825</f>
        <v>445.36356562499998</v>
      </c>
      <c r="C26" s="353">
        <v>9.7000000000000003E-2</v>
      </c>
      <c r="D26" s="354">
        <f>B26*C26</f>
        <v>43.200265865624999</v>
      </c>
      <c r="E26" s="363"/>
      <c r="F26" s="364"/>
    </row>
    <row r="27" spans="1:6" x14ac:dyDescent="0.25">
      <c r="A27" s="343" t="s">
        <v>156</v>
      </c>
      <c r="B27" s="362"/>
      <c r="C27" s="353"/>
      <c r="D27" s="365"/>
      <c r="E27" s="363"/>
      <c r="F27" s="364">
        <f>-H79</f>
        <v>-142.07826737499988</v>
      </c>
    </row>
    <row r="28" spans="1:6" x14ac:dyDescent="0.25">
      <c r="A28" s="343" t="s">
        <v>43</v>
      </c>
      <c r="B28" s="348">
        <f>J4</f>
        <v>21</v>
      </c>
      <c r="C28" s="345">
        <v>1.5</v>
      </c>
      <c r="D28" s="365"/>
      <c r="E28" s="363"/>
      <c r="F28" s="364">
        <f>-C28*B28</f>
        <v>-31.5</v>
      </c>
    </row>
    <row r="29" spans="1:6" ht="15.75" thickBot="1" x14ac:dyDescent="0.3">
      <c r="A29" s="347" t="s">
        <v>40</v>
      </c>
      <c r="B29" s="362">
        <f>F2+F3</f>
        <v>453.29624999999999</v>
      </c>
      <c r="C29" s="353">
        <v>0.11310000000000001</v>
      </c>
      <c r="D29" s="366">
        <f>-B29*C29</f>
        <v>-51.267805875000001</v>
      </c>
      <c r="E29" s="355"/>
      <c r="F29" s="352"/>
    </row>
    <row r="30" spans="1:6" ht="15.75" thickBot="1" x14ac:dyDescent="0.3">
      <c r="A30" s="343" t="s">
        <v>44</v>
      </c>
      <c r="B30" s="366"/>
      <c r="C30" s="346"/>
      <c r="D30" s="367">
        <f>SUM(D10:D29)</f>
        <v>606.59459586562502</v>
      </c>
      <c r="E30" s="368"/>
      <c r="F30" s="367">
        <f>SUM(F9:F29)</f>
        <v>917.20305465000013</v>
      </c>
    </row>
    <row r="31" spans="1:6" ht="15.75" thickBot="1" x14ac:dyDescent="0.3">
      <c r="A31" s="42" t="s">
        <v>228</v>
      </c>
      <c r="B31" s="52"/>
      <c r="C31" s="44"/>
      <c r="D31" s="52"/>
      <c r="E31" s="63"/>
      <c r="F31" s="138">
        <f>+F6-D30</f>
        <v>2346.7016541343746</v>
      </c>
    </row>
    <row r="32" spans="1:6" ht="15.75" thickBot="1" x14ac:dyDescent="0.3">
      <c r="A32" s="370" t="s">
        <v>45</v>
      </c>
      <c r="B32" s="366"/>
      <c r="C32" s="345"/>
      <c r="D32" s="366"/>
      <c r="E32" s="369"/>
      <c r="F32" s="371">
        <f>F6-D30</f>
        <v>2346.7016541343746</v>
      </c>
    </row>
    <row r="33" spans="1:6" ht="25.5" x14ac:dyDescent="0.25">
      <c r="A33" s="343" t="s">
        <v>46</v>
      </c>
      <c r="B33" s="372"/>
      <c r="C33" s="373"/>
      <c r="D33" s="372"/>
      <c r="E33" s="374"/>
      <c r="F33" s="375">
        <f>D62</f>
        <v>93.028831874999995</v>
      </c>
    </row>
    <row r="34" spans="1:6" x14ac:dyDescent="0.25">
      <c r="A34" s="399" t="s">
        <v>47</v>
      </c>
      <c r="B34" s="399" t="s">
        <v>48</v>
      </c>
      <c r="C34" s="399" t="s">
        <v>22</v>
      </c>
      <c r="D34" s="400" t="s">
        <v>206</v>
      </c>
      <c r="E34" s="400"/>
      <c r="F34" s="401" t="s">
        <v>207</v>
      </c>
    </row>
    <row r="35" spans="1:6" x14ac:dyDescent="0.25">
      <c r="A35" s="402" t="s">
        <v>208</v>
      </c>
      <c r="B35" s="403"/>
      <c r="C35" s="398"/>
      <c r="D35" s="404">
        <f>F1+F12+D24+D26-D30</f>
        <v>2047.5974800000001</v>
      </c>
      <c r="E35" s="405"/>
      <c r="F35" s="406"/>
    </row>
    <row r="36" spans="1:6" x14ac:dyDescent="0.25">
      <c r="A36" s="402" t="s">
        <v>209</v>
      </c>
      <c r="B36" s="407">
        <f>D35</f>
        <v>2047.5974800000001</v>
      </c>
      <c r="C36" s="408">
        <v>3.5000000000000003E-2</v>
      </c>
      <c r="D36" s="404">
        <f>C36*B36</f>
        <v>71.665911800000018</v>
      </c>
      <c r="E36" s="405"/>
      <c r="F36" s="406"/>
    </row>
    <row r="37" spans="1:6" x14ac:dyDescent="0.25">
      <c r="A37" s="402" t="s">
        <v>210</v>
      </c>
      <c r="B37" s="403"/>
      <c r="C37" s="404"/>
      <c r="D37" s="404">
        <f>F2+F3</f>
        <v>453.29624999999999</v>
      </c>
      <c r="E37" s="405"/>
      <c r="F37" s="406"/>
    </row>
    <row r="38" spans="1:6" x14ac:dyDescent="0.25">
      <c r="A38" s="402"/>
      <c r="B38" s="403"/>
      <c r="C38" s="398"/>
      <c r="D38" s="398"/>
      <c r="E38" s="405"/>
      <c r="F38" s="409"/>
    </row>
    <row r="39" spans="1:6" x14ac:dyDescent="0.25">
      <c r="A39" s="397" t="s">
        <v>211</v>
      </c>
      <c r="B39" s="398"/>
      <c r="C39" s="398"/>
      <c r="D39" s="404">
        <f>F32-F36</f>
        <v>2346.7016541343746</v>
      </c>
      <c r="E39" s="405"/>
      <c r="F39" s="406"/>
    </row>
    <row r="40" spans="1:6" x14ac:dyDescent="0.25">
      <c r="A40" s="402" t="s">
        <v>212</v>
      </c>
      <c r="B40" s="398"/>
      <c r="C40" s="398"/>
      <c r="D40" s="404">
        <f>D70</f>
        <v>340.93537487499987</v>
      </c>
      <c r="E40" s="405"/>
      <c r="F40" s="406"/>
    </row>
    <row r="41" spans="1:6" x14ac:dyDescent="0.25">
      <c r="A41" s="402" t="s">
        <v>213</v>
      </c>
      <c r="B41" s="410"/>
      <c r="C41" s="398"/>
      <c r="D41" s="404">
        <f>F30+F6</f>
        <v>3870.4993046499999</v>
      </c>
      <c r="E41" s="405"/>
      <c r="F41" s="406"/>
    </row>
    <row r="42" spans="1:6" ht="15.75" customHeight="1" thickBot="1" x14ac:dyDescent="0.3">
      <c r="A42" s="411" t="s">
        <v>214</v>
      </c>
      <c r="B42" s="412"/>
      <c r="C42" s="412"/>
      <c r="D42" s="412"/>
      <c r="E42" s="413"/>
      <c r="F42" s="414"/>
    </row>
    <row r="43" spans="1:6" ht="15.75" customHeight="1" x14ac:dyDescent="0.25">
      <c r="A43" s="468"/>
      <c r="B43" s="469"/>
      <c r="C43" s="469"/>
      <c r="D43" s="470"/>
      <c r="E43" s="466"/>
      <c r="F43" s="467"/>
    </row>
    <row r="44" spans="1:6" ht="15.75" customHeight="1" thickBot="1" x14ac:dyDescent="0.3">
      <c r="A44" s="501" t="s">
        <v>61</v>
      </c>
      <c r="B44" s="502"/>
      <c r="C44" s="469"/>
      <c r="D44" s="470"/>
      <c r="E44" s="466"/>
      <c r="F44" s="467"/>
    </row>
    <row r="45" spans="1:6" x14ac:dyDescent="0.25">
      <c r="A45" s="168"/>
      <c r="B45" s="503">
        <f>F6</f>
        <v>2953.2962499999999</v>
      </c>
      <c r="C45" s="506">
        <f>0.3%+0.68%+0.55%+0.016%</f>
        <v>1.5460000000000002E-2</v>
      </c>
      <c r="D45" s="509">
        <f>B45*C45</f>
        <v>45.657960025000001</v>
      </c>
    </row>
    <row r="46" spans="1:6" x14ac:dyDescent="0.25">
      <c r="A46" s="169" t="s">
        <v>82</v>
      </c>
      <c r="B46" s="504"/>
      <c r="C46" s="507"/>
      <c r="D46" s="510"/>
    </row>
    <row r="47" spans="1:6" x14ac:dyDescent="0.25">
      <c r="A47" s="169" t="s">
        <v>83</v>
      </c>
      <c r="B47" s="504"/>
      <c r="C47" s="507"/>
      <c r="D47" s="510"/>
    </row>
    <row r="48" spans="1:6" x14ac:dyDescent="0.25">
      <c r="A48" s="169" t="s">
        <v>84</v>
      </c>
      <c r="B48" s="504"/>
      <c r="C48" s="507"/>
      <c r="D48" s="510"/>
    </row>
    <row r="49" spans="1:4" x14ac:dyDescent="0.25">
      <c r="A49" s="169" t="s">
        <v>85</v>
      </c>
      <c r="B49" s="504"/>
      <c r="C49" s="507"/>
      <c r="D49" s="510"/>
    </row>
    <row r="50" spans="1:4" x14ac:dyDescent="0.25">
      <c r="A50" s="169" t="s">
        <v>86</v>
      </c>
      <c r="B50" s="504"/>
      <c r="C50" s="507"/>
      <c r="D50" s="510"/>
    </row>
    <row r="51" spans="1:4" ht="15.75" thickBot="1" x14ac:dyDescent="0.3">
      <c r="A51" s="170" t="s">
        <v>87</v>
      </c>
      <c r="B51" s="505"/>
      <c r="C51" s="508"/>
      <c r="D51" s="511"/>
    </row>
    <row r="52" spans="1:4" ht="15.75" thickBot="1" x14ac:dyDescent="0.3">
      <c r="A52" s="167"/>
      <c r="B52" s="171"/>
      <c r="C52" s="171"/>
      <c r="D52" s="171"/>
    </row>
    <row r="53" spans="1:4" ht="15.75" thickBot="1" x14ac:dyDescent="0.3">
      <c r="A53" s="172" t="s">
        <v>88</v>
      </c>
      <c r="B53" s="173">
        <f>B17</f>
        <v>2953.2962499999999</v>
      </c>
      <c r="C53" s="174">
        <v>1E-3</v>
      </c>
      <c r="D53" s="175">
        <f>C53*B53</f>
        <v>2.9532962499999997</v>
      </c>
    </row>
    <row r="54" spans="1:4" ht="15.75" thickBot="1" x14ac:dyDescent="0.3">
      <c r="A54" s="167"/>
      <c r="B54" s="167"/>
      <c r="C54" s="167"/>
      <c r="D54" s="167"/>
    </row>
    <row r="55" spans="1:4" ht="15.75" thickBot="1" x14ac:dyDescent="0.3">
      <c r="A55" s="172" t="s">
        <v>89</v>
      </c>
      <c r="B55" s="176"/>
      <c r="C55" s="176"/>
      <c r="D55" s="177">
        <f>D45+D53</f>
        <v>48.611256275000002</v>
      </c>
    </row>
    <row r="56" spans="1:4" ht="15.75" thickBot="1" x14ac:dyDescent="0.3">
      <c r="A56" s="167"/>
      <c r="B56" s="167"/>
      <c r="C56" s="167"/>
      <c r="D56" s="167"/>
    </row>
    <row r="57" spans="1:4" ht="15.75" customHeight="1" thickBot="1" x14ac:dyDescent="0.3">
      <c r="A57" s="498" t="s">
        <v>90</v>
      </c>
      <c r="B57" s="499"/>
      <c r="C57" s="499"/>
      <c r="D57" s="500"/>
    </row>
    <row r="58" spans="1:4" x14ac:dyDescent="0.25">
      <c r="A58" s="178" t="s">
        <v>91</v>
      </c>
      <c r="B58" s="182">
        <f>F6</f>
        <v>2953.2962499999999</v>
      </c>
      <c r="C58" s="179">
        <v>2.4E-2</v>
      </c>
      <c r="D58" s="180">
        <f>C58*B58</f>
        <v>70.879109999999997</v>
      </c>
    </row>
    <row r="59" spans="1:4" x14ac:dyDescent="0.25">
      <c r="A59" s="181" t="s">
        <v>92</v>
      </c>
      <c r="B59" s="182">
        <f>B58</f>
        <v>2953.2962499999999</v>
      </c>
      <c r="C59" s="183">
        <v>7.4999999999999997E-3</v>
      </c>
      <c r="D59" s="184">
        <f t="shared" ref="D59:D60" si="3">C59*B59</f>
        <v>22.149721874999997</v>
      </c>
    </row>
    <row r="60" spans="1:4" x14ac:dyDescent="0.25">
      <c r="A60" s="181" t="s">
        <v>93</v>
      </c>
      <c r="B60" s="182">
        <f>B23</f>
        <v>0</v>
      </c>
      <c r="C60" s="183">
        <v>-1.7000000000000001E-2</v>
      </c>
      <c r="D60" s="184">
        <f t="shared" si="3"/>
        <v>0</v>
      </c>
    </row>
    <row r="61" spans="1:4" x14ac:dyDescent="0.25">
      <c r="A61" s="42" t="s">
        <v>94</v>
      </c>
      <c r="B61" s="185"/>
      <c r="C61" s="47">
        <v>0.11310000000000001</v>
      </c>
      <c r="D61" s="186">
        <f>C61*B61</f>
        <v>0</v>
      </c>
    </row>
    <row r="62" spans="1:4" ht="15.75" thickBot="1" x14ac:dyDescent="0.3">
      <c r="A62" s="202" t="s">
        <v>95</v>
      </c>
      <c r="B62" s="187"/>
      <c r="C62" s="188"/>
      <c r="D62" s="189">
        <f>SUM(D58:D61)</f>
        <v>93.028831874999995</v>
      </c>
    </row>
    <row r="63" spans="1:4" x14ac:dyDescent="0.25">
      <c r="A63" s="103"/>
      <c r="B63" s="103"/>
      <c r="C63" s="103"/>
      <c r="D63" s="103"/>
    </row>
    <row r="64" spans="1:4" ht="15.75" thickBot="1" x14ac:dyDescent="0.3">
      <c r="A64" s="103"/>
      <c r="B64" s="103"/>
      <c r="C64" s="103"/>
      <c r="D64" s="103"/>
    </row>
    <row r="65" spans="1:8" ht="15.75" thickBot="1" x14ac:dyDescent="0.3">
      <c r="A65" s="498" t="s">
        <v>102</v>
      </c>
      <c r="B65" s="499"/>
      <c r="C65" s="499"/>
      <c r="D65" s="500"/>
    </row>
    <row r="66" spans="1:8" x14ac:dyDescent="0.25">
      <c r="A66" s="190" t="s">
        <v>96</v>
      </c>
      <c r="B66" s="191"/>
      <c r="C66" s="191"/>
      <c r="D66" s="192">
        <f>H79</f>
        <v>142.07826737499988</v>
      </c>
    </row>
    <row r="67" spans="1:8" x14ac:dyDescent="0.25">
      <c r="A67" s="193" t="s">
        <v>97</v>
      </c>
      <c r="B67" s="194">
        <f>J4</f>
        <v>21</v>
      </c>
      <c r="C67" s="195">
        <v>1.5</v>
      </c>
      <c r="D67" s="278">
        <f>-C67*B67</f>
        <v>-31.5</v>
      </c>
    </row>
    <row r="68" spans="1:8" x14ac:dyDescent="0.25">
      <c r="A68" s="193" t="s">
        <v>99</v>
      </c>
      <c r="B68" s="197">
        <f>F6</f>
        <v>2953.2962499999999</v>
      </c>
      <c r="C68" s="198">
        <v>1.7999999999999999E-2</v>
      </c>
      <c r="D68" s="199">
        <f>C68*B68</f>
        <v>53.159332499999991</v>
      </c>
    </row>
    <row r="69" spans="1:8" x14ac:dyDescent="0.25">
      <c r="A69" s="193" t="s">
        <v>100</v>
      </c>
      <c r="B69" s="197">
        <f>B68</f>
        <v>2953.2962499999999</v>
      </c>
      <c r="C69" s="198">
        <v>0.06</v>
      </c>
      <c r="D69" s="199">
        <f>C69*B69</f>
        <v>177.19777499999998</v>
      </c>
    </row>
    <row r="70" spans="1:8" ht="15.75" thickBot="1" x14ac:dyDescent="0.3">
      <c r="A70" s="203" t="s">
        <v>101</v>
      </c>
      <c r="B70" s="200"/>
      <c r="C70" s="200"/>
      <c r="D70" s="201">
        <f>SUM(D66:D69)</f>
        <v>340.93537487499987</v>
      </c>
    </row>
    <row r="72" spans="1:8" ht="15.75" thickBot="1" x14ac:dyDescent="0.3"/>
    <row r="73" spans="1:8" ht="20.25" x14ac:dyDescent="0.25">
      <c r="A73" s="239" t="s">
        <v>114</v>
      </c>
      <c r="B73" s="240"/>
      <c r="C73" s="240"/>
      <c r="D73" s="240"/>
      <c r="E73" s="240"/>
      <c r="F73" s="240"/>
      <c r="G73" s="240"/>
      <c r="H73" s="20"/>
    </row>
    <row r="74" spans="1:8" ht="25.5" x14ac:dyDescent="0.25">
      <c r="A74" s="104"/>
      <c r="B74" s="241" t="s">
        <v>115</v>
      </c>
      <c r="C74" s="241" t="s">
        <v>116</v>
      </c>
      <c r="D74" s="241" t="s">
        <v>26</v>
      </c>
      <c r="E74" s="242" t="s">
        <v>117</v>
      </c>
      <c r="F74" s="243" t="s">
        <v>118</v>
      </c>
      <c r="G74" s="244" t="s">
        <v>119</v>
      </c>
      <c r="H74" s="245" t="s">
        <v>120</v>
      </c>
    </row>
    <row r="75" spans="1:8" x14ac:dyDescent="0.25">
      <c r="A75" s="246" t="s">
        <v>121</v>
      </c>
      <c r="B75" s="247">
        <v>2500</v>
      </c>
      <c r="C75" s="248">
        <f>B75</f>
        <v>2500</v>
      </c>
      <c r="D75" s="247">
        <v>1766.92</v>
      </c>
      <c r="E75" s="248">
        <f>+D75</f>
        <v>1766.92</v>
      </c>
      <c r="F75" s="471">
        <f>ROUND(0.3194/0.6*((1.6*E75/C75)-1),4)</f>
        <v>6.9599999999999995E-2</v>
      </c>
      <c r="G75" s="250">
        <f>F75*C75</f>
        <v>174</v>
      </c>
      <c r="H75" s="251">
        <f>G75</f>
        <v>174</v>
      </c>
    </row>
    <row r="76" spans="1:8" x14ac:dyDescent="0.25">
      <c r="A76" s="246" t="s">
        <v>122</v>
      </c>
      <c r="B76" s="247">
        <v>2500</v>
      </c>
      <c r="C76" s="248">
        <f>C75+B76</f>
        <v>5000</v>
      </c>
      <c r="D76" s="247">
        <f>+D75</f>
        <v>1766.92</v>
      </c>
      <c r="E76" s="248">
        <f>E75+D76</f>
        <v>3533.84</v>
      </c>
      <c r="F76" s="471">
        <f>ROUND(0.3194/0.6*((1.6*E76/C76)-1),4)</f>
        <v>6.9599999999999995E-2</v>
      </c>
      <c r="G76" s="250">
        <f>F76*C76</f>
        <v>348</v>
      </c>
      <c r="H76" s="251">
        <f>G76-G75</f>
        <v>174</v>
      </c>
    </row>
    <row r="77" spans="1:8" x14ac:dyDescent="0.25">
      <c r="A77" s="246" t="s">
        <v>123</v>
      </c>
      <c r="B77" s="247">
        <v>2500</v>
      </c>
      <c r="C77" s="248">
        <f>C76+B77</f>
        <v>7500</v>
      </c>
      <c r="D77" s="247">
        <f t="shared" ref="D77:D78" si="4">+D76</f>
        <v>1766.92</v>
      </c>
      <c r="E77" s="248">
        <f>E76+D77</f>
        <v>5300.76</v>
      </c>
      <c r="F77" s="471">
        <f>ROUND(0.3194/0.6*((1.6*E77/C77)-1),4)</f>
        <v>6.9599999999999995E-2</v>
      </c>
      <c r="G77" s="250">
        <f>F77*C77</f>
        <v>522</v>
      </c>
      <c r="H77" s="251">
        <f>G77-G76</f>
        <v>174</v>
      </c>
    </row>
    <row r="78" spans="1:8" x14ac:dyDescent="0.25">
      <c r="A78" s="246" t="s">
        <v>124</v>
      </c>
      <c r="B78" s="247">
        <v>2500</v>
      </c>
      <c r="C78" s="248">
        <f>C77+B78</f>
        <v>10000</v>
      </c>
      <c r="D78" s="247">
        <f t="shared" si="4"/>
        <v>1766.92</v>
      </c>
      <c r="E78" s="248">
        <f>E77+D78</f>
        <v>7067.68</v>
      </c>
      <c r="F78" s="471">
        <f>ROUND(0.3194/0.6*((1.6*E78/C78)-1),4)</f>
        <v>6.9599999999999995E-2</v>
      </c>
      <c r="G78" s="250">
        <f>F78*C78</f>
        <v>696</v>
      </c>
      <c r="H78" s="251">
        <f>G78-G77</f>
        <v>174</v>
      </c>
    </row>
    <row r="79" spans="1:8" ht="15.75" thickBot="1" x14ac:dyDescent="0.3">
      <c r="A79" s="252" t="s">
        <v>125</v>
      </c>
      <c r="B79" s="257">
        <f>+F6</f>
        <v>2953.2962499999999</v>
      </c>
      <c r="C79" s="253">
        <f>C78+B79</f>
        <v>12953.296249999999</v>
      </c>
      <c r="D79" s="257">
        <f>172.67*11.65</f>
        <v>2011.6054999999999</v>
      </c>
      <c r="E79" s="253">
        <f>E78+D79</f>
        <v>9079.2855</v>
      </c>
      <c r="F79" s="254">
        <f>ROUND(0.3194/0.6*((1.6*E79/C79)-1),4)</f>
        <v>6.4699999999999994E-2</v>
      </c>
      <c r="G79" s="255">
        <f>F79*C79</f>
        <v>838.07826737499988</v>
      </c>
      <c r="H79" s="316">
        <f>G79-G78</f>
        <v>142.07826737499988</v>
      </c>
    </row>
    <row r="80" spans="1:8" ht="15.75" thickBot="1" x14ac:dyDescent="0.3"/>
    <row r="81" spans="4:4" ht="16.5" thickTop="1" thickBot="1" x14ac:dyDescent="0.3">
      <c r="D81" s="317" t="s">
        <v>232</v>
      </c>
    </row>
    <row r="82" spans="4:4" ht="15.75" thickTop="1" x14ac:dyDescent="0.25"/>
  </sheetData>
  <mergeCells count="6">
    <mergeCell ref="A44:B44"/>
    <mergeCell ref="A65:D65"/>
    <mergeCell ref="B45:B51"/>
    <mergeCell ref="C45:C51"/>
    <mergeCell ref="D45:D51"/>
    <mergeCell ref="A57:D57"/>
  </mergeCells>
  <phoneticPr fontId="3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8"/>
  <sheetViews>
    <sheetView tabSelected="1" workbookViewId="0">
      <selection activeCell="L2" sqref="L2"/>
    </sheetView>
  </sheetViews>
  <sheetFormatPr baseColWidth="10" defaultRowHeight="15" x14ac:dyDescent="0.25"/>
  <cols>
    <col min="1" max="1" width="58.5703125" style="31" customWidth="1"/>
    <col min="2" max="2" width="12.140625" style="31" bestFit="1" customWidth="1"/>
    <col min="3" max="3" width="13.85546875" style="31" customWidth="1"/>
    <col min="4" max="4" width="28.5703125" style="31" customWidth="1"/>
    <col min="5" max="5" width="17.140625" style="31" customWidth="1"/>
    <col min="6" max="6" width="15.7109375" style="31" customWidth="1"/>
    <col min="7" max="7" width="11.42578125" style="31"/>
    <col min="8" max="8" width="18.5703125" style="31" bestFit="1" customWidth="1"/>
    <col min="9" max="12" width="11.42578125" style="31"/>
    <col min="13" max="14" width="12.5703125" style="31" bestFit="1" customWidth="1"/>
    <col min="15" max="16384" width="11.42578125" style="31"/>
  </cols>
  <sheetData>
    <row r="1" spans="1:12" x14ac:dyDescent="0.25">
      <c r="A1" s="21" t="s">
        <v>103</v>
      </c>
      <c r="B1" s="29">
        <f>24*52/12</f>
        <v>104</v>
      </c>
      <c r="C1" s="67"/>
      <c r="D1" s="279">
        <v>11.65</v>
      </c>
      <c r="E1" s="29"/>
      <c r="F1" s="30">
        <f>D1*B1</f>
        <v>1211.6000000000001</v>
      </c>
      <c r="H1" s="21"/>
      <c r="I1" s="261" t="s">
        <v>135</v>
      </c>
      <c r="J1" s="261" t="s">
        <v>140</v>
      </c>
      <c r="K1" s="261" t="s">
        <v>141</v>
      </c>
      <c r="L1" s="262" t="s">
        <v>142</v>
      </c>
    </row>
    <row r="2" spans="1:12" x14ac:dyDescent="0.25">
      <c r="A2" s="22" t="s">
        <v>146</v>
      </c>
      <c r="B2" s="267">
        <f>K4</f>
        <v>2.4</v>
      </c>
      <c r="C2" s="33"/>
      <c r="D2" s="280">
        <f>D1*1.1</f>
        <v>12.815000000000001</v>
      </c>
      <c r="E2" s="32"/>
      <c r="F2" s="66">
        <f>D2*B2</f>
        <v>30.756</v>
      </c>
      <c r="H2" s="22" t="s">
        <v>138</v>
      </c>
      <c r="I2" s="260">
        <f>SUM('CALENDRIER DU MOIS DE MAI'!E19:E23)</f>
        <v>27.6</v>
      </c>
      <c r="J2" s="260">
        <f>I2-24</f>
        <v>3.6000000000000014</v>
      </c>
      <c r="K2" s="260">
        <f>MIN(J2,2.4)</f>
        <v>2.4</v>
      </c>
      <c r="L2" s="263">
        <f>J2-K2</f>
        <v>1.2000000000000015</v>
      </c>
    </row>
    <row r="3" spans="1:12" x14ac:dyDescent="0.25">
      <c r="A3" s="22" t="s">
        <v>147</v>
      </c>
      <c r="B3" s="267">
        <f>L4</f>
        <v>1.2000000000000015</v>
      </c>
      <c r="C3" s="32"/>
      <c r="D3" s="280">
        <f>D1*1.25</f>
        <v>14.5625</v>
      </c>
      <c r="E3" s="32"/>
      <c r="F3" s="66">
        <f>D3*B3</f>
        <v>17.475000000000023</v>
      </c>
      <c r="H3" s="22"/>
      <c r="I3" s="260"/>
      <c r="J3" s="260"/>
      <c r="K3" s="260"/>
      <c r="L3" s="263"/>
    </row>
    <row r="4" spans="1:12" ht="15.75" thickBot="1" x14ac:dyDescent="0.3">
      <c r="A4" s="22" t="s">
        <v>58</v>
      </c>
      <c r="B4" s="267">
        <f>I15</f>
        <v>6106.2310000000007</v>
      </c>
      <c r="C4" s="32"/>
      <c r="D4" s="283">
        <v>0.1</v>
      </c>
      <c r="E4" s="32"/>
      <c r="F4" s="66">
        <f>D4*B4</f>
        <v>610.62310000000014</v>
      </c>
      <c r="H4" s="264" t="s">
        <v>113</v>
      </c>
      <c r="I4" s="265"/>
      <c r="J4" s="265">
        <f>SUM(J2:J3)</f>
        <v>3.6000000000000014</v>
      </c>
      <c r="K4" s="265">
        <f>SUM(K2:K3)</f>
        <v>2.4</v>
      </c>
      <c r="L4" s="266">
        <f>SUM(L2:L3)</f>
        <v>1.2000000000000015</v>
      </c>
    </row>
    <row r="5" spans="1:12" x14ac:dyDescent="0.25">
      <c r="A5" s="272" t="s">
        <v>60</v>
      </c>
      <c r="B5" s="273">
        <f>L15</f>
        <v>6716.8541000000005</v>
      </c>
      <c r="C5" s="274"/>
      <c r="D5" s="283">
        <v>0.1</v>
      </c>
      <c r="E5" s="274"/>
      <c r="F5" s="66">
        <f>D5*B5</f>
        <v>671.68541000000005</v>
      </c>
    </row>
    <row r="6" spans="1:12" ht="15.75" thickBot="1" x14ac:dyDescent="0.3">
      <c r="A6" s="275" t="s">
        <v>35</v>
      </c>
      <c r="B6" s="276"/>
      <c r="C6" s="276"/>
      <c r="D6" s="276"/>
      <c r="E6" s="276"/>
      <c r="F6" s="277">
        <f>F1+F2+F3+F4+F5</f>
        <v>2542.1395100000004</v>
      </c>
    </row>
    <row r="7" spans="1:12" ht="15.75" thickBot="1" x14ac:dyDescent="0.3">
      <c r="B7" s="268"/>
      <c r="C7" s="269"/>
      <c r="D7" s="269"/>
      <c r="E7" s="270"/>
      <c r="F7" s="271"/>
    </row>
    <row r="8" spans="1:12" ht="28.5" x14ac:dyDescent="0.25">
      <c r="A8" s="39"/>
      <c r="B8" s="40" t="s">
        <v>49</v>
      </c>
      <c r="C8" s="40" t="s">
        <v>22</v>
      </c>
      <c r="D8" s="40" t="s">
        <v>50</v>
      </c>
      <c r="E8" s="40" t="s">
        <v>22</v>
      </c>
      <c r="F8" s="41" t="s">
        <v>51</v>
      </c>
      <c r="H8" s="512" t="s">
        <v>154</v>
      </c>
      <c r="I8" s="513"/>
      <c r="K8" s="512" t="s">
        <v>155</v>
      </c>
      <c r="L8" s="513"/>
    </row>
    <row r="9" spans="1:12" x14ac:dyDescent="0.25">
      <c r="A9" s="42" t="s">
        <v>36</v>
      </c>
      <c r="B9" s="43"/>
      <c r="C9" s="44"/>
      <c r="D9" s="44"/>
      <c r="E9" s="62"/>
      <c r="F9" s="41"/>
      <c r="H9" s="22"/>
      <c r="I9" s="282" t="s">
        <v>115</v>
      </c>
      <c r="K9" s="22"/>
      <c r="L9" s="282" t="s">
        <v>115</v>
      </c>
    </row>
    <row r="10" spans="1:12" x14ac:dyDescent="0.25">
      <c r="A10" s="45" t="s">
        <v>75</v>
      </c>
      <c r="B10" s="51">
        <f>$F$6</f>
        <v>2542.1395100000004</v>
      </c>
      <c r="C10" s="46"/>
      <c r="D10" s="53"/>
      <c r="E10" s="207">
        <v>7.0000000000000007E-2</v>
      </c>
      <c r="F10" s="54">
        <f>B10*E10</f>
        <v>177.94976570000006</v>
      </c>
      <c r="H10" s="22" t="s">
        <v>148</v>
      </c>
      <c r="I10" s="259">
        <f>F1</f>
        <v>1211.6000000000001</v>
      </c>
      <c r="K10" s="22" t="s">
        <v>148</v>
      </c>
      <c r="L10" s="259">
        <f>I10</f>
        <v>1211.6000000000001</v>
      </c>
    </row>
    <row r="11" spans="1:12" x14ac:dyDescent="0.25">
      <c r="A11" s="45" t="s">
        <v>52</v>
      </c>
      <c r="B11" s="51"/>
      <c r="C11" s="47"/>
      <c r="D11" s="55"/>
      <c r="E11" s="204">
        <v>1.4999999999999999E-2</v>
      </c>
      <c r="F11" s="54">
        <f>B11*E11</f>
        <v>0</v>
      </c>
      <c r="H11" s="22" t="s">
        <v>149</v>
      </c>
      <c r="I11" s="259">
        <f>I10</f>
        <v>1211.6000000000001</v>
      </c>
      <c r="K11" s="22" t="s">
        <v>149</v>
      </c>
      <c r="L11" s="259">
        <f t="shared" ref="L11:L13" si="0">I11</f>
        <v>1211.6000000000001</v>
      </c>
    </row>
    <row r="12" spans="1:12" x14ac:dyDescent="0.25">
      <c r="A12" s="45" t="s">
        <v>37</v>
      </c>
      <c r="B12" s="51">
        <v>3864</v>
      </c>
      <c r="C12" s="80">
        <v>0.01</v>
      </c>
      <c r="D12" s="81">
        <f>+C12*B12</f>
        <v>38.64</v>
      </c>
      <c r="E12" s="204">
        <v>0.01</v>
      </c>
      <c r="F12" s="130">
        <f>+E12*B12</f>
        <v>38.64</v>
      </c>
      <c r="H12" s="22" t="s">
        <v>150</v>
      </c>
      <c r="I12" s="259">
        <f t="shared" ref="I12:I13" si="1">I11</f>
        <v>1211.6000000000001</v>
      </c>
      <c r="K12" s="22" t="s">
        <v>150</v>
      </c>
      <c r="L12" s="259">
        <f t="shared" si="0"/>
        <v>1211.6000000000001</v>
      </c>
    </row>
    <row r="13" spans="1:12" x14ac:dyDescent="0.25">
      <c r="A13" s="42" t="s">
        <v>38</v>
      </c>
      <c r="B13" s="51">
        <f t="shared" ref="B13:B27" si="2">$F$6</f>
        <v>2542.1395100000004</v>
      </c>
      <c r="D13" s="51"/>
      <c r="E13" s="64">
        <v>2.7E-2</v>
      </c>
      <c r="F13" s="54">
        <f>B13*E13</f>
        <v>68.637766770000013</v>
      </c>
      <c r="H13" s="22" t="s">
        <v>151</v>
      </c>
      <c r="I13" s="259">
        <f t="shared" si="1"/>
        <v>1211.6000000000001</v>
      </c>
      <c r="K13" s="22" t="s">
        <v>151</v>
      </c>
      <c r="L13" s="259">
        <f t="shared" si="0"/>
        <v>1211.6000000000001</v>
      </c>
    </row>
    <row r="14" spans="1:12" x14ac:dyDescent="0.25">
      <c r="A14" s="42" t="s">
        <v>39</v>
      </c>
      <c r="B14" s="51"/>
      <c r="C14" s="48"/>
      <c r="D14" s="51"/>
      <c r="E14" s="68"/>
      <c r="F14" s="54"/>
      <c r="H14" s="22" t="s">
        <v>152</v>
      </c>
      <c r="I14" s="259">
        <f>F1+F2+F3</f>
        <v>1259.8310000000001</v>
      </c>
      <c r="K14" s="22" t="s">
        <v>152</v>
      </c>
      <c r="L14" s="259">
        <f>+F1+F2+F3+F4</f>
        <v>1870.4541000000004</v>
      </c>
    </row>
    <row r="15" spans="1:12" ht="15.75" thickBot="1" x14ac:dyDescent="0.3">
      <c r="A15" s="45" t="s">
        <v>63</v>
      </c>
      <c r="B15" s="51">
        <f t="shared" si="2"/>
        <v>2542.1395100000004</v>
      </c>
      <c r="C15" s="47">
        <v>6.9000000000000006E-2</v>
      </c>
      <c r="D15" s="150">
        <f>B15*C15</f>
        <v>175.40762619000003</v>
      </c>
      <c r="E15" s="204">
        <v>8.5500000000000007E-2</v>
      </c>
      <c r="F15" s="54">
        <f>B15*E15</f>
        <v>217.35292810500005</v>
      </c>
      <c r="H15" s="264" t="s">
        <v>153</v>
      </c>
      <c r="I15" s="281">
        <f>SUM(I10:I14)</f>
        <v>6106.2310000000007</v>
      </c>
      <c r="K15" s="264" t="s">
        <v>153</v>
      </c>
      <c r="L15" s="281">
        <f>SUM(L10:L14)</f>
        <v>6716.8541000000005</v>
      </c>
    </row>
    <row r="16" spans="1:12" x14ac:dyDescent="0.25">
      <c r="A16" s="45" t="s">
        <v>64</v>
      </c>
      <c r="B16" s="51">
        <f t="shared" si="2"/>
        <v>2542.1395100000004</v>
      </c>
      <c r="C16" s="47">
        <v>4.0000000000000001E-3</v>
      </c>
      <c r="D16" s="55">
        <f>B16*C16</f>
        <v>10.168558040000002</v>
      </c>
      <c r="E16" s="204">
        <v>2.0199999999999999E-2</v>
      </c>
      <c r="F16" s="54">
        <f>B16*E16</f>
        <v>51.351218102000004</v>
      </c>
    </row>
    <row r="17" spans="1:6" x14ac:dyDescent="0.25">
      <c r="A17" s="45" t="s">
        <v>65</v>
      </c>
      <c r="B17" s="51">
        <f t="shared" si="2"/>
        <v>2542.1395100000004</v>
      </c>
      <c r="C17" s="47">
        <v>4.0099999999999997E-2</v>
      </c>
      <c r="D17" s="55">
        <f>B17*C17</f>
        <v>101.939794351</v>
      </c>
      <c r="E17" s="204">
        <v>6.0100000000000001E-2</v>
      </c>
      <c r="F17" s="54">
        <f>B17*E17</f>
        <v>152.78258455100001</v>
      </c>
    </row>
    <row r="18" spans="1:6" x14ac:dyDescent="0.25">
      <c r="A18" s="45" t="s">
        <v>69</v>
      </c>
      <c r="B18" s="51"/>
      <c r="C18" s="47">
        <v>9.7199999999999995E-2</v>
      </c>
      <c r="D18" s="55">
        <f>B18*C18</f>
        <v>0</v>
      </c>
      <c r="E18" s="204">
        <v>0.1457</v>
      </c>
      <c r="F18" s="54"/>
    </row>
    <row r="19" spans="1:6" x14ac:dyDescent="0.25">
      <c r="A19" s="45" t="s">
        <v>70</v>
      </c>
      <c r="B19" s="51"/>
      <c r="C19" s="47">
        <v>1.4E-3</v>
      </c>
      <c r="D19" s="55">
        <f>B19*C19</f>
        <v>0</v>
      </c>
      <c r="E19" s="204">
        <v>2.0999999999999999E-3</v>
      </c>
      <c r="F19" s="54"/>
    </row>
    <row r="20" spans="1:6" x14ac:dyDescent="0.25">
      <c r="A20" s="49" t="s">
        <v>77</v>
      </c>
      <c r="B20" s="51">
        <f t="shared" si="2"/>
        <v>2542.1395100000004</v>
      </c>
      <c r="C20" s="48"/>
      <c r="D20" s="51"/>
      <c r="E20" s="68">
        <v>3.4500000000000003E-2</v>
      </c>
      <c r="F20" s="54">
        <f>B20*E20</f>
        <v>87.703813095000015</v>
      </c>
    </row>
    <row r="21" spans="1:6" x14ac:dyDescent="0.25">
      <c r="A21" s="42" t="s">
        <v>66</v>
      </c>
      <c r="B21" s="51">
        <f t="shared" si="2"/>
        <v>2542.1395100000004</v>
      </c>
      <c r="C21" s="48"/>
      <c r="D21" s="51"/>
      <c r="E21" s="68">
        <v>4.2500000000000003E-2</v>
      </c>
      <c r="F21" s="54">
        <f>B21*E21</f>
        <v>108.04092917500003</v>
      </c>
    </row>
    <row r="22" spans="1:6" x14ac:dyDescent="0.25">
      <c r="A22" s="42" t="s">
        <v>61</v>
      </c>
      <c r="B22" s="51"/>
      <c r="C22" s="48"/>
      <c r="D22" s="51"/>
      <c r="E22" s="68"/>
      <c r="F22" s="206">
        <f>D54</f>
        <v>41.843616334600007</v>
      </c>
    </row>
    <row r="23" spans="1:6" x14ac:dyDescent="0.25">
      <c r="A23" s="42" t="s">
        <v>71</v>
      </c>
      <c r="B23" s="51"/>
      <c r="C23" s="56"/>
      <c r="D23" s="51"/>
      <c r="E23" s="64"/>
      <c r="F23" s="54"/>
    </row>
    <row r="24" spans="1:6" x14ac:dyDescent="0.25">
      <c r="A24" s="42" t="s">
        <v>41</v>
      </c>
      <c r="B24" s="55">
        <f>(F1+F4+F5)*98.25%+F11+F12</f>
        <v>2488.9051110750001</v>
      </c>
      <c r="C24" s="47">
        <v>2.9000000000000001E-2</v>
      </c>
      <c r="D24" s="55">
        <f>B24*C24</f>
        <v>72.178248221175011</v>
      </c>
      <c r="E24" s="204"/>
      <c r="F24" s="54"/>
    </row>
    <row r="25" spans="1:6" x14ac:dyDescent="0.25">
      <c r="A25" s="42" t="s">
        <v>42</v>
      </c>
      <c r="B25" s="55">
        <f>B24</f>
        <v>2488.9051110750001</v>
      </c>
      <c r="C25" s="47">
        <v>6.8000000000000005E-2</v>
      </c>
      <c r="D25" s="55">
        <f>B25*C25</f>
        <v>169.24554755310001</v>
      </c>
      <c r="E25" s="204"/>
      <c r="F25" s="54"/>
    </row>
    <row r="26" spans="1:6" x14ac:dyDescent="0.25">
      <c r="A26" s="42" t="s">
        <v>41</v>
      </c>
      <c r="B26" s="55">
        <f>(F2+F3)*0.9825</f>
        <v>47.386957500000022</v>
      </c>
      <c r="C26" s="47">
        <v>9.7000000000000003E-2</v>
      </c>
      <c r="D26" s="55">
        <f>B26*C26</f>
        <v>4.5965348775000026</v>
      </c>
      <c r="E26" s="204"/>
      <c r="F26" s="138"/>
    </row>
    <row r="27" spans="1:6" x14ac:dyDescent="0.25">
      <c r="A27" s="42" t="s">
        <v>43</v>
      </c>
      <c r="B27" s="51">
        <f t="shared" si="2"/>
        <v>2542.1395100000004</v>
      </c>
      <c r="C27" s="44"/>
      <c r="D27" s="148"/>
      <c r="E27" s="204"/>
      <c r="F27" s="287">
        <f>-H78</f>
        <v>285.2387577410002</v>
      </c>
    </row>
    <row r="28" spans="1:6" ht="15.75" thickBot="1" x14ac:dyDescent="0.3">
      <c r="A28" s="45" t="s">
        <v>165</v>
      </c>
      <c r="B28" s="51">
        <f>(F2+F3)</f>
        <v>48.231000000000023</v>
      </c>
      <c r="C28" s="47">
        <v>0.11310000000000001</v>
      </c>
      <c r="D28" s="55">
        <f>-C28*B28</f>
        <v>-5.4549261000000033</v>
      </c>
      <c r="E28" s="204"/>
      <c r="F28" s="54"/>
    </row>
    <row r="29" spans="1:6" ht="15.75" thickBot="1" x14ac:dyDescent="0.3">
      <c r="A29" s="42" t="s">
        <v>44</v>
      </c>
      <c r="B29" s="52"/>
      <c r="C29" s="62"/>
      <c r="D29" s="149">
        <f>SUM(D9:D28)</f>
        <v>566.72138313277503</v>
      </c>
      <c r="E29" s="208"/>
      <c r="F29" s="149">
        <f>SUM(F9:F28)</f>
        <v>1229.5413795736004</v>
      </c>
    </row>
    <row r="30" spans="1:6" ht="15.75" thickBot="1" x14ac:dyDescent="0.3">
      <c r="A30" s="42" t="s">
        <v>228</v>
      </c>
      <c r="B30" s="52"/>
      <c r="C30" s="44"/>
      <c r="D30" s="52"/>
      <c r="E30" s="63"/>
      <c r="F30" s="138">
        <f>+F6-D29</f>
        <v>1975.4181268672255</v>
      </c>
    </row>
    <row r="31" spans="1:6" ht="16.5" thickTop="1" thickBot="1" x14ac:dyDescent="0.3">
      <c r="A31" s="50" t="s">
        <v>45</v>
      </c>
      <c r="B31" s="52"/>
      <c r="C31" s="44"/>
      <c r="D31" s="52"/>
      <c r="E31" s="63"/>
      <c r="F31" s="151">
        <f>F6-D29</f>
        <v>1975.4181268672255</v>
      </c>
    </row>
    <row r="32" spans="1:6" ht="29.25" thickTop="1" x14ac:dyDescent="0.25">
      <c r="A32" s="42" t="s">
        <v>46</v>
      </c>
      <c r="B32" s="140"/>
      <c r="C32" s="141"/>
      <c r="D32" s="140"/>
      <c r="E32" s="142"/>
      <c r="F32" s="143">
        <f>D61</f>
        <v>37.766007676725017</v>
      </c>
    </row>
    <row r="33" spans="1:6" x14ac:dyDescent="0.25">
      <c r="A33" s="399" t="s">
        <v>47</v>
      </c>
      <c r="B33" s="399" t="s">
        <v>48</v>
      </c>
      <c r="C33" s="399" t="s">
        <v>22</v>
      </c>
      <c r="D33" s="400" t="s">
        <v>206</v>
      </c>
      <c r="E33" s="400"/>
      <c r="F33" s="401" t="s">
        <v>207</v>
      </c>
    </row>
    <row r="34" spans="1:6" x14ac:dyDescent="0.25">
      <c r="A34" s="402" t="s">
        <v>208</v>
      </c>
      <c r="B34" s="403"/>
      <c r="C34" s="398"/>
      <c r="D34" s="404">
        <f>F1+F4+F5+F12+D24+D26-D29</f>
        <v>2042.6019099659002</v>
      </c>
      <c r="E34" s="405"/>
      <c r="F34" s="406"/>
    </row>
    <row r="35" spans="1:6" x14ac:dyDescent="0.25">
      <c r="A35" s="402" t="s">
        <v>209</v>
      </c>
      <c r="B35" s="407">
        <f>D34</f>
        <v>2042.6019099659002</v>
      </c>
      <c r="C35" s="408">
        <v>1.4999999999999999E-2</v>
      </c>
      <c r="D35" s="404">
        <f>C35*B35</f>
        <v>30.639028649488502</v>
      </c>
      <c r="E35" s="405"/>
      <c r="F35" s="406"/>
    </row>
    <row r="36" spans="1:6" x14ac:dyDescent="0.25">
      <c r="A36" s="402" t="s">
        <v>210</v>
      </c>
      <c r="B36" s="403"/>
      <c r="C36" s="404"/>
      <c r="D36" s="404">
        <f>F2+F3</f>
        <v>48.231000000000023</v>
      </c>
      <c r="E36" s="405"/>
      <c r="F36" s="406"/>
    </row>
    <row r="37" spans="1:6" x14ac:dyDescent="0.25">
      <c r="A37" s="402"/>
      <c r="B37" s="403"/>
      <c r="C37" s="398"/>
      <c r="D37" s="398"/>
      <c r="E37" s="405"/>
      <c r="F37" s="409"/>
    </row>
    <row r="38" spans="1:6" x14ac:dyDescent="0.25">
      <c r="A38" s="397" t="s">
        <v>211</v>
      </c>
      <c r="B38" s="398"/>
      <c r="C38" s="398"/>
      <c r="D38" s="404">
        <f>F31-F35</f>
        <v>1975.4181268672255</v>
      </c>
      <c r="E38" s="405"/>
      <c r="F38" s="406"/>
    </row>
    <row r="39" spans="1:6" x14ac:dyDescent="0.25">
      <c r="A39" s="402" t="s">
        <v>212</v>
      </c>
      <c r="B39" s="398"/>
      <c r="C39" s="398"/>
      <c r="D39" s="404">
        <f>D69</f>
        <v>0</v>
      </c>
      <c r="E39" s="405"/>
      <c r="F39" s="406"/>
    </row>
    <row r="40" spans="1:6" x14ac:dyDescent="0.25">
      <c r="A40" s="402" t="s">
        <v>213</v>
      </c>
      <c r="B40" s="410"/>
      <c r="C40" s="398"/>
      <c r="D40" s="404">
        <f>F29+F6</f>
        <v>3771.6808895736008</v>
      </c>
      <c r="E40" s="405"/>
      <c r="F40" s="406"/>
    </row>
    <row r="41" spans="1:6" ht="15.75" customHeight="1" thickBot="1" x14ac:dyDescent="0.3">
      <c r="A41" s="411" t="s">
        <v>214</v>
      </c>
      <c r="B41" s="412"/>
      <c r="C41" s="412"/>
      <c r="D41" s="412"/>
      <c r="E41" s="413"/>
      <c r="F41" s="414"/>
    </row>
    <row r="42" spans="1:6" ht="15.75" customHeight="1" x14ac:dyDescent="0.25">
      <c r="A42" s="468"/>
      <c r="B42" s="469"/>
      <c r="C42" s="469"/>
      <c r="D42" s="470"/>
      <c r="E42" s="466"/>
      <c r="F42" s="467"/>
    </row>
    <row r="43" spans="1:6" ht="15.75" customHeight="1" thickBot="1" x14ac:dyDescent="0.3">
      <c r="A43" s="468"/>
      <c r="B43" s="469"/>
      <c r="C43" s="469"/>
      <c r="D43" s="470"/>
      <c r="E43" s="466"/>
      <c r="F43" s="467"/>
    </row>
    <row r="44" spans="1:6" x14ac:dyDescent="0.25">
      <c r="A44" s="168"/>
      <c r="B44" s="503">
        <f>F6</f>
        <v>2542.1395100000004</v>
      </c>
      <c r="C44" s="506">
        <f>0.3%+0.68%+0.55%+0.016%</f>
        <v>1.5460000000000002E-2</v>
      </c>
      <c r="D44" s="509">
        <f>B44*C44</f>
        <v>39.301476824600009</v>
      </c>
    </row>
    <row r="45" spans="1:6" x14ac:dyDescent="0.25">
      <c r="A45" s="169" t="s">
        <v>82</v>
      </c>
      <c r="B45" s="504"/>
      <c r="C45" s="507"/>
      <c r="D45" s="510"/>
    </row>
    <row r="46" spans="1:6" x14ac:dyDescent="0.25">
      <c r="A46" s="169" t="s">
        <v>83</v>
      </c>
      <c r="B46" s="504"/>
      <c r="C46" s="507"/>
      <c r="D46" s="510"/>
    </row>
    <row r="47" spans="1:6" x14ac:dyDescent="0.25">
      <c r="A47" s="169" t="s">
        <v>84</v>
      </c>
      <c r="B47" s="504"/>
      <c r="C47" s="507"/>
      <c r="D47" s="510"/>
    </row>
    <row r="48" spans="1:6" x14ac:dyDescent="0.25">
      <c r="A48" s="169" t="s">
        <v>85</v>
      </c>
      <c r="B48" s="504"/>
      <c r="C48" s="507"/>
      <c r="D48" s="510"/>
    </row>
    <row r="49" spans="1:5" x14ac:dyDescent="0.25">
      <c r="A49" s="169" t="s">
        <v>86</v>
      </c>
      <c r="B49" s="504"/>
      <c r="C49" s="507"/>
      <c r="D49" s="510"/>
    </row>
    <row r="50" spans="1:5" ht="15.75" thickBot="1" x14ac:dyDescent="0.3">
      <c r="A50" s="170" t="s">
        <v>87</v>
      </c>
      <c r="B50" s="505"/>
      <c r="C50" s="508"/>
      <c r="D50" s="511"/>
    </row>
    <row r="51" spans="1:5" ht="15.75" thickBot="1" x14ac:dyDescent="0.3">
      <c r="A51" s="167"/>
      <c r="B51" s="171"/>
      <c r="C51" s="171"/>
      <c r="D51" s="171"/>
    </row>
    <row r="52" spans="1:5" ht="15.75" thickBot="1" x14ac:dyDescent="0.3">
      <c r="A52" s="172" t="s">
        <v>88</v>
      </c>
      <c r="B52" s="173">
        <f>B17</f>
        <v>2542.1395100000004</v>
      </c>
      <c r="C52" s="174">
        <v>1E-3</v>
      </c>
      <c r="D52" s="175">
        <f>C52*B52</f>
        <v>2.5421395100000006</v>
      </c>
    </row>
    <row r="53" spans="1:5" ht="15.75" thickBot="1" x14ac:dyDescent="0.3">
      <c r="A53" s="167"/>
      <c r="B53" s="167"/>
      <c r="C53" s="167"/>
      <c r="D53" s="167"/>
      <c r="E53" s="103"/>
    </row>
    <row r="54" spans="1:5" ht="15.75" thickBot="1" x14ac:dyDescent="0.3">
      <c r="A54" s="172" t="s">
        <v>89</v>
      </c>
      <c r="B54" s="176"/>
      <c r="C54" s="176"/>
      <c r="D54" s="177">
        <f>D44+D52</f>
        <v>41.843616334600007</v>
      </c>
    </row>
    <row r="55" spans="1:5" ht="15.75" thickBot="1" x14ac:dyDescent="0.3">
      <c r="A55" s="167"/>
      <c r="B55" s="167"/>
      <c r="C55" s="167"/>
      <c r="D55" s="167"/>
    </row>
    <row r="56" spans="1:5" ht="15.75" customHeight="1" thickBot="1" x14ac:dyDescent="0.3">
      <c r="A56" s="498" t="s">
        <v>90</v>
      </c>
      <c r="B56" s="499"/>
      <c r="C56" s="499"/>
      <c r="D56" s="500"/>
    </row>
    <row r="57" spans="1:5" x14ac:dyDescent="0.25">
      <c r="A57" s="178" t="s">
        <v>91</v>
      </c>
      <c r="B57" s="182">
        <f>F6</f>
        <v>2542.1395100000004</v>
      </c>
      <c r="C57" s="179">
        <v>2.4E-2</v>
      </c>
      <c r="D57" s="180">
        <f>C57*B57</f>
        <v>61.011348240000011</v>
      </c>
    </row>
    <row r="58" spans="1:5" x14ac:dyDescent="0.25">
      <c r="A58" s="181" t="s">
        <v>92</v>
      </c>
      <c r="B58" s="182">
        <f>B57</f>
        <v>2542.1395100000004</v>
      </c>
      <c r="C58" s="183">
        <v>7.4999999999999997E-3</v>
      </c>
      <c r="D58" s="184">
        <f t="shared" ref="D58:D59" si="3">C58*B58</f>
        <v>19.066046325000002</v>
      </c>
    </row>
    <row r="59" spans="1:5" x14ac:dyDescent="0.25">
      <c r="A59" s="181" t="s">
        <v>93</v>
      </c>
      <c r="B59" s="182">
        <f>B24</f>
        <v>2488.9051110750001</v>
      </c>
      <c r="C59" s="183">
        <v>-1.7000000000000001E-2</v>
      </c>
      <c r="D59" s="184">
        <f t="shared" si="3"/>
        <v>-42.311386888275003</v>
      </c>
    </row>
    <row r="60" spans="1:5" x14ac:dyDescent="0.25">
      <c r="A60" s="42"/>
      <c r="B60" s="185"/>
      <c r="C60" s="47"/>
      <c r="D60" s="186"/>
    </row>
    <row r="61" spans="1:5" ht="15.75" thickBot="1" x14ac:dyDescent="0.3">
      <c r="A61" s="202" t="s">
        <v>95</v>
      </c>
      <c r="B61" s="187"/>
      <c r="C61" s="188"/>
      <c r="D61" s="189">
        <f>SUM(D57:D60)</f>
        <v>37.766007676725017</v>
      </c>
    </row>
    <row r="62" spans="1:5" x14ac:dyDescent="0.25">
      <c r="A62" s="103"/>
      <c r="B62" s="103"/>
      <c r="C62" s="103"/>
      <c r="D62" s="103"/>
    </row>
    <row r="63" spans="1:5" ht="15.75" thickBot="1" x14ac:dyDescent="0.3">
      <c r="A63" s="103"/>
      <c r="B63" s="103"/>
      <c r="C63" s="103"/>
      <c r="D63" s="103"/>
    </row>
    <row r="64" spans="1:5" ht="15.75" thickBot="1" x14ac:dyDescent="0.3">
      <c r="A64" s="498" t="s">
        <v>102</v>
      </c>
      <c r="B64" s="499"/>
      <c r="C64" s="499"/>
      <c r="D64" s="500"/>
    </row>
    <row r="65" spans="1:8" x14ac:dyDescent="0.25">
      <c r="A65" s="190" t="s">
        <v>96</v>
      </c>
      <c r="B65" s="191"/>
      <c r="C65" s="191"/>
      <c r="D65" s="192">
        <f>H78</f>
        <v>-285.2387577410002</v>
      </c>
    </row>
    <row r="66" spans="1:8" x14ac:dyDescent="0.25">
      <c r="A66" s="193" t="s">
        <v>97</v>
      </c>
      <c r="B66" s="194"/>
      <c r="C66" s="195">
        <v>1.5</v>
      </c>
      <c r="D66" s="196" t="s">
        <v>98</v>
      </c>
    </row>
    <row r="67" spans="1:8" x14ac:dyDescent="0.25">
      <c r="A67" s="193" t="s">
        <v>99</v>
      </c>
      <c r="B67" s="197">
        <f>F6</f>
        <v>2542.1395100000004</v>
      </c>
      <c r="C67" s="198">
        <v>1.7999999999999999E-2</v>
      </c>
      <c r="D67" s="199">
        <f>C67*B67</f>
        <v>45.758511180000006</v>
      </c>
    </row>
    <row r="68" spans="1:8" x14ac:dyDescent="0.25">
      <c r="A68" s="193" t="s">
        <v>100</v>
      </c>
      <c r="B68" s="197">
        <f>B67</f>
        <v>2542.1395100000004</v>
      </c>
      <c r="C68" s="198">
        <v>0.06</v>
      </c>
      <c r="D68" s="199">
        <f>C68*B68</f>
        <v>152.52837060000002</v>
      </c>
    </row>
    <row r="69" spans="1:8" ht="15.75" thickBot="1" x14ac:dyDescent="0.3">
      <c r="A69" s="203" t="s">
        <v>101</v>
      </c>
      <c r="B69" s="200"/>
      <c r="C69" s="200"/>
      <c r="D69" s="201">
        <v>0</v>
      </c>
    </row>
    <row r="71" spans="1:8" ht="15.75" thickBot="1" x14ac:dyDescent="0.3"/>
    <row r="72" spans="1:8" ht="20.25" x14ac:dyDescent="0.25">
      <c r="A72" s="239" t="s">
        <v>114</v>
      </c>
      <c r="B72" s="240"/>
      <c r="C72" s="240"/>
      <c r="D72" s="240"/>
      <c r="E72" s="240"/>
      <c r="F72" s="240"/>
      <c r="G72" s="240"/>
      <c r="H72" s="20"/>
    </row>
    <row r="73" spans="1:8" ht="25.5" x14ac:dyDescent="0.25">
      <c r="A73" s="104"/>
      <c r="B73" s="241" t="s">
        <v>115</v>
      </c>
      <c r="C73" s="241" t="s">
        <v>116</v>
      </c>
      <c r="D73" s="241" t="s">
        <v>26</v>
      </c>
      <c r="E73" s="242" t="s">
        <v>117</v>
      </c>
      <c r="F73" s="243" t="s">
        <v>118</v>
      </c>
      <c r="G73" s="244" t="s">
        <v>119</v>
      </c>
      <c r="H73" s="245" t="s">
        <v>120</v>
      </c>
    </row>
    <row r="74" spans="1:8" x14ac:dyDescent="0.25">
      <c r="A74" s="246" t="s">
        <v>121</v>
      </c>
      <c r="B74" s="247">
        <f>F1</f>
        <v>1211.6000000000001</v>
      </c>
      <c r="C74" s="248">
        <f>B74</f>
        <v>1211.6000000000001</v>
      </c>
      <c r="D74" s="247">
        <f>11.65*104</f>
        <v>1211.6000000000001</v>
      </c>
      <c r="E74" s="248">
        <f>+D74</f>
        <v>1211.6000000000001</v>
      </c>
      <c r="F74" s="249">
        <f>ROUND(0.3194/0.6*((1.6*E74/C74)-1),4)</f>
        <v>0.31940000000000002</v>
      </c>
      <c r="G74" s="250">
        <f>F74*C74</f>
        <v>386.98504000000008</v>
      </c>
      <c r="H74" s="251">
        <f>G74</f>
        <v>386.98504000000008</v>
      </c>
    </row>
    <row r="75" spans="1:8" x14ac:dyDescent="0.25">
      <c r="A75" s="246" t="s">
        <v>122</v>
      </c>
      <c r="B75" s="247">
        <f>B74</f>
        <v>1211.6000000000001</v>
      </c>
      <c r="C75" s="248">
        <f>C74+B75</f>
        <v>2423.2000000000003</v>
      </c>
      <c r="D75" s="247">
        <f t="shared" ref="D75:D77" si="4">11.65*104</f>
        <v>1211.6000000000001</v>
      </c>
      <c r="E75" s="248">
        <f>E74+D75</f>
        <v>2423.2000000000003</v>
      </c>
      <c r="F75" s="249">
        <f>+F74</f>
        <v>0.31940000000000002</v>
      </c>
      <c r="G75" s="250">
        <f>F75*C75</f>
        <v>773.97008000000017</v>
      </c>
      <c r="H75" s="251">
        <f>G75-G74</f>
        <v>386.98504000000008</v>
      </c>
    </row>
    <row r="76" spans="1:8" x14ac:dyDescent="0.25">
      <c r="A76" s="246" t="s">
        <v>123</v>
      </c>
      <c r="B76" s="247">
        <f t="shared" ref="B76:B77" si="5">B75</f>
        <v>1211.6000000000001</v>
      </c>
      <c r="C76" s="248">
        <f>C75+B76</f>
        <v>3634.8</v>
      </c>
      <c r="D76" s="247">
        <f t="shared" si="4"/>
        <v>1211.6000000000001</v>
      </c>
      <c r="E76" s="248">
        <f>E75+D76</f>
        <v>3634.8</v>
      </c>
      <c r="F76" s="249">
        <f>+F75</f>
        <v>0.31940000000000002</v>
      </c>
      <c r="G76" s="250">
        <f>F76*C76</f>
        <v>1160.9551200000001</v>
      </c>
      <c r="H76" s="251">
        <f>G76-G75</f>
        <v>386.98503999999991</v>
      </c>
    </row>
    <row r="77" spans="1:8" x14ac:dyDescent="0.25">
      <c r="A77" s="246" t="s">
        <v>124</v>
      </c>
      <c r="B77" s="247">
        <f t="shared" si="5"/>
        <v>1211.6000000000001</v>
      </c>
      <c r="C77" s="248">
        <f>C76+B77</f>
        <v>4846.4000000000005</v>
      </c>
      <c r="D77" s="247">
        <f t="shared" si="4"/>
        <v>1211.6000000000001</v>
      </c>
      <c r="E77" s="248">
        <f>E76+D77</f>
        <v>4846.4000000000005</v>
      </c>
      <c r="F77" s="249">
        <f>+F76</f>
        <v>0.31940000000000002</v>
      </c>
      <c r="G77" s="250">
        <f>F77*C77</f>
        <v>1547.9401600000003</v>
      </c>
      <c r="H77" s="251">
        <f>G77-G76</f>
        <v>386.98504000000025</v>
      </c>
    </row>
    <row r="78" spans="1:8" ht="15.75" thickBot="1" x14ac:dyDescent="0.3">
      <c r="A78" s="252" t="s">
        <v>125</v>
      </c>
      <c r="B78" s="257">
        <f>F6</f>
        <v>2542.1395100000004</v>
      </c>
      <c r="C78" s="253">
        <f>C77+B78</f>
        <v>7388.5395100000005</v>
      </c>
      <c r="D78" s="257">
        <f>11.65*107.6</f>
        <v>1253.54</v>
      </c>
      <c r="E78" s="253">
        <f>E77+D78</f>
        <v>6099.9400000000005</v>
      </c>
      <c r="F78" s="254">
        <f>ROUND(0.3194/0.6*((1.6*E78/C78)-1),4)</f>
        <v>0.1709</v>
      </c>
      <c r="G78" s="255">
        <f>F78*C78</f>
        <v>1262.7014022590001</v>
      </c>
      <c r="H78" s="316">
        <f>G78-G77</f>
        <v>-285.2387577410002</v>
      </c>
    </row>
  </sheetData>
  <mergeCells count="7">
    <mergeCell ref="H8:I8"/>
    <mergeCell ref="K8:L8"/>
    <mergeCell ref="A64:D64"/>
    <mergeCell ref="B44:B50"/>
    <mergeCell ref="C44:C50"/>
    <mergeCell ref="D44:D50"/>
    <mergeCell ref="A56:D56"/>
  </mergeCells>
  <phoneticPr fontId="3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ENONCE A LIRE</vt:lpstr>
      <vt:lpstr>SALARIES</vt:lpstr>
      <vt:lpstr>CONDITIONS PARTICULIERES</vt:lpstr>
      <vt:lpstr>SALAIRES</vt:lpstr>
      <vt:lpstr>CALENDRIER DU MOIS DE MAI</vt:lpstr>
      <vt:lpstr>DUMAINE</vt:lpstr>
      <vt:lpstr>VALETTE BULLETIN</vt:lpstr>
      <vt:lpstr>HERMAN BULLETIN</vt:lpstr>
      <vt:lpstr>DUMOULINS BULLETIN</vt:lpstr>
      <vt:lpstr>LAMBERT BULLETIN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alain henry</cp:lastModifiedBy>
  <dcterms:created xsi:type="dcterms:W3CDTF">2019-05-13T15:16:04Z</dcterms:created>
  <dcterms:modified xsi:type="dcterms:W3CDTF">2024-06-22T09:21:15Z</dcterms:modified>
</cp:coreProperties>
</file>