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TEMP\Desktop\foad paie 2020\PAIE N4 PREPARATION A L'EXAMEN\FORCES\"/>
    </mc:Choice>
  </mc:AlternateContent>
  <xr:revisionPtr revIDLastSave="0" documentId="13_ncr:1_{C28576F5-3B39-4EF3-9F6A-A9B1647ADF0E}" xr6:coauthVersionLast="47" xr6:coauthVersionMax="47" xr10:uidLastSave="{00000000-0000-0000-0000-000000000000}"/>
  <bookViews>
    <workbookView xWindow="49080" yWindow="-660" windowWidth="29040" windowHeight="15840" tabRatio="944" firstSheet="2" activeTab="4" xr2:uid="{00000000-000D-0000-FFFF-FFFF00000000}"/>
  </bookViews>
  <sheets>
    <sheet name="ENONCE A LIRE" sheetId="18" r:id="rId1"/>
    <sheet name="SALARIES" sheetId="19" r:id="rId2"/>
    <sheet name="CONDITIONS PARTICULIERES" sheetId="20" r:id="rId3"/>
    <sheet name="CALENDRIER DU MOIS DE MAI" sheetId="22" r:id="rId4"/>
    <sheet name="BECKER BULLETIN" sheetId="12" r:id="rId5"/>
    <sheet name="Feuil1" sheetId="11" state="hidden" r:id="rId6"/>
    <sheet name="VINCKEL SALAIRE HABITUEL" sheetId="27" r:id="rId7"/>
    <sheet name="VINCKEL BULLETIN" sheetId="14" r:id="rId8"/>
    <sheet name="SOREL BULLETIN" sheetId="15" r:id="rId9"/>
    <sheet name="CALENDRIER MARTINEZ" sheetId="23" r:id="rId10"/>
    <sheet name="MARTINEZ BULLETIN " sheetId="25" r:id="rId11"/>
    <sheet name="HERFELD BULLETIN " sheetId="26" r:id="rId12"/>
    <sheet name="LE PRIOL BULLETIN" sheetId="28"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80" i="25" l="1"/>
  <c r="F71" i="25"/>
  <c r="D71" i="25"/>
  <c r="D83" i="28"/>
  <c r="H37" i="22"/>
  <c r="H23" i="22"/>
  <c r="B68" i="28"/>
  <c r="I59" i="28"/>
  <c r="I57" i="28"/>
  <c r="D22" i="28"/>
  <c r="I56" i="28"/>
  <c r="I53" i="28"/>
  <c r="C20" i="28"/>
  <c r="I52" i="28"/>
  <c r="B22" i="28"/>
  <c r="I46" i="28"/>
  <c r="I48" i="28"/>
  <c r="I47" i="28"/>
  <c r="B68" i="25"/>
  <c r="B67" i="25"/>
  <c r="B65" i="25"/>
  <c r="I68" i="25"/>
  <c r="I67" i="25"/>
  <c r="I66" i="25"/>
  <c r="I65" i="25"/>
  <c r="I64" i="25"/>
  <c r="I63" i="25"/>
  <c r="C23" i="25"/>
  <c r="D88" i="15"/>
  <c r="B161" i="15"/>
  <c r="D147" i="15"/>
  <c r="E139" i="15"/>
  <c r="D139" i="15"/>
  <c r="C138" i="15"/>
  <c r="D35" i="14"/>
  <c r="J40" i="14"/>
  <c r="J38" i="14"/>
  <c r="B150" i="14"/>
  <c r="D142" i="14"/>
  <c r="D137" i="14"/>
  <c r="C141" i="27"/>
  <c r="D87" i="12"/>
  <c r="D71" i="12"/>
  <c r="F71" i="12"/>
  <c r="C22" i="28"/>
  <c r="C24" i="28" l="1"/>
  <c r="B20" i="28"/>
  <c r="B25" i="28"/>
  <c r="B24" i="28"/>
  <c r="J43" i="28"/>
  <c r="K43" i="28"/>
  <c r="L43" i="28"/>
  <c r="L42" i="28"/>
  <c r="L41" i="28"/>
  <c r="J42" i="28"/>
  <c r="J41" i="28"/>
  <c r="E45" i="14"/>
  <c r="D116" i="28"/>
  <c r="C94" i="28"/>
  <c r="F70" i="28"/>
  <c r="B60" i="28"/>
  <c r="D60" i="28" s="1"/>
  <c r="E57" i="28"/>
  <c r="F56" i="28"/>
  <c r="B55" i="28"/>
  <c r="D55" i="28" s="1"/>
  <c r="E49" i="28"/>
  <c r="F46" i="28"/>
  <c r="D34" i="28"/>
  <c r="D33" i="28"/>
  <c r="D21" i="28"/>
  <c r="C24" i="25"/>
  <c r="D42" i="25"/>
  <c r="C42" i="25"/>
  <c r="B42" i="25"/>
  <c r="D24" i="25"/>
  <c r="D30" i="15"/>
  <c r="B170" i="15"/>
  <c r="B171" i="15" s="1"/>
  <c r="B164" i="15"/>
  <c r="B165" i="15" s="1"/>
  <c r="B166" i="15" s="1"/>
  <c r="B168" i="15" s="1"/>
  <c r="B156" i="15"/>
  <c r="B157" i="15"/>
  <c r="D146" i="15"/>
  <c r="B147" i="15"/>
  <c r="E138" i="15"/>
  <c r="B146" i="15" s="1"/>
  <c r="B154" i="15" s="1"/>
  <c r="C33" i="14"/>
  <c r="F48" i="12"/>
  <c r="D48" i="12"/>
  <c r="B48" i="12"/>
  <c r="E48" i="12"/>
  <c r="C48" i="12"/>
  <c r="D139" i="14"/>
  <c r="F60" i="28" l="1"/>
  <c r="D24" i="28"/>
  <c r="C25" i="28"/>
  <c r="D25" i="28" s="1"/>
  <c r="F55" i="28"/>
  <c r="B155" i="15"/>
  <c r="B159" i="15" s="1"/>
  <c r="B67" i="28" l="1"/>
  <c r="D67" i="28" s="1"/>
  <c r="D41" i="28"/>
  <c r="B52" i="28" s="1"/>
  <c r="F52" i="28" s="1"/>
  <c r="D68" i="28"/>
  <c r="B160" i="15"/>
  <c r="D29" i="15" l="1"/>
  <c r="B49" i="28"/>
  <c r="F49" i="28" s="1"/>
  <c r="B94" i="28"/>
  <c r="D94" i="28" s="1"/>
  <c r="I22" i="28"/>
  <c r="B51" i="28" s="1"/>
  <c r="F51" i="28" s="1"/>
  <c r="B57" i="28"/>
  <c r="F57" i="28" s="1"/>
  <c r="B48" i="28"/>
  <c r="D48" i="28" s="1"/>
  <c r="B45" i="28"/>
  <c r="F45" i="28" s="1"/>
  <c r="B59" i="28"/>
  <c r="F59" i="28" s="1"/>
  <c r="B107" i="28"/>
  <c r="D107" i="28" s="1"/>
  <c r="B117" i="28"/>
  <c r="D52" i="28"/>
  <c r="B53" i="28" l="1"/>
  <c r="D53" i="28" s="1"/>
  <c r="I23" i="28"/>
  <c r="B54" i="28" s="1"/>
  <c r="F54" i="28" s="1"/>
  <c r="D51" i="28"/>
  <c r="F48" i="28"/>
  <c r="B102" i="28"/>
  <c r="D102" i="28" s="1"/>
  <c r="D104" i="28" s="1"/>
  <c r="F61" i="28" s="1"/>
  <c r="B108" i="28"/>
  <c r="D108" i="28" s="1"/>
  <c r="D117" i="28"/>
  <c r="B118" i="28"/>
  <c r="D118" i="28" s="1"/>
  <c r="F53" i="28"/>
  <c r="I58" i="28" l="1"/>
  <c r="D54" i="28"/>
  <c r="B47" i="28"/>
  <c r="D119" i="28"/>
  <c r="D88" i="28" s="1"/>
  <c r="F71" i="28"/>
  <c r="D89" i="28" s="1"/>
  <c r="B65" i="28" l="1"/>
  <c r="B66" i="28" s="1"/>
  <c r="D65" i="28" l="1"/>
  <c r="B109" i="28"/>
  <c r="D109" i="28" s="1"/>
  <c r="D111" i="28" s="1"/>
  <c r="F81" i="28" s="1"/>
  <c r="D66" i="28"/>
  <c r="D71" i="28" l="1"/>
  <c r="F80" i="28" s="1"/>
  <c r="D134" i="27"/>
  <c r="D133" i="27"/>
  <c r="D132" i="27"/>
  <c r="D131" i="27"/>
  <c r="E131" i="27" s="1"/>
  <c r="C131" i="27"/>
  <c r="C132" i="27" s="1"/>
  <c r="C133" i="27" s="1"/>
  <c r="C134" i="27" s="1"/>
  <c r="D123" i="27"/>
  <c r="D124" i="27" s="1"/>
  <c r="D119" i="27"/>
  <c r="D111" i="27"/>
  <c r="D112" i="27" s="1"/>
  <c r="B98" i="27"/>
  <c r="D98" i="27" s="1"/>
  <c r="C76" i="27"/>
  <c r="B70" i="27"/>
  <c r="F70" i="27" s="1"/>
  <c r="B60" i="27"/>
  <c r="F60" i="27" s="1"/>
  <c r="E57" i="27"/>
  <c r="F56" i="27"/>
  <c r="B55" i="27"/>
  <c r="F55" i="27" s="1"/>
  <c r="E49" i="27"/>
  <c r="F46" i="27"/>
  <c r="D37" i="27"/>
  <c r="C35" i="27"/>
  <c r="D35" i="27" s="1"/>
  <c r="C34" i="27"/>
  <c r="D34" i="27" s="1"/>
  <c r="C33" i="27"/>
  <c r="D33" i="27" s="1"/>
  <c r="D31" i="27"/>
  <c r="D30" i="27"/>
  <c r="D27" i="27"/>
  <c r="C25" i="27"/>
  <c r="D25" i="27" s="1"/>
  <c r="C24" i="27"/>
  <c r="D24" i="27" s="1"/>
  <c r="D22" i="27"/>
  <c r="D21" i="27"/>
  <c r="C20" i="27"/>
  <c r="D129" i="14"/>
  <c r="D130" i="14" s="1"/>
  <c r="J76" i="14" s="1"/>
  <c r="B84" i="28" l="1"/>
  <c r="D84" i="28" s="1"/>
  <c r="D87" i="28" s="1"/>
  <c r="F131" i="27"/>
  <c r="G131" i="27" s="1"/>
  <c r="H131" i="27" s="1"/>
  <c r="J77" i="14"/>
  <c r="J78" i="14" s="1"/>
  <c r="J79" i="14" s="1"/>
  <c r="D131" i="14"/>
  <c r="B152" i="14" s="1"/>
  <c r="D132" i="14"/>
  <c r="D77" i="14" s="1"/>
  <c r="D143" i="14"/>
  <c r="D144" i="14" s="1"/>
  <c r="E132" i="27"/>
  <c r="F132" i="27" s="1"/>
  <c r="G132" i="27" s="1"/>
  <c r="H132" i="27" s="1"/>
  <c r="D41" i="27"/>
  <c r="B48" i="27" s="1"/>
  <c r="B68" i="27"/>
  <c r="D68" i="27" s="1"/>
  <c r="D55" i="27"/>
  <c r="B67" i="27"/>
  <c r="D67" i="27" s="1"/>
  <c r="D60" i="27"/>
  <c r="B159" i="12"/>
  <c r="C84" i="25"/>
  <c r="C85" i="15"/>
  <c r="C84" i="14"/>
  <c r="C84" i="12"/>
  <c r="F48" i="27" l="1"/>
  <c r="D48" i="27"/>
  <c r="E133" i="27"/>
  <c r="F133" i="27" s="1"/>
  <c r="G133" i="27" s="1"/>
  <c r="H133" i="27" s="1"/>
  <c r="D135" i="27"/>
  <c r="B99" i="27"/>
  <c r="B76" i="27"/>
  <c r="D76" i="27" s="1"/>
  <c r="B59" i="27"/>
  <c r="F59" i="27" s="1"/>
  <c r="B52" i="27"/>
  <c r="B45" i="27"/>
  <c r="F45" i="27" s="1"/>
  <c r="B57" i="27"/>
  <c r="F57" i="27" s="1"/>
  <c r="B135" i="27"/>
  <c r="C135" i="27" s="1"/>
  <c r="B89" i="27"/>
  <c r="B65" i="27"/>
  <c r="B49" i="27"/>
  <c r="F49" i="27" s="1"/>
  <c r="I22" i="27"/>
  <c r="I23" i="27" s="1"/>
  <c r="E134" i="27"/>
  <c r="F134" i="27" s="1"/>
  <c r="G134" i="27" s="1"/>
  <c r="H134" i="27" s="1"/>
  <c r="B24" i="25"/>
  <c r="B70" i="25" s="1"/>
  <c r="F70" i="25" s="1"/>
  <c r="D23" i="25"/>
  <c r="B23" i="25"/>
  <c r="C96" i="25"/>
  <c r="B60" i="25"/>
  <c r="F60" i="25" s="1"/>
  <c r="E57" i="25"/>
  <c r="F56" i="25"/>
  <c r="B55" i="25"/>
  <c r="D55" i="25" s="1"/>
  <c r="D54" i="25"/>
  <c r="B54" i="25"/>
  <c r="F54" i="25" s="1"/>
  <c r="E49" i="25"/>
  <c r="B47" i="25"/>
  <c r="F46" i="25"/>
  <c r="E45" i="25"/>
  <c r="D37" i="25"/>
  <c r="C37" i="25"/>
  <c r="B37" i="25"/>
  <c r="D30" i="25"/>
  <c r="D27" i="25"/>
  <c r="C25" i="25"/>
  <c r="D25" i="25" s="1"/>
  <c r="D21" i="25"/>
  <c r="C20" i="25"/>
  <c r="E37" i="23"/>
  <c r="F37" i="23"/>
  <c r="D37" i="23"/>
  <c r="E8" i="23"/>
  <c r="D162" i="14"/>
  <c r="D161" i="14"/>
  <c r="D160" i="14"/>
  <c r="D159" i="14"/>
  <c r="E159" i="14" s="1"/>
  <c r="C159" i="14"/>
  <c r="C160" i="14" s="1"/>
  <c r="C161" i="14" s="1"/>
  <c r="C162" i="14" s="1"/>
  <c r="D149" i="15"/>
  <c r="D148" i="15"/>
  <c r="E146" i="15"/>
  <c r="C146" i="15"/>
  <c r="C147" i="15" s="1"/>
  <c r="C148" i="15" s="1"/>
  <c r="C149" i="15" s="1"/>
  <c r="D134" i="12"/>
  <c r="D133" i="12"/>
  <c r="D150" i="12"/>
  <c r="D151" i="12"/>
  <c r="D152" i="12"/>
  <c r="D149" i="12"/>
  <c r="D33" i="14"/>
  <c r="E131" i="15"/>
  <c r="C131" i="15"/>
  <c r="C132" i="15" s="1"/>
  <c r="C133" i="15" s="1"/>
  <c r="D129" i="12"/>
  <c r="D130" i="12" s="1"/>
  <c r="C22" i="15"/>
  <c r="D22" i="15" s="1"/>
  <c r="F146" i="15" l="1"/>
  <c r="G146" i="15" s="1"/>
  <c r="H146" i="15" s="1"/>
  <c r="B47" i="27"/>
  <c r="B54" i="27"/>
  <c r="B90" i="27"/>
  <c r="D90" i="27" s="1"/>
  <c r="D89" i="27"/>
  <c r="B84" i="27"/>
  <c r="D84" i="27" s="1"/>
  <c r="D86" i="27" s="1"/>
  <c r="F61" i="27" s="1"/>
  <c r="B53" i="27"/>
  <c r="B51" i="27"/>
  <c r="D99" i="27"/>
  <c r="B100" i="27"/>
  <c r="D100" i="27" s="1"/>
  <c r="B66" i="27"/>
  <c r="D65" i="27"/>
  <c r="D52" i="27"/>
  <c r="F52" i="27"/>
  <c r="E135" i="27"/>
  <c r="F135" i="27" s="1"/>
  <c r="G135" i="27" s="1"/>
  <c r="H135" i="27" s="1"/>
  <c r="F159" i="14"/>
  <c r="G159" i="14" s="1"/>
  <c r="H159" i="14" s="1"/>
  <c r="D136" i="12"/>
  <c r="D137" i="12" s="1"/>
  <c r="D139" i="12" s="1"/>
  <c r="E147" i="15"/>
  <c r="F147" i="15" s="1"/>
  <c r="G147" i="15" s="1"/>
  <c r="F55" i="25"/>
  <c r="D60" i="25"/>
  <c r="B118" i="25"/>
  <c r="D118" i="25" s="1"/>
  <c r="D68" i="25"/>
  <c r="E160" i="14"/>
  <c r="C34" i="14"/>
  <c r="D34" i="14" s="1"/>
  <c r="C31" i="12"/>
  <c r="D31" i="12" s="1"/>
  <c r="E132" i="15"/>
  <c r="F131" i="15"/>
  <c r="G131" i="15" s="1"/>
  <c r="H131" i="15" s="1"/>
  <c r="C134" i="15"/>
  <c r="E57" i="12"/>
  <c r="E57" i="14"/>
  <c r="E58" i="15"/>
  <c r="B119" i="15"/>
  <c r="D119" i="15" s="1"/>
  <c r="C97" i="15"/>
  <c r="B71" i="15"/>
  <c r="F71" i="15" s="1"/>
  <c r="F57" i="15"/>
  <c r="E50" i="15"/>
  <c r="F46" i="15"/>
  <c r="E45" i="15"/>
  <c r="C37" i="15"/>
  <c r="B37" i="15"/>
  <c r="D27" i="15"/>
  <c r="C25" i="15"/>
  <c r="D25" i="15" s="1"/>
  <c r="C24" i="15"/>
  <c r="D24" i="15" s="1"/>
  <c r="D21" i="15"/>
  <c r="C20" i="15"/>
  <c r="C37" i="12"/>
  <c r="B37" i="12"/>
  <c r="B116" i="14"/>
  <c r="D116" i="14" s="1"/>
  <c r="C94" i="14"/>
  <c r="B70" i="14"/>
  <c r="F70" i="14" s="1"/>
  <c r="F56" i="14"/>
  <c r="E49" i="14"/>
  <c r="C25" i="14"/>
  <c r="C24" i="14"/>
  <c r="D21" i="14"/>
  <c r="C20" i="14"/>
  <c r="E149" i="12"/>
  <c r="B118" i="12"/>
  <c r="D118" i="12" s="1"/>
  <c r="C96" i="12"/>
  <c r="B70" i="12"/>
  <c r="F70" i="12" s="1"/>
  <c r="B60" i="12"/>
  <c r="F60" i="12" s="1"/>
  <c r="F56" i="12"/>
  <c r="B55" i="12"/>
  <c r="F55" i="12" s="1"/>
  <c r="B54" i="12"/>
  <c r="D54" i="12" s="1"/>
  <c r="E49" i="12"/>
  <c r="B47" i="12"/>
  <c r="E45" i="12"/>
  <c r="D27" i="12"/>
  <c r="C25" i="12"/>
  <c r="D25" i="12" s="1"/>
  <c r="C24" i="12"/>
  <c r="D24" i="12" s="1"/>
  <c r="D22" i="12"/>
  <c r="D21" i="12"/>
  <c r="C20" i="12"/>
  <c r="E148" i="15" l="1"/>
  <c r="F148" i="15" s="1"/>
  <c r="G148" i="15" s="1"/>
  <c r="H148" i="15" s="1"/>
  <c r="D41" i="14"/>
  <c r="D97" i="27"/>
  <c r="D101" i="27" s="1"/>
  <c r="F69" i="27"/>
  <c r="D66" i="27"/>
  <c r="B91" i="27"/>
  <c r="D91" i="27" s="1"/>
  <c r="D93" i="27" s="1"/>
  <c r="D53" i="27"/>
  <c r="F53" i="27"/>
  <c r="F54" i="27"/>
  <c r="D54" i="27"/>
  <c r="F51" i="27"/>
  <c r="D51" i="27"/>
  <c r="F160" i="14"/>
  <c r="G160" i="14" s="1"/>
  <c r="H160" i="14" s="1"/>
  <c r="E161" i="14"/>
  <c r="F161" i="14" s="1"/>
  <c r="G161" i="14" s="1"/>
  <c r="E150" i="12"/>
  <c r="E151" i="12" s="1"/>
  <c r="B68" i="15"/>
  <c r="D68" i="15" s="1"/>
  <c r="E149" i="15"/>
  <c r="E150" i="15" s="1"/>
  <c r="D67" i="25"/>
  <c r="D41" i="25"/>
  <c r="H147" i="15"/>
  <c r="D140" i="12"/>
  <c r="E133" i="15"/>
  <c r="F132" i="15"/>
  <c r="G132" i="15" s="1"/>
  <c r="H132" i="15" s="1"/>
  <c r="B67" i="12"/>
  <c r="D37" i="12"/>
  <c r="D37" i="15"/>
  <c r="D41" i="15" s="1"/>
  <c r="B69" i="15"/>
  <c r="D69" i="15" s="1"/>
  <c r="B68" i="14"/>
  <c r="D68" i="14" s="1"/>
  <c r="B67" i="14"/>
  <c r="D67" i="14" s="1"/>
  <c r="F54" i="12"/>
  <c r="B68" i="12"/>
  <c r="D68" i="12" s="1"/>
  <c r="D67" i="12"/>
  <c r="D55" i="12"/>
  <c r="D60" i="12"/>
  <c r="B49" i="25" l="1"/>
  <c r="F49" i="25" s="1"/>
  <c r="B48" i="25"/>
  <c r="B109" i="25"/>
  <c r="B96" i="25"/>
  <c r="B48" i="15"/>
  <c r="B120" i="15"/>
  <c r="B97" i="15"/>
  <c r="B110" i="15"/>
  <c r="B111" i="15" s="1"/>
  <c r="F149" i="15"/>
  <c r="G149" i="15" s="1"/>
  <c r="H149" i="15" s="1"/>
  <c r="D71" i="27"/>
  <c r="C74" i="27" s="1"/>
  <c r="D145" i="14" s="1"/>
  <c r="F71" i="27"/>
  <c r="H161" i="14"/>
  <c r="E162" i="14"/>
  <c r="F162" i="14" s="1"/>
  <c r="G162" i="14" s="1"/>
  <c r="H162" i="14" s="1"/>
  <c r="C30" i="12"/>
  <c r="D30" i="12" s="1"/>
  <c r="B57" i="25"/>
  <c r="F57" i="25" s="1"/>
  <c r="I22" i="25"/>
  <c r="B52" i="25"/>
  <c r="F52" i="25" s="1"/>
  <c r="B135" i="15"/>
  <c r="C135" i="15" s="1"/>
  <c r="B150" i="15"/>
  <c r="C150" i="15" s="1"/>
  <c r="B59" i="25"/>
  <c r="F59" i="25" s="1"/>
  <c r="B45" i="25"/>
  <c r="F45" i="25" s="1"/>
  <c r="D109" i="25"/>
  <c r="E134" i="15"/>
  <c r="F133" i="15"/>
  <c r="G133" i="15" s="1"/>
  <c r="H133" i="15" s="1"/>
  <c r="B55" i="14"/>
  <c r="B60" i="14"/>
  <c r="B61" i="15"/>
  <c r="F61" i="15" s="1"/>
  <c r="B56" i="15"/>
  <c r="D56" i="15" s="1"/>
  <c r="B47" i="15"/>
  <c r="B50" i="15"/>
  <c r="F50" i="15" s="1"/>
  <c r="B60" i="15"/>
  <c r="F60" i="15" s="1"/>
  <c r="B45" i="15"/>
  <c r="F45" i="15" s="1"/>
  <c r="B53" i="15"/>
  <c r="D53" i="15" s="1"/>
  <c r="B58" i="15"/>
  <c r="F58" i="15" s="1"/>
  <c r="D97" i="15"/>
  <c r="B55" i="15"/>
  <c r="C149" i="12"/>
  <c r="F149" i="12" s="1"/>
  <c r="F46" i="14"/>
  <c r="E152" i="12"/>
  <c r="D48" i="25" l="1"/>
  <c r="F48" i="25"/>
  <c r="D65" i="25" s="1"/>
  <c r="B110" i="25"/>
  <c r="D110" i="25" s="1"/>
  <c r="B119" i="25"/>
  <c r="D119" i="25" s="1"/>
  <c r="D88" i="25" s="1"/>
  <c r="F150" i="15"/>
  <c r="G150" i="15" s="1"/>
  <c r="H150" i="15" s="1"/>
  <c r="F48" i="15"/>
  <c r="B66" i="15" s="1"/>
  <c r="D66" i="15" s="1"/>
  <c r="D48" i="15"/>
  <c r="D41" i="12"/>
  <c r="B52" i="12" s="1"/>
  <c r="D96" i="25"/>
  <c r="B104" i="25"/>
  <c r="D52" i="25"/>
  <c r="B66" i="25"/>
  <c r="D66" i="25" s="1"/>
  <c r="B120" i="25"/>
  <c r="D120" i="25" s="1"/>
  <c r="E135" i="15"/>
  <c r="F135" i="15" s="1"/>
  <c r="F134" i="15"/>
  <c r="G134" i="15" s="1"/>
  <c r="H134" i="15" s="1"/>
  <c r="D61" i="15"/>
  <c r="D111" i="15"/>
  <c r="B121" i="15"/>
  <c r="D121" i="15" s="1"/>
  <c r="D110" i="15"/>
  <c r="F53" i="15"/>
  <c r="D60" i="14"/>
  <c r="F60" i="14"/>
  <c r="F55" i="14"/>
  <c r="D55" i="14"/>
  <c r="F56" i="15"/>
  <c r="D55" i="15"/>
  <c r="F55" i="15"/>
  <c r="C150" i="12"/>
  <c r="F150" i="12" s="1"/>
  <c r="G149" i="12"/>
  <c r="H149" i="12" s="1"/>
  <c r="E153" i="12"/>
  <c r="F70" i="15" l="1"/>
  <c r="D118" i="15"/>
  <c r="B67" i="15"/>
  <c r="B112" i="15" s="1"/>
  <c r="D112" i="15" s="1"/>
  <c r="D114" i="15" s="1"/>
  <c r="F82" i="15" s="1"/>
  <c r="D52" i="12"/>
  <c r="F52" i="12"/>
  <c r="I22" i="12"/>
  <c r="B53" i="12" s="1"/>
  <c r="F53" i="12" s="1"/>
  <c r="B65" i="12"/>
  <c r="D65" i="12" s="1"/>
  <c r="B153" i="12"/>
  <c r="B57" i="12"/>
  <c r="F57" i="12" s="1"/>
  <c r="B59" i="12"/>
  <c r="F59" i="12" s="1"/>
  <c r="B45" i="12"/>
  <c r="F45" i="12" s="1"/>
  <c r="B49" i="12"/>
  <c r="F49" i="12" s="1"/>
  <c r="B109" i="12"/>
  <c r="B110" i="12" s="1"/>
  <c r="D110" i="12" s="1"/>
  <c r="B96" i="12"/>
  <c r="B119" i="12"/>
  <c r="D119" i="12" s="1"/>
  <c r="B111" i="25"/>
  <c r="D111" i="25" s="1"/>
  <c r="D113" i="25" s="1"/>
  <c r="F81" i="25" s="1"/>
  <c r="D121" i="25"/>
  <c r="D109" i="12"/>
  <c r="D96" i="12"/>
  <c r="G135" i="15"/>
  <c r="D120" i="15"/>
  <c r="C151" i="12"/>
  <c r="F151" i="12" s="1"/>
  <c r="G150" i="12"/>
  <c r="H150" i="12" s="1"/>
  <c r="D67" i="15" l="1"/>
  <c r="B120" i="12"/>
  <c r="D120" i="12" s="1"/>
  <c r="B104" i="12"/>
  <c r="D104" i="12" s="1"/>
  <c r="D53" i="12"/>
  <c r="B51" i="12"/>
  <c r="B66" i="12"/>
  <c r="B46" i="12"/>
  <c r="D106" i="12"/>
  <c r="F61" i="12" s="1"/>
  <c r="D104" i="25"/>
  <c r="D106" i="25" s="1"/>
  <c r="F61" i="25" s="1"/>
  <c r="B53" i="25"/>
  <c r="B51" i="25"/>
  <c r="H135" i="15"/>
  <c r="I22" i="15"/>
  <c r="C152" i="12"/>
  <c r="F152" i="12" s="1"/>
  <c r="G151" i="12"/>
  <c r="H151" i="12" s="1"/>
  <c r="F51" i="12" l="1"/>
  <c r="D51" i="12"/>
  <c r="D66" i="12"/>
  <c r="B111" i="12"/>
  <c r="D111" i="12" s="1"/>
  <c r="D113" i="12" s="1"/>
  <c r="F81" i="12" s="1"/>
  <c r="D53" i="25"/>
  <c r="F53" i="25"/>
  <c r="F51" i="25"/>
  <c r="D51" i="25"/>
  <c r="B52" i="15"/>
  <c r="B105" i="15"/>
  <c r="D105" i="15" s="1"/>
  <c r="D107" i="15" s="1"/>
  <c r="F62" i="15" s="1"/>
  <c r="B54" i="15"/>
  <c r="C153" i="12"/>
  <c r="G152" i="12"/>
  <c r="H152" i="12" s="1"/>
  <c r="B91" i="12" l="1"/>
  <c r="F153" i="12"/>
  <c r="G153" i="12" s="1"/>
  <c r="H153" i="12" s="1"/>
  <c r="I26" i="12" s="1"/>
  <c r="D89" i="25"/>
  <c r="D52" i="15"/>
  <c r="F52" i="15"/>
  <c r="F54" i="15"/>
  <c r="D54" i="15"/>
  <c r="D83" i="25" l="1"/>
  <c r="B84" i="25" s="1"/>
  <c r="D84" i="25" s="1"/>
  <c r="B160" i="12"/>
  <c r="D83" i="12"/>
  <c r="B84" i="12" s="1"/>
  <c r="D84" i="12" s="1"/>
  <c r="B91" i="25"/>
  <c r="D72" i="15"/>
  <c r="F72" i="15"/>
  <c r="D90" i="15" s="1"/>
  <c r="D122" i="15"/>
  <c r="D117" i="12"/>
  <c r="D121" i="12" s="1"/>
  <c r="D88" i="12" s="1"/>
  <c r="F69" i="12"/>
  <c r="D89" i="12" s="1"/>
  <c r="D87" i="25" l="1"/>
  <c r="F81" i="15"/>
  <c r="B92" i="15"/>
  <c r="D84" i="15"/>
  <c r="B85" i="15" s="1"/>
  <c r="D85" i="15" s="1"/>
  <c r="B161" i="12"/>
  <c r="B162" i="12" s="1"/>
  <c r="B169" i="12" s="1"/>
  <c r="D169" i="12" s="1"/>
  <c r="E169" i="12" s="1"/>
  <c r="D75" i="12" s="1"/>
  <c r="F80" i="12" s="1"/>
  <c r="B49" i="14" l="1"/>
  <c r="F49" i="14" s="1"/>
  <c r="B163" i="14"/>
  <c r="B52" i="14"/>
  <c r="F52" i="14" s="1"/>
  <c r="B59" i="14"/>
  <c r="F59" i="14" s="1"/>
  <c r="B107" i="14"/>
  <c r="D107" i="14" s="1"/>
  <c r="I22" i="14"/>
  <c r="I23" i="14" s="1"/>
  <c r="B48" i="14"/>
  <c r="D48" i="14" s="1"/>
  <c r="B117" i="14"/>
  <c r="B118" i="14" s="1"/>
  <c r="D118" i="14" s="1"/>
  <c r="B94" i="14"/>
  <c r="D94" i="14" s="1"/>
  <c r="B57" i="14"/>
  <c r="F57" i="14" s="1"/>
  <c r="B45" i="14"/>
  <c r="F45" i="14" s="1"/>
  <c r="D117" i="14" l="1"/>
  <c r="B108" i="14"/>
  <c r="D108" i="14" s="1"/>
  <c r="C163" i="14"/>
  <c r="D163" i="14"/>
  <c r="E163" i="14" s="1"/>
  <c r="F163" i="14" s="1"/>
  <c r="G163" i="14" s="1"/>
  <c r="H163" i="14" s="1"/>
  <c r="D115" i="14" s="1"/>
  <c r="D119" i="14" s="1"/>
  <c r="D88" i="14" s="1"/>
  <c r="D52" i="14"/>
  <c r="B54" i="14"/>
  <c r="B47" i="14"/>
  <c r="B102" i="14"/>
  <c r="D102" i="14" s="1"/>
  <c r="D104" i="14" s="1"/>
  <c r="F61" i="14" s="1"/>
  <c r="B53" i="14"/>
  <c r="F48" i="14"/>
  <c r="B51" i="14"/>
  <c r="F69" i="14" l="1"/>
  <c r="D53" i="14"/>
  <c r="F53" i="14"/>
  <c r="D51" i="14"/>
  <c r="F51" i="14"/>
  <c r="B65" i="14"/>
  <c r="F54" i="14"/>
  <c r="D54" i="14"/>
  <c r="F71" i="14" l="1"/>
  <c r="D89" i="14" s="1"/>
  <c r="D65" i="14"/>
  <c r="B66" i="14"/>
  <c r="D66" i="14" l="1"/>
  <c r="B109" i="14"/>
  <c r="D109" i="14" s="1"/>
  <c r="D111" i="14" s="1"/>
  <c r="F81" i="14" s="1"/>
  <c r="D71" i="14" l="1"/>
  <c r="F80" i="14" s="1"/>
  <c r="B149" i="14" s="1"/>
  <c r="B151" i="14" s="1"/>
  <c r="D83" i="14" l="1"/>
  <c r="J75" i="14" l="1"/>
  <c r="J80" i="14" s="1"/>
  <c r="B84" i="14" s="1"/>
  <c r="D84" i="14" s="1"/>
  <c r="D87" i="14" s="1"/>
</calcChain>
</file>

<file path=xl/sharedStrings.xml><?xml version="1.0" encoding="utf-8"?>
<sst xmlns="http://schemas.openxmlformats.org/spreadsheetml/2006/main" count="1187" uniqueCount="385">
  <si>
    <t>Entrée dans la société</t>
  </si>
  <si>
    <t>Contrat</t>
  </si>
  <si>
    <t>CDI</t>
  </si>
  <si>
    <t>Durée hebdomadaire</t>
  </si>
  <si>
    <t>Statut</t>
  </si>
  <si>
    <t>Non-cadre</t>
  </si>
  <si>
    <t>Cadre</t>
  </si>
  <si>
    <t>Salaire de base</t>
  </si>
  <si>
    <t>Sortie de la société</t>
  </si>
  <si>
    <t>Fiches résumées des salariés</t>
  </si>
  <si>
    <t>CONDITIONS PARTICULIERES</t>
  </si>
  <si>
    <t>Prime d'ancienneté</t>
  </si>
  <si>
    <t>Changement de taux</t>
  </si>
  <si>
    <t>Assiette de calcul</t>
  </si>
  <si>
    <t>Salaire de base minimum de la catégorie</t>
  </si>
  <si>
    <t>Taux</t>
  </si>
  <si>
    <t>Pas de prime</t>
  </si>
  <si>
    <t>&gt; 10 ans</t>
  </si>
  <si>
    <t>Salaire minimum de la catégorie du salarié</t>
  </si>
  <si>
    <t>Horaires</t>
  </si>
  <si>
    <t>7 h / jour
lundi à vendredi</t>
  </si>
  <si>
    <t>Fériés</t>
  </si>
  <si>
    <t>Chomés et payés</t>
  </si>
  <si>
    <t>Absences</t>
  </si>
  <si>
    <t>Heures supplémentaires à 150%</t>
  </si>
  <si>
    <t>Salaire brut</t>
  </si>
  <si>
    <t>SANTE</t>
  </si>
  <si>
    <t xml:space="preserve">Complémentaire santé </t>
  </si>
  <si>
    <t xml:space="preserve">Accident du travail - Maladies professionnelles </t>
  </si>
  <si>
    <t>Retraite</t>
  </si>
  <si>
    <t>Total de cotisations et contributions</t>
  </si>
  <si>
    <t>NET A PAYER AVANT IMPOT SUR LE REVENU</t>
  </si>
  <si>
    <t>dont évolution de la rémunération liée à la suppression des cotisations chômage et maladie</t>
  </si>
  <si>
    <t>IMPOT SUR LE REVENU</t>
  </si>
  <si>
    <t>Bases</t>
  </si>
  <si>
    <t>Assiettes</t>
  </si>
  <si>
    <t>Retenues
salariales</t>
  </si>
  <si>
    <t>Retenues
patronales</t>
  </si>
  <si>
    <t>1,50% sur TA cadres uniquement</t>
  </si>
  <si>
    <t>Prévoyance patronale</t>
  </si>
  <si>
    <t>Mutuelle salariale</t>
  </si>
  <si>
    <t>Mutuelle patronale</t>
  </si>
  <si>
    <t>Prévoyances et mutuelles</t>
  </si>
  <si>
    <t>Taux de prélèvement à la source</t>
  </si>
  <si>
    <t>Personnes assurées par mutuelle</t>
  </si>
  <si>
    <t>Mois suivant date anniversaire de la date d'embauche</t>
  </si>
  <si>
    <t>ICCP</t>
  </si>
  <si>
    <t xml:space="preserve">Autres contributions dues par l'employeur </t>
  </si>
  <si>
    <t xml:space="preserve">Sécurité sociale plafonnée </t>
  </si>
  <si>
    <t xml:space="preserve">Assurance chômage </t>
  </si>
  <si>
    <t>Sécurité sociale déplafonnée</t>
  </si>
  <si>
    <t>Complémentaire Tranche 1</t>
  </si>
  <si>
    <t>Férié chomé et payé</t>
  </si>
  <si>
    <t>Dialogue social : 0,016%</t>
  </si>
  <si>
    <t>Solidarité autonomie : 0,30%</t>
  </si>
  <si>
    <t>Apprentissage : 0,68%</t>
  </si>
  <si>
    <t>Fnal 0,10% sur TA</t>
  </si>
  <si>
    <t>AU TOTAL</t>
  </si>
  <si>
    <t xml:space="preserve"> Rubrique dont évolution de la rémunération liée à la suppression des cotisations chômage et maladie</t>
  </si>
  <si>
    <t>Assurance chômage</t>
  </si>
  <si>
    <t>Maladie</t>
  </si>
  <si>
    <t>CSG CRDS</t>
  </si>
  <si>
    <t>Rubrique d'évolution</t>
  </si>
  <si>
    <t>Réduction générale de cotisation</t>
  </si>
  <si>
    <t>Abattement sur heures supplémentaires</t>
  </si>
  <si>
    <t>Allègement dû à la réduction d'allocation familiale</t>
  </si>
  <si>
    <t>Allègement dû à la réduction de cotisation maladie</t>
  </si>
  <si>
    <t>Allègement total</t>
  </si>
  <si>
    <t xml:space="preserve"> Rubrique Allègement de cotisations employeur</t>
  </si>
  <si>
    <t>5 à 10 ans</t>
  </si>
  <si>
    <t>Ancienneté &lt;  5 ans</t>
  </si>
  <si>
    <t>jeudi</t>
  </si>
  <si>
    <t>vendredi</t>
  </si>
  <si>
    <t>lundi</t>
  </si>
  <si>
    <t>mardi</t>
  </si>
  <si>
    <t>mercredi</t>
  </si>
  <si>
    <t>MOIS</t>
  </si>
  <si>
    <t>Calendrier de travail du mois de mai</t>
  </si>
  <si>
    <t>BULLETIN DE SALAIRE</t>
  </si>
  <si>
    <t>Employeur</t>
  </si>
  <si>
    <t>Salarié</t>
  </si>
  <si>
    <t>Nom :</t>
  </si>
  <si>
    <t>Adresse  :</t>
  </si>
  <si>
    <t>Complément :</t>
  </si>
  <si>
    <t>N° de S.S. :</t>
  </si>
  <si>
    <t>Adresse :</t>
  </si>
  <si>
    <t>Code postal :</t>
  </si>
  <si>
    <t>Ville :</t>
  </si>
  <si>
    <t>CP/ Ville</t>
  </si>
  <si>
    <t>N° SIRET :</t>
  </si>
  <si>
    <t>Emploi :</t>
  </si>
  <si>
    <t>Code NAF(APE) :</t>
  </si>
  <si>
    <t>Contrat :</t>
  </si>
  <si>
    <t>Site d'emploi :</t>
  </si>
  <si>
    <t>Position :</t>
  </si>
  <si>
    <t>Effectif :</t>
  </si>
  <si>
    <t>Embauche :</t>
  </si>
  <si>
    <t>Convention collective :</t>
  </si>
  <si>
    <t>Horaire mensualisé :</t>
  </si>
  <si>
    <t>Autre :</t>
  </si>
  <si>
    <t>Période du :</t>
  </si>
  <si>
    <t>Eléments de revenu brut</t>
  </si>
  <si>
    <t>Nombre/Base</t>
  </si>
  <si>
    <t>Taux/Val unitaire</t>
  </si>
  <si>
    <t>Montants</t>
  </si>
  <si>
    <t xml:space="preserve">Taux de cotisation patronale de maladie </t>
  </si>
  <si>
    <t xml:space="preserve">Taux de cotisation patronale d'allocations familiales </t>
  </si>
  <si>
    <t>Avantage en nature</t>
  </si>
  <si>
    <t>Taux d'accident du travail</t>
  </si>
  <si>
    <t xml:space="preserve">Tranche 1  </t>
  </si>
  <si>
    <t>Tranche 2</t>
  </si>
  <si>
    <t>Heures supplémentaires à 125%</t>
  </si>
  <si>
    <t>Assiette de cotisations equilibre technique CET</t>
  </si>
  <si>
    <t>Assiette de cotisation APEC</t>
  </si>
  <si>
    <t>Réduction générale de cotisations patronales</t>
  </si>
  <si>
    <t>Bonification travail férié ou week end</t>
  </si>
  <si>
    <t>Assiette de prime ancienneté</t>
  </si>
  <si>
    <t>Taux de prime d'ancienneté</t>
  </si>
  <si>
    <t>Indemnité pour congés payés</t>
  </si>
  <si>
    <t>Retenue sur congés payés</t>
  </si>
  <si>
    <t>Assiette prévoyance salariale</t>
  </si>
  <si>
    <t>Retenue absence arrêt de travail</t>
  </si>
  <si>
    <t>Assiette prevoyance patronale</t>
  </si>
  <si>
    <t xml:space="preserve">IJSS </t>
  </si>
  <si>
    <t>Maintien de salaire</t>
  </si>
  <si>
    <t>Indemnité de précarité</t>
  </si>
  <si>
    <t>Cotisations et contributions sociales</t>
  </si>
  <si>
    <t>Sécurité sociale - Maladie - Maternité - Invalidité décès</t>
  </si>
  <si>
    <t>Complémentaire incapacité invalidité décès Tranche 1</t>
  </si>
  <si>
    <t>Complémentaire incapacité invalidité décès Tranche 2</t>
  </si>
  <si>
    <r>
      <t>Complémentaire Tranche 2</t>
    </r>
    <r>
      <rPr>
        <sz val="11"/>
        <color rgb="FFFF0000"/>
        <rFont val="Trebuchet MS"/>
        <family val="2"/>
      </rPr>
      <t xml:space="preserve"> </t>
    </r>
  </si>
  <si>
    <t>Contribution équilibre technique CET</t>
  </si>
  <si>
    <t>Retraite Supplémentaire</t>
  </si>
  <si>
    <t xml:space="preserve"> Famille </t>
  </si>
  <si>
    <t xml:space="preserve">Chômage </t>
  </si>
  <si>
    <t>APEC (Cadres)</t>
  </si>
  <si>
    <t>Cotisations statutaires ou prévues par la convnetion collective</t>
  </si>
  <si>
    <t>CSG déductible de l'impôt sur le revenu</t>
  </si>
  <si>
    <t>CSG CRDS non-déductible de l'impôt sur le revenu</t>
  </si>
  <si>
    <t>CSG/CRDS non-déductibles de l'impôt sur le revenu sur heures supplémentaires</t>
  </si>
  <si>
    <t>Réduction cotisations heures supplémentaires</t>
  </si>
  <si>
    <t>réduction générale de cotisations patronales de Sécurité Sociale</t>
  </si>
  <si>
    <t>Exonération de cotisation employeur sur heures supplémentaires</t>
  </si>
  <si>
    <t>Acompte</t>
  </si>
  <si>
    <t>Saisie sur salaires</t>
  </si>
  <si>
    <t>Titres repas</t>
  </si>
  <si>
    <t>Montant</t>
  </si>
  <si>
    <t>Salaires bruts</t>
  </si>
  <si>
    <t>Salaires imposables</t>
  </si>
  <si>
    <t>Dans votre intérêt et pour vous aider à faire valoir vos droits, conserver ce bulletin de paie sans limitation de durée</t>
  </si>
  <si>
    <t>versement mobilité :</t>
  </si>
  <si>
    <t>Formation :0,55%</t>
  </si>
  <si>
    <t>Construction : 0,45%</t>
  </si>
  <si>
    <t>Regularisation mensuelle progressive des plafonds de sécurité sociale</t>
  </si>
  <si>
    <t>Plafond de sécurité sociale</t>
  </si>
  <si>
    <t>Cumuls bruts</t>
  </si>
  <si>
    <t>Plafonds</t>
  </si>
  <si>
    <t>Plafonds 
cumulés</t>
  </si>
  <si>
    <t>TA/T1 
cumulées</t>
  </si>
  <si>
    <t>TA/T1
du mois</t>
  </si>
  <si>
    <t>TB/T2
 du mois</t>
  </si>
  <si>
    <t>smics</t>
  </si>
  <si>
    <t>coeff maximum cumulé</t>
  </si>
  <si>
    <t>BRUTS</t>
  </si>
  <si>
    <t>CUMULS</t>
  </si>
  <si>
    <t>SMICS
 CUMULES</t>
  </si>
  <si>
    <t>COEF ALLEGT
CUMULES</t>
  </si>
  <si>
    <t>ALLEGT 
CUMULES</t>
  </si>
  <si>
    <t>janvier</t>
  </si>
  <si>
    <t>février</t>
  </si>
  <si>
    <t>mars</t>
  </si>
  <si>
    <t>avril</t>
  </si>
  <si>
    <t>mai</t>
  </si>
  <si>
    <t>ALLEGEMENT GENERAL DE COTISATIONS</t>
  </si>
  <si>
    <t>REDUCTION GENERALE DU MOIS</t>
  </si>
  <si>
    <t>Prime exceptionnelle</t>
  </si>
  <si>
    <t>TAUX ACCIDENT DU TRAVAIL</t>
  </si>
  <si>
    <t>CONGES PAYES</t>
  </si>
  <si>
    <t>Congés payés</t>
  </si>
  <si>
    <t>Nombre moyen de jours ouvrables</t>
  </si>
  <si>
    <t>Retenue par jour ouvrable</t>
  </si>
  <si>
    <t>2000 / 26</t>
  </si>
  <si>
    <t>Indemnité par jour ouvrable</t>
  </si>
  <si>
    <t>Calcul du taux journalier par la méthode du dixième</t>
  </si>
  <si>
    <t>Total des salaires de la période de référence</t>
  </si>
  <si>
    <t>Nombre de jours ouvrables</t>
  </si>
  <si>
    <t>30 jours</t>
  </si>
  <si>
    <t>Indemnité par jour</t>
  </si>
  <si>
    <t xml:space="preserve"> 1/10</t>
  </si>
  <si>
    <t>Période de maladie</t>
  </si>
  <si>
    <t>Indemnité journalière</t>
  </si>
  <si>
    <t>Indemnité versée</t>
  </si>
  <si>
    <t>Taux journalier</t>
  </si>
  <si>
    <t>Retenue sur salaire</t>
  </si>
  <si>
    <t>PLAFOND DE SS</t>
  </si>
  <si>
    <t>VERSEMENT MOBILITE</t>
  </si>
  <si>
    <t>CONGES 
PAYES
5eme semaine</t>
  </si>
  <si>
    <t xml:space="preserve">24 jours ouvrables </t>
  </si>
  <si>
    <t>Calcul du taux journalier par la méthode du maintien en mai N</t>
  </si>
  <si>
    <t>Salaires de base en 2021</t>
  </si>
  <si>
    <t>Prime de rendement en novembre 2021</t>
  </si>
  <si>
    <t>Salaires de base en 2022</t>
  </si>
  <si>
    <t>Prime exceptionnelle en mars 2022</t>
  </si>
  <si>
    <t>Congés pris en juillet 2022</t>
  </si>
  <si>
    <t>1 850 * 7 mois</t>
  </si>
  <si>
    <t>1 950 * 5 mois</t>
  </si>
  <si>
    <t>Salaire de base de juin 2021 à décembre 2021</t>
  </si>
  <si>
    <t>Salaire de janvier de base de janvier 22 à mai 22</t>
  </si>
  <si>
    <t>Prime de rendement de novembre 21</t>
  </si>
  <si>
    <t>23 500 / 10</t>
  </si>
  <si>
    <t>2350/30</t>
  </si>
  <si>
    <t>Régularisation au dixième sur la période de juillet 2022</t>
  </si>
  <si>
    <t>Indemnité par jour la plus favorable  en mai N sur la prise de la 5eme semaine de congés</t>
  </si>
  <si>
    <t>SMIC mensuel de janvier à avril 23</t>
  </si>
  <si>
    <t>SMIC mensuel à partir de mai 23</t>
  </si>
  <si>
    <t>Les calculs de retenues s'effectuent en jours ouvrés réels</t>
  </si>
  <si>
    <t>Jours réels durant le mois de mai fériés inclus</t>
  </si>
  <si>
    <t>2 600 / 21 jours</t>
  </si>
  <si>
    <t>Période de retenues sur salaires en ouvrés</t>
  </si>
  <si>
    <t>RETENUE SUR SALAIRES</t>
  </si>
  <si>
    <t>6 jours</t>
  </si>
  <si>
    <t>Maintien</t>
  </si>
  <si>
    <t xml:space="preserve">RECAPITULATION DES DATES </t>
  </si>
  <si>
    <t>Retenue sur salaires</t>
  </si>
  <si>
    <t>MARTINEZ</t>
  </si>
  <si>
    <t>heures exced</t>
  </si>
  <si>
    <t>H100%</t>
  </si>
  <si>
    <t>H150%</t>
  </si>
  <si>
    <t>Du 11 au 19/5</t>
  </si>
  <si>
    <t>Heures non bonifiées</t>
  </si>
  <si>
    <t>Complémentaire santé obligatoire</t>
  </si>
  <si>
    <t>Complémentaire santé facultative</t>
  </si>
  <si>
    <t>BECKER</t>
  </si>
  <si>
    <t>VINCKEL</t>
  </si>
  <si>
    <t>SOREL</t>
  </si>
  <si>
    <t>HERFELD</t>
  </si>
  <si>
    <t>Dispensé</t>
  </si>
  <si>
    <t>ABSENT</t>
  </si>
  <si>
    <t>Montant net imposable</t>
  </si>
  <si>
    <t>Impot sur le revenu prélevé à la source</t>
  </si>
  <si>
    <t>Montant des heures compl/suppl exonérées</t>
  </si>
  <si>
    <t>NET A PAYER AU SALARIE</t>
  </si>
  <si>
    <t>Allègement de cotisations employeurs</t>
  </si>
  <si>
    <t>Total versé par l'employeur</t>
  </si>
  <si>
    <t>Cumul annuel</t>
  </si>
  <si>
    <t>Construction :</t>
  </si>
  <si>
    <t>CDD</t>
  </si>
  <si>
    <t>Selon la convention collective maintien de salaire en net sur la base de 100%</t>
  </si>
  <si>
    <t>L'entreprise  pratique  la subrogation</t>
  </si>
  <si>
    <t>Accident du travail</t>
  </si>
  <si>
    <t>Opposition sur salaire en mai 23</t>
  </si>
  <si>
    <t>La retenue sur salaire est calculée en ouvrables sur la base de 26 jours par mois
Les indemnités de congés sont calculées en comparant les méthodes de maintien et de de dixième</t>
  </si>
  <si>
    <t>Gérant majoritaire</t>
  </si>
  <si>
    <t xml:space="preserve">Saisise sur salaires </t>
  </si>
  <si>
    <t>retenues salariales</t>
  </si>
  <si>
    <t>prélèvement à la source</t>
  </si>
  <si>
    <t>DE</t>
  </si>
  <si>
    <t>A</t>
  </si>
  <si>
    <t>Part saisissable</t>
  </si>
  <si>
    <t>Saisie</t>
  </si>
  <si>
    <t>Cumuls</t>
  </si>
  <si>
    <t>347.50</t>
  </si>
  <si>
    <t>17,38 €</t>
  </si>
  <si>
    <t xml:space="preserve">         17,38 € </t>
  </si>
  <si>
    <t>678.33</t>
  </si>
  <si>
    <t>33,08 €</t>
  </si>
  <si>
    <t xml:space="preserve">          50,46 € </t>
  </si>
  <si>
    <t>1 010,83</t>
  </si>
  <si>
    <t>66,50 €</t>
  </si>
  <si>
    <t xml:space="preserve">       116,96 € </t>
  </si>
  <si>
    <t>1 340,00</t>
  </si>
  <si>
    <t>82,29 €</t>
  </si>
  <si>
    <t>1/10</t>
  </si>
  <si>
    <t>1/20</t>
  </si>
  <si>
    <t>1/5</t>
  </si>
  <si>
    <t>1/4</t>
  </si>
  <si>
    <t>1/3</t>
  </si>
  <si>
    <t>DU mardi 12 au mardi 19</t>
  </si>
  <si>
    <t>6 jours ouvrés</t>
  </si>
  <si>
    <t>IJSS</t>
  </si>
  <si>
    <t>8 jours calendaires</t>
  </si>
  <si>
    <t>du mardi 12 au mardi 19 inclus</t>
  </si>
  <si>
    <t>1 sem de 4 j + lundi et mardi</t>
  </si>
  <si>
    <t>6 * 123,81 €</t>
  </si>
  <si>
    <t>2600*30,42*60%</t>
  </si>
  <si>
    <t>8 * 51,28</t>
  </si>
  <si>
    <t>6 * 123,81</t>
  </si>
  <si>
    <t>6 * 96,94 €</t>
  </si>
  <si>
    <t>1% du salaire brut</t>
  </si>
  <si>
    <t>Taux de retenues salariales</t>
  </si>
  <si>
    <t>570,37 / 2 600</t>
  </si>
  <si>
    <t>Indemnité brute versée</t>
  </si>
  <si>
    <t>410,26 * 6,7%</t>
  </si>
  <si>
    <t>Indemnité nette versée</t>
  </si>
  <si>
    <t>Calcul du salaire brut</t>
  </si>
  <si>
    <t>Salaire net à maintenir</t>
  </si>
  <si>
    <t>IJSS BRUTES</t>
  </si>
  <si>
    <t xml:space="preserve">Salaire sous déduction des IJSS </t>
  </si>
  <si>
    <t>1 619,38 / (100% - 21,9373%)</t>
  </si>
  <si>
    <t>Période d'arrêt de travail</t>
  </si>
  <si>
    <t>IJSS NETTES</t>
  </si>
  <si>
    <t>IJSS brutes</t>
  </si>
  <si>
    <t>CSG CRDS déductible 3,8%</t>
  </si>
  <si>
    <t xml:space="preserve">IJSS Nettes </t>
  </si>
  <si>
    <t>IJSS nettes imposables 394,67 * 50%</t>
  </si>
  <si>
    <t>Salaire net imposable</t>
  </si>
  <si>
    <t>NET IMPOSABLE TOTAL</t>
  </si>
  <si>
    <t>VERIFICATION</t>
  </si>
  <si>
    <t>Salaire net à payer avant prélèvement à la source</t>
  </si>
  <si>
    <t>Salaire net à payer avant prélèvement à la source habituel</t>
  </si>
  <si>
    <t>Perte pour le salarié</t>
  </si>
  <si>
    <t>CSG CRDS sur IJSS</t>
  </si>
  <si>
    <t>Salaire de janvier</t>
  </si>
  <si>
    <t>salaire de base</t>
  </si>
  <si>
    <t>hs</t>
  </si>
  <si>
    <t>Salaire de février</t>
  </si>
  <si>
    <t>absence</t>
  </si>
  <si>
    <t>bruts</t>
  </si>
  <si>
    <t>Salaires depuis janvier</t>
  </si>
  <si>
    <t>Précarité</t>
  </si>
  <si>
    <t>ICCP règle du dixième</t>
  </si>
  <si>
    <t>ICCP en règle du maintien</t>
  </si>
  <si>
    <t>jours calendaires de janvier à mai</t>
  </si>
  <si>
    <t>Nombre de semaines</t>
  </si>
  <si>
    <t>Mois à prendre en compte</t>
  </si>
  <si>
    <t>Nombre de jours ouvrables par mois</t>
  </si>
  <si>
    <t>Cong2s arrondis</t>
  </si>
  <si>
    <t>Salaire par jour ouvrable</t>
  </si>
  <si>
    <t>Congés acquis en maintien</t>
  </si>
  <si>
    <t>le plus favorable</t>
  </si>
  <si>
    <t>Prime de rendement</t>
  </si>
  <si>
    <t>Heures supplémentaires à 130%</t>
  </si>
  <si>
    <t>Heures supp exonérées sur la base de 125%</t>
  </si>
  <si>
    <t>PAS DE BULLETIN DE PAIE CAR IL EST GERANT MAJORITAIRE DE SARL</t>
  </si>
  <si>
    <t>PRIOL</t>
  </si>
  <si>
    <t>5h/jour</t>
  </si>
  <si>
    <t>Heures complémentaires à 110%</t>
  </si>
  <si>
    <t>Heures complémentaires à 125%</t>
  </si>
  <si>
    <t>Férié payé</t>
  </si>
  <si>
    <t>LE PRIOL</t>
  </si>
  <si>
    <t>Heures complémentaires</t>
  </si>
  <si>
    <t xml:space="preserve">Semaine </t>
  </si>
  <si>
    <t>Heures compl</t>
  </si>
  <si>
    <t>HC110%</t>
  </si>
  <si>
    <t>HC125%</t>
  </si>
  <si>
    <t xml:space="preserve">HEURES </t>
  </si>
  <si>
    <t>TOTAUX</t>
  </si>
  <si>
    <t>Mutuelle</t>
  </si>
  <si>
    <t>ASSIETTE DE CALCUL</t>
  </si>
  <si>
    <t>NB : Le premier jour donc le 11 est à la charge de l'employeur</t>
  </si>
  <si>
    <t>Retenue sur salaire calculée en NET</t>
  </si>
  <si>
    <t>Salaire net habituel avant prélèvement à la source</t>
  </si>
  <si>
    <t>2 600 - 570,37</t>
  </si>
  <si>
    <t>2 029,63 / 21 jours</t>
  </si>
  <si>
    <t>LES DECOMPTES DE SALAIRE BRUT</t>
  </si>
  <si>
    <t>2600/21 jours</t>
  </si>
  <si>
    <t>Taux quotidien d'absence</t>
  </si>
  <si>
    <t>Jours réels d'absence</t>
  </si>
  <si>
    <t>Retenue</t>
  </si>
  <si>
    <t>DONC TOUT EST OK</t>
  </si>
  <si>
    <t>1 747,20 * 2 074,46/ 2600</t>
  </si>
  <si>
    <t>Total brut hors précarité de janvier à mai</t>
  </si>
  <si>
    <t>H130%</t>
  </si>
  <si>
    <t>Assiette de CSG CRDS à 6,8% et 2,9%</t>
  </si>
  <si>
    <t>Brut</t>
  </si>
  <si>
    <t>Heures supp exonérées</t>
  </si>
  <si>
    <t>Base de calcul</t>
  </si>
  <si>
    <t>Assiette = 3 286,50 * ,9825</t>
  </si>
  <si>
    <t>Mutuelle et prévoyance</t>
  </si>
  <si>
    <t>EMBAUCHE EN COURS DE MOIS</t>
  </si>
  <si>
    <t>Le salaire du mois d'embauche est évalué sur la base du salaire de base sous déduction des heures d'absence calculées en réelles du 1er jour du mois à la date d'embauche</t>
  </si>
  <si>
    <t>Présence hors heures complémentaires 3 semaines de 25 h</t>
  </si>
  <si>
    <t>Absence du 1er mai au 11 mai = 108,33 h - 75 h</t>
  </si>
  <si>
    <t>Présence contractuelle mensuelle = 25h * 52sem / 12 m</t>
  </si>
  <si>
    <t>Décompte d'heures</t>
  </si>
  <si>
    <t>Heures contractuelles réelles du mois : 5 heures * 21 j</t>
  </si>
  <si>
    <t>Décompte des taux horaires</t>
  </si>
  <si>
    <t>Taux horaires moyens : 2 200 / 108,333</t>
  </si>
  <si>
    <t>Taux horaires d'absence pour ce mois : 2 200 / 105 h</t>
  </si>
  <si>
    <t>Assiette de CSG CRDS</t>
  </si>
  <si>
    <t>Hors heures complémentaires : 2200 - 698,34</t>
  </si>
  <si>
    <t>Assiette 1 501,66 * 0,9825</t>
  </si>
  <si>
    <t>Assiette CSG CRDS hors heures complémentaires</t>
  </si>
  <si>
    <t>HEURES COMPLEMENTAIRES</t>
  </si>
  <si>
    <t>Un article de la convention collective autorise un dépassement de 1/3 des heures contractuelles du salarié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</si>
</sst>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8" formatCode="#,##0.00\ &quot;€&quot;;[Red]\-#,##0.00\ &quot;€&quot;"/>
    <numFmt numFmtId="44" formatCode="_-* #,##0.00\ &quot;€&quot;_-;\-* #,##0.00\ &quot;€&quot;_-;_-* &quot;-&quot;??\ &quot;€&quot;_-;_-@_-"/>
    <numFmt numFmtId="43" formatCode="_-* #,##0.00_-;\-* #,##0.00_-;_-* &quot;-&quot;??_-;_-@_-"/>
    <numFmt numFmtId="164" formatCode="_-* #,##0\ &quot;€&quot;_-;\-* #,##0\ &quot;€&quot;_-;_-* &quot;-&quot;??\ &quot;€&quot;_-;_-@_-"/>
    <numFmt numFmtId="165" formatCode="0.000%"/>
    <numFmt numFmtId="166" formatCode="#,##0.00\ &quot;€&quot;"/>
    <numFmt numFmtId="167" formatCode="dddd\-dd\-mmm"/>
    <numFmt numFmtId="168" formatCode="_-* #,##0.00\ [$€-40C]_-;\-* #,##0.00\ [$€-40C]_-;_-* &quot;-&quot;??\ [$€-40C]_-;_-@_-"/>
    <numFmt numFmtId="169" formatCode="0.00000%"/>
    <numFmt numFmtId="170" formatCode="0.0000"/>
    <numFmt numFmtId="175" formatCode="0.0000%"/>
    <numFmt numFmtId="179" formatCode="_-* #,##0.000\ &quot;€&quot;_-;\-* #,##0.000\ &quot;€&quot;_-;_-* &quot;-&quot;??\ &quot;€&quot;_-;_-@_-"/>
    <numFmt numFmtId="181" formatCode="0.00&quot; heures&quot;"/>
  </numFmts>
  <fonts count="46"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8"/>
      <color theme="1"/>
      <name val="Calibri"/>
      <family val="2"/>
      <scheme val="minor"/>
    </font>
    <font>
      <b/>
      <u/>
      <sz val="14"/>
      <color theme="1"/>
      <name val="Calibri"/>
      <family val="2"/>
      <scheme val="minor"/>
    </font>
    <font>
      <sz val="8"/>
      <name val="Calibri"/>
      <family val="2"/>
      <scheme val="minor"/>
    </font>
    <font>
      <sz val="10"/>
      <color theme="1"/>
      <name val="Trebuchet MS"/>
      <family val="2"/>
    </font>
    <font>
      <b/>
      <sz val="10"/>
      <color theme="1"/>
      <name val="Trebuchet MS"/>
      <family val="2"/>
    </font>
    <font>
      <b/>
      <sz val="10"/>
      <color rgb="FF000000"/>
      <name val="Trebuchet MS"/>
      <family val="2"/>
    </font>
    <font>
      <sz val="10"/>
      <name val="Arial"/>
      <family val="2"/>
    </font>
    <font>
      <b/>
      <sz val="11"/>
      <name val="Trebuchet MS"/>
      <family val="2"/>
    </font>
    <font>
      <sz val="11"/>
      <color theme="1"/>
      <name val="Trebuchet MS"/>
      <family val="2"/>
    </font>
    <font>
      <b/>
      <sz val="10"/>
      <name val="Trebuchet MS"/>
      <family val="2"/>
    </font>
    <font>
      <sz val="10"/>
      <name val="Trebuchet MS"/>
      <family val="2"/>
    </font>
    <font>
      <b/>
      <sz val="11"/>
      <color theme="1"/>
      <name val="Trebuchet MS"/>
      <family val="2"/>
    </font>
    <font>
      <sz val="11"/>
      <name val="Trebuchet MS"/>
      <family val="2"/>
    </font>
    <font>
      <b/>
      <sz val="11"/>
      <color rgb="FF000000"/>
      <name val="Trebuchet MS"/>
      <family val="2"/>
    </font>
    <font>
      <sz val="11"/>
      <color rgb="FF000000"/>
      <name val="Trebuchet MS"/>
      <family val="2"/>
    </font>
    <font>
      <sz val="11"/>
      <color rgb="FFFF0000"/>
      <name val="Trebuchet MS"/>
      <family val="2"/>
    </font>
    <font>
      <b/>
      <sz val="11"/>
      <color rgb="FFFF0000"/>
      <name val="Trebuchet MS"/>
      <family val="2"/>
    </font>
    <font>
      <b/>
      <sz val="8"/>
      <name val="Trebuchet MS"/>
      <family val="2"/>
    </font>
    <font>
      <sz val="8"/>
      <name val="Trebuchet MS"/>
      <family val="2"/>
    </font>
    <font>
      <b/>
      <sz val="14"/>
      <color rgb="FFFF0000"/>
      <name val="Trebuchet MS"/>
      <family val="2"/>
    </font>
    <font>
      <b/>
      <u/>
      <sz val="18"/>
      <color theme="1"/>
      <name val="Calibri"/>
      <family val="2"/>
      <scheme val="minor"/>
    </font>
    <font>
      <u/>
      <sz val="18"/>
      <color theme="1"/>
      <name val="Calibri"/>
      <family val="2"/>
      <scheme val="minor"/>
    </font>
    <font>
      <b/>
      <sz val="16"/>
      <color theme="1"/>
      <name val="Calibri"/>
      <family val="2"/>
      <scheme val="minor"/>
    </font>
    <font>
      <b/>
      <sz val="11"/>
      <color rgb="FFFF0000"/>
      <name val="Calibri"/>
      <family val="2"/>
      <scheme val="minor"/>
    </font>
    <font>
      <sz val="12"/>
      <color theme="1"/>
      <name val="Calibri"/>
      <family val="2"/>
      <scheme val="minor"/>
    </font>
    <font>
      <sz val="11"/>
      <color theme="4"/>
      <name val="Calibri"/>
      <family val="2"/>
      <scheme val="minor"/>
    </font>
    <font>
      <b/>
      <sz val="12"/>
      <color theme="1"/>
      <name val="Trebuchet MS"/>
      <family val="2"/>
    </font>
    <font>
      <b/>
      <sz val="16"/>
      <color rgb="FFFF0000"/>
      <name val="Trebuchet MS"/>
      <family val="2"/>
    </font>
    <font>
      <b/>
      <sz val="11"/>
      <color rgb="FF000000"/>
      <name val="Times New Roman"/>
      <family val="1"/>
    </font>
    <font>
      <sz val="11"/>
      <color rgb="FF000000"/>
      <name val="Times New Roman"/>
      <family val="1"/>
    </font>
    <font>
      <sz val="11"/>
      <name val="Times New Roman"/>
      <family val="1"/>
    </font>
    <font>
      <b/>
      <sz val="11"/>
      <color rgb="FFFF0000"/>
      <name val="Times New Roman"/>
      <family val="1"/>
    </font>
    <font>
      <b/>
      <sz val="11"/>
      <color theme="1"/>
      <name val="Times New Roman"/>
      <family val="1"/>
    </font>
    <font>
      <b/>
      <sz val="8"/>
      <name val="Times New Roman"/>
      <family val="1"/>
    </font>
    <font>
      <sz val="8"/>
      <name val="Times New Roman"/>
      <family val="1"/>
    </font>
    <font>
      <b/>
      <sz val="11"/>
      <name val="Times New Roman"/>
      <family val="1"/>
    </font>
    <font>
      <sz val="11"/>
      <color rgb="FFFF0000"/>
      <name val="Calibri"/>
      <family val="2"/>
      <scheme val="minor"/>
    </font>
    <font>
      <sz val="14"/>
      <color rgb="FF000000"/>
      <name val="Trebuchet MS"/>
      <family val="2"/>
    </font>
    <font>
      <sz val="11"/>
      <color rgb="FF000000"/>
      <name val="Calibri"/>
      <family val="2"/>
    </font>
    <font>
      <b/>
      <sz val="14"/>
      <color theme="1"/>
      <name val="Trebuchet MS"/>
      <family val="2"/>
    </font>
    <font>
      <b/>
      <sz val="28"/>
      <color rgb="FFFF0000"/>
      <name val="Trebuchet MS"/>
      <family val="2"/>
    </font>
    <font>
      <b/>
      <sz val="12"/>
      <color theme="1"/>
      <name val="Calibri"/>
      <family val="2"/>
      <scheme val="minor"/>
    </font>
  </fonts>
  <fills count="14">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theme="7"/>
        <bgColor indexed="64"/>
      </patternFill>
    </fill>
    <fill>
      <patternFill patternType="solid">
        <fgColor rgb="FFFFC000"/>
        <bgColor indexed="64"/>
      </patternFill>
    </fill>
    <fill>
      <patternFill patternType="solid">
        <fgColor theme="9" tint="0.59999389629810485"/>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2" tint="-9.9948118533890809E-2"/>
        <bgColor indexed="64"/>
      </patternFill>
    </fill>
    <fill>
      <patternFill patternType="solid">
        <fgColor theme="2"/>
        <bgColor indexed="64"/>
      </patternFill>
    </fill>
    <fill>
      <patternFill patternType="solid">
        <fgColor theme="5" tint="0.79998168889431442"/>
        <bgColor indexed="64"/>
      </patternFill>
    </fill>
    <fill>
      <patternFill patternType="solid">
        <fgColor rgb="FF92D050"/>
        <bgColor indexed="64"/>
      </patternFill>
    </fill>
  </fills>
  <borders count="48">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auto="1"/>
      </left>
      <right style="thin">
        <color auto="1"/>
      </right>
      <top style="medium">
        <color auto="1"/>
      </top>
      <bottom style="medium">
        <color auto="1"/>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rgb="FF000000"/>
      </left>
      <right style="medium">
        <color indexed="64"/>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medium">
        <color rgb="FF000000"/>
      </bottom>
      <diagonal/>
    </border>
    <border>
      <left style="thin">
        <color rgb="FF000000"/>
      </left>
      <right style="medium">
        <color indexed="64"/>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auto="1"/>
      </left>
      <right style="thin">
        <color auto="1"/>
      </right>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style="medium">
        <color auto="1"/>
      </right>
      <top style="medium">
        <color auto="1"/>
      </top>
      <bottom style="thin">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0" fillId="0" borderId="0"/>
  </cellStyleXfs>
  <cellXfs count="450">
    <xf numFmtId="0" fontId="0" fillId="0" borderId="0" xfId="0"/>
    <xf numFmtId="0" fontId="0" fillId="0" borderId="0" xfId="0" applyAlignment="1">
      <alignment vertical="center"/>
    </xf>
    <xf numFmtId="0" fontId="2" fillId="0" borderId="0" xfId="0" applyFont="1" applyAlignment="1">
      <alignment horizontal="center" vertical="center"/>
    </xf>
    <xf numFmtId="14" fontId="0" fillId="0" borderId="0" xfId="0" applyNumberFormat="1" applyAlignme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0" fillId="0" borderId="1" xfId="0" applyBorder="1" applyAlignment="1">
      <alignment vertical="center"/>
    </xf>
    <xf numFmtId="0" fontId="0" fillId="0" borderId="4" xfId="0" applyBorder="1" applyAlignment="1">
      <alignment vertical="center"/>
    </xf>
    <xf numFmtId="164" fontId="0" fillId="0" borderId="5" xfId="1" applyNumberFormat="1" applyFont="1" applyBorder="1" applyAlignment="1">
      <alignment horizontal="center" vertical="center"/>
    </xf>
    <xf numFmtId="164" fontId="0" fillId="0" borderId="6" xfId="1" applyNumberFormat="1" applyFont="1" applyBorder="1" applyAlignment="1">
      <alignment horizontal="center" vertical="center"/>
    </xf>
    <xf numFmtId="0" fontId="0" fillId="0" borderId="7" xfId="0" applyBorder="1" applyAlignment="1">
      <alignment vertical="center"/>
    </xf>
    <xf numFmtId="0" fontId="0" fillId="0" borderId="9" xfId="0" applyBorder="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6" xfId="0" applyBorder="1" applyAlignment="1">
      <alignment vertical="center"/>
    </xf>
    <xf numFmtId="9" fontId="0" fillId="0" borderId="6" xfId="0" applyNumberFormat="1" applyBorder="1" applyAlignment="1">
      <alignment horizontal="center" vertical="center"/>
    </xf>
    <xf numFmtId="9" fontId="0" fillId="0" borderId="9" xfId="0" applyNumberFormat="1" applyBorder="1" applyAlignment="1">
      <alignment horizontal="center" vertical="center"/>
    </xf>
    <xf numFmtId="0" fontId="5" fillId="0" borderId="10" xfId="0" applyFont="1" applyBorder="1" applyAlignment="1">
      <alignment vertical="center"/>
    </xf>
    <xf numFmtId="0" fontId="0" fillId="0" borderId="11" xfId="0" applyBorder="1" applyAlignment="1">
      <alignment vertical="center"/>
    </xf>
    <xf numFmtId="0" fontId="0" fillId="0" borderId="3" xfId="0" applyBorder="1" applyAlignment="1">
      <alignment horizontal="center" vertical="center"/>
    </xf>
    <xf numFmtId="14" fontId="0" fillId="0" borderId="5" xfId="0" applyNumberForma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7" fillId="2" borderId="12" xfId="0" applyFont="1" applyFill="1" applyBorder="1" applyAlignment="1">
      <alignment vertical="center" wrapText="1"/>
    </xf>
    <xf numFmtId="0" fontId="7" fillId="2" borderId="15" xfId="0" applyFont="1" applyFill="1" applyBorder="1" applyAlignment="1">
      <alignment vertical="center" wrapText="1"/>
    </xf>
    <xf numFmtId="0" fontId="7" fillId="2" borderId="20" xfId="0" applyFont="1" applyFill="1" applyBorder="1" applyAlignment="1">
      <alignment vertical="center" wrapText="1"/>
    </xf>
    <xf numFmtId="0" fontId="11" fillId="4" borderId="1" xfId="4" applyFont="1" applyFill="1" applyBorder="1" applyAlignment="1">
      <alignment horizontal="centerContinuous" vertical="center"/>
    </xf>
    <xf numFmtId="0" fontId="12" fillId="4" borderId="2" xfId="0" applyFont="1" applyFill="1" applyBorder="1" applyAlignment="1">
      <alignment horizontal="centerContinuous" vertical="center"/>
    </xf>
    <xf numFmtId="0" fontId="12" fillId="4" borderId="3" xfId="0" applyFont="1" applyFill="1" applyBorder="1" applyAlignment="1">
      <alignment horizontal="centerContinuous" vertical="center"/>
    </xf>
    <xf numFmtId="0" fontId="12" fillId="0" borderId="0" xfId="0" applyFont="1" applyAlignment="1">
      <alignment vertical="center"/>
    </xf>
    <xf numFmtId="0" fontId="13" fillId="0" borderId="4" xfId="4" applyFont="1" applyBorder="1" applyAlignment="1">
      <alignment vertical="center"/>
    </xf>
    <xf numFmtId="0" fontId="12" fillId="0" borderId="5" xfId="0" applyFont="1" applyBorder="1" applyAlignment="1">
      <alignment vertical="center"/>
    </xf>
    <xf numFmtId="0" fontId="12" fillId="0" borderId="6" xfId="0" applyFont="1" applyBorder="1" applyAlignment="1">
      <alignment vertical="center"/>
    </xf>
    <xf numFmtId="14" fontId="14" fillId="0" borderId="4" xfId="4" applyNumberFormat="1" applyFont="1" applyBorder="1" applyAlignment="1">
      <alignment vertical="center"/>
    </xf>
    <xf numFmtId="0" fontId="12" fillId="0" borderId="4" xfId="0" applyFont="1" applyBorder="1" applyAlignment="1">
      <alignment vertical="center"/>
    </xf>
    <xf numFmtId="0" fontId="13" fillId="5" borderId="4" xfId="4" applyFont="1" applyFill="1" applyBorder="1" applyAlignment="1">
      <alignment horizontal="center" vertical="center"/>
    </xf>
    <xf numFmtId="0" fontId="13" fillId="5" borderId="5" xfId="4" applyFont="1" applyFill="1" applyBorder="1" applyAlignment="1">
      <alignment horizontal="center" vertical="center"/>
    </xf>
    <xf numFmtId="0" fontId="11" fillId="4" borderId="4" xfId="4" applyFont="1" applyFill="1" applyBorder="1" applyAlignment="1">
      <alignment horizontal="centerContinuous" vertical="center"/>
    </xf>
    <xf numFmtId="0" fontId="12" fillId="4" borderId="5" xfId="0" applyFont="1" applyFill="1" applyBorder="1" applyAlignment="1">
      <alignment horizontal="centerContinuous" vertical="center"/>
    </xf>
    <xf numFmtId="0" fontId="12" fillId="4" borderId="6" xfId="0" applyFont="1" applyFill="1" applyBorder="1" applyAlignment="1">
      <alignment horizontal="centerContinuous" vertical="center"/>
    </xf>
    <xf numFmtId="0" fontId="13" fillId="0" borderId="4" xfId="4" applyFont="1" applyBorder="1" applyAlignment="1">
      <alignment horizontal="center" vertical="center"/>
    </xf>
    <xf numFmtId="0" fontId="15" fillId="0" borderId="5" xfId="0" applyFont="1" applyBorder="1" applyAlignment="1">
      <alignment horizontal="center" vertical="center"/>
    </xf>
    <xf numFmtId="0" fontId="12" fillId="7" borderId="5" xfId="0" applyFont="1" applyFill="1" applyBorder="1" applyAlignment="1">
      <alignment vertical="center"/>
    </xf>
    <xf numFmtId="0" fontId="12" fillId="7" borderId="6" xfId="0" applyFont="1" applyFill="1" applyBorder="1" applyAlignment="1">
      <alignment vertical="center"/>
    </xf>
    <xf numFmtId="0" fontId="11" fillId="8" borderId="1" xfId="0" applyFont="1" applyFill="1" applyBorder="1" applyAlignment="1">
      <alignment vertical="center"/>
    </xf>
    <xf numFmtId="10" fontId="11" fillId="8" borderId="3" xfId="0" applyNumberFormat="1" applyFont="1" applyFill="1" applyBorder="1" applyAlignment="1">
      <alignment vertical="center"/>
    </xf>
    <xf numFmtId="2" fontId="12" fillId="0" borderId="5" xfId="0" applyNumberFormat="1" applyFont="1" applyBorder="1" applyAlignment="1">
      <alignment vertical="center"/>
    </xf>
    <xf numFmtId="166" fontId="12" fillId="0" borderId="5" xfId="0" applyNumberFormat="1" applyFont="1" applyBorder="1" applyAlignment="1">
      <alignment horizontal="right" vertical="center"/>
    </xf>
    <xf numFmtId="44" fontId="12" fillId="3" borderId="5" xfId="1" applyFont="1" applyFill="1" applyBorder="1" applyAlignment="1">
      <alignment vertical="center"/>
    </xf>
    <xf numFmtId="44" fontId="12" fillId="7" borderId="6" xfId="1" applyFont="1" applyFill="1" applyBorder="1" applyAlignment="1">
      <alignment vertical="center"/>
    </xf>
    <xf numFmtId="0" fontId="16" fillId="0" borderId="0" xfId="0" applyFont="1" applyAlignment="1">
      <alignment vertical="center"/>
    </xf>
    <xf numFmtId="0" fontId="16" fillId="8" borderId="4" xfId="0" applyFont="1" applyFill="1" applyBorder="1" applyAlignment="1">
      <alignment vertical="center"/>
    </xf>
    <xf numFmtId="10" fontId="11" fillId="8" borderId="6" xfId="0" applyNumberFormat="1" applyFont="1" applyFill="1" applyBorder="1" applyAlignment="1">
      <alignment vertical="center"/>
    </xf>
    <xf numFmtId="44" fontId="12" fillId="0" borderId="5" xfId="1" applyFont="1" applyBorder="1" applyAlignment="1">
      <alignment vertical="center"/>
    </xf>
    <xf numFmtId="0" fontId="16" fillId="0" borderId="4" xfId="0" applyFont="1" applyBorder="1" applyAlignment="1">
      <alignment vertical="center"/>
    </xf>
    <xf numFmtId="10" fontId="16" fillId="0" borderId="6" xfId="0" applyNumberFormat="1" applyFont="1" applyBorder="1" applyAlignment="1">
      <alignment vertical="center"/>
    </xf>
    <xf numFmtId="2" fontId="12" fillId="3" borderId="5" xfId="0" applyNumberFormat="1" applyFont="1" applyFill="1" applyBorder="1" applyAlignment="1">
      <alignment vertical="center"/>
    </xf>
    <xf numFmtId="166" fontId="12" fillId="3" borderId="5" xfId="0" applyNumberFormat="1" applyFont="1" applyFill="1" applyBorder="1" applyAlignment="1">
      <alignment horizontal="right" vertical="center"/>
    </xf>
    <xf numFmtId="44" fontId="16" fillId="9" borderId="6" xfId="1" applyFont="1" applyFill="1" applyBorder="1" applyAlignment="1">
      <alignment vertical="center"/>
    </xf>
    <xf numFmtId="0" fontId="12" fillId="3" borderId="5" xfId="0" applyFont="1" applyFill="1" applyBorder="1" applyAlignment="1">
      <alignment vertical="center"/>
    </xf>
    <xf numFmtId="44" fontId="12" fillId="0" borderId="5" xfId="1" applyFont="1" applyBorder="1" applyAlignment="1">
      <alignment horizontal="right" vertical="center"/>
    </xf>
    <xf numFmtId="44" fontId="12" fillId="0" borderId="5" xfId="0" applyNumberFormat="1" applyFont="1" applyBorder="1" applyAlignment="1">
      <alignment vertical="center"/>
    </xf>
    <xf numFmtId="44" fontId="12" fillId="7" borderId="6" xfId="0" applyNumberFormat="1" applyFont="1" applyFill="1" applyBorder="1" applyAlignment="1">
      <alignment vertical="center"/>
    </xf>
    <xf numFmtId="166" fontId="12" fillId="3" borderId="5" xfId="0" applyNumberFormat="1" applyFont="1" applyFill="1" applyBorder="1" applyAlignment="1">
      <alignment vertical="center"/>
    </xf>
    <xf numFmtId="166" fontId="12" fillId="0" borderId="5" xfId="0" applyNumberFormat="1" applyFont="1" applyBorder="1" applyAlignment="1">
      <alignment vertical="center"/>
    </xf>
    <xf numFmtId="10" fontId="16" fillId="9" borderId="6" xfId="0" applyNumberFormat="1" applyFont="1" applyFill="1" applyBorder="1" applyAlignment="1">
      <alignment vertical="center"/>
    </xf>
    <xf numFmtId="0" fontId="12" fillId="0" borderId="5" xfId="0" applyFont="1" applyBorder="1" applyAlignment="1">
      <alignment horizontal="center" vertical="center"/>
    </xf>
    <xf numFmtId="44" fontId="12" fillId="0" borderId="5" xfId="1" applyFont="1" applyBorder="1" applyAlignment="1">
      <alignment horizontal="center" vertical="center"/>
    </xf>
    <xf numFmtId="8" fontId="12" fillId="0" borderId="5" xfId="0" applyNumberFormat="1" applyFont="1" applyBorder="1" applyAlignment="1">
      <alignment vertical="center"/>
    </xf>
    <xf numFmtId="168" fontId="12" fillId="7" borderId="5" xfId="0" applyNumberFormat="1" applyFont="1" applyFill="1" applyBorder="1" applyAlignment="1">
      <alignment vertical="center"/>
    </xf>
    <xf numFmtId="168" fontId="12" fillId="7" borderId="6" xfId="0" applyNumberFormat="1" applyFont="1" applyFill="1" applyBorder="1" applyAlignment="1">
      <alignment vertical="center"/>
    </xf>
    <xf numFmtId="0" fontId="12" fillId="3" borderId="5" xfId="0" applyFont="1" applyFill="1" applyBorder="1" applyAlignment="1">
      <alignment horizontal="center" vertical="center"/>
    </xf>
    <xf numFmtId="8" fontId="12" fillId="3" borderId="5" xfId="0" applyNumberFormat="1" applyFont="1" applyFill="1" applyBorder="1" applyAlignment="1">
      <alignment vertical="center"/>
    </xf>
    <xf numFmtId="44" fontId="16" fillId="3" borderId="5" xfId="1" applyFont="1" applyFill="1" applyBorder="1" applyAlignment="1">
      <alignment horizontal="right" vertical="center" wrapText="1"/>
    </xf>
    <xf numFmtId="9" fontId="7" fillId="3" borderId="5" xfId="0" applyNumberFormat="1" applyFont="1" applyFill="1" applyBorder="1" applyAlignment="1">
      <alignment vertical="center"/>
    </xf>
    <xf numFmtId="44" fontId="7" fillId="3" borderId="5" xfId="0" applyNumberFormat="1" applyFont="1" applyFill="1" applyBorder="1" applyAlignment="1">
      <alignment vertical="center"/>
    </xf>
    <xf numFmtId="43" fontId="16" fillId="3" borderId="5" xfId="3" applyFont="1" applyFill="1" applyBorder="1" applyAlignment="1">
      <alignment horizontal="right" vertical="center" wrapText="1"/>
    </xf>
    <xf numFmtId="9" fontId="7" fillId="7" borderId="5" xfId="0" applyNumberFormat="1" applyFont="1" applyFill="1" applyBorder="1" applyAlignment="1">
      <alignment vertical="center"/>
    </xf>
    <xf numFmtId="0" fontId="12" fillId="0" borderId="7" xfId="0" applyFont="1" applyBorder="1" applyAlignment="1">
      <alignment vertical="center"/>
    </xf>
    <xf numFmtId="10" fontId="11" fillId="9" borderId="9" xfId="0" applyNumberFormat="1" applyFont="1" applyFill="1" applyBorder="1" applyAlignment="1">
      <alignment vertical="center"/>
    </xf>
    <xf numFmtId="44" fontId="7" fillId="0" borderId="4" xfId="1" applyFont="1" applyBorder="1" applyAlignment="1">
      <alignment vertical="center"/>
    </xf>
    <xf numFmtId="44" fontId="16" fillId="2" borderId="5" xfId="1" applyFont="1" applyFill="1" applyBorder="1" applyAlignment="1">
      <alignment horizontal="right" vertical="center" wrapText="1"/>
    </xf>
    <xf numFmtId="9" fontId="7" fillId="0" borderId="5" xfId="0" applyNumberFormat="1" applyFont="1" applyBorder="1" applyAlignment="1">
      <alignment vertical="center"/>
    </xf>
    <xf numFmtId="44" fontId="7" fillId="0" borderId="5" xfId="0" applyNumberFormat="1" applyFont="1" applyBorder="1" applyAlignment="1">
      <alignment vertical="center"/>
    </xf>
    <xf numFmtId="0" fontId="17" fillId="2" borderId="4" xfId="0" applyFont="1" applyFill="1" applyBorder="1" applyAlignment="1">
      <alignment horizontal="left" vertical="center" wrapText="1" readingOrder="1"/>
    </xf>
    <xf numFmtId="0" fontId="16" fillId="2" borderId="5" xfId="0" applyFont="1" applyFill="1" applyBorder="1" applyAlignment="1">
      <alignment horizontal="right" vertical="center" wrapText="1"/>
    </xf>
    <xf numFmtId="0" fontId="18" fillId="2" borderId="5" xfId="0" applyFont="1" applyFill="1" applyBorder="1" applyAlignment="1">
      <alignment horizontal="left" vertical="center" wrapText="1" readingOrder="1"/>
    </xf>
    <xf numFmtId="0" fontId="17" fillId="4" borderId="4" xfId="0" applyFont="1" applyFill="1" applyBorder="1" applyAlignment="1">
      <alignment horizontal="left" vertical="center" wrapText="1" readingOrder="1"/>
    </xf>
    <xf numFmtId="0" fontId="17" fillId="4" borderId="5" xfId="0" applyFont="1" applyFill="1" applyBorder="1" applyAlignment="1">
      <alignment horizontal="center" vertical="center" wrapText="1" readingOrder="1"/>
    </xf>
    <xf numFmtId="0" fontId="17" fillId="4" borderId="6" xfId="0" applyFont="1" applyFill="1" applyBorder="1" applyAlignment="1">
      <alignment horizontal="center" vertical="center" wrapText="1" readingOrder="1"/>
    </xf>
    <xf numFmtId="0" fontId="17" fillId="10" borderId="4" xfId="0" applyFont="1" applyFill="1" applyBorder="1" applyAlignment="1">
      <alignment horizontal="left" vertical="center" wrapText="1" readingOrder="1"/>
    </xf>
    <xf numFmtId="0" fontId="16" fillId="10" borderId="5" xfId="0" applyFont="1" applyFill="1" applyBorder="1" applyAlignment="1">
      <alignment horizontal="center" vertical="center" wrapText="1"/>
    </xf>
    <xf numFmtId="0" fontId="17" fillId="10" borderId="5" xfId="0" applyFont="1" applyFill="1" applyBorder="1" applyAlignment="1">
      <alignment horizontal="center" vertical="center" wrapText="1" readingOrder="1"/>
    </xf>
    <xf numFmtId="0" fontId="17" fillId="10" borderId="6" xfId="0" applyFont="1" applyFill="1" applyBorder="1" applyAlignment="1">
      <alignment horizontal="center" vertical="center" wrapText="1" readingOrder="1"/>
    </xf>
    <xf numFmtId="0" fontId="16" fillId="9" borderId="4" xfId="0" applyFont="1" applyFill="1" applyBorder="1" applyAlignment="1">
      <alignment horizontal="left" vertical="center" wrapText="1" readingOrder="1"/>
    </xf>
    <xf numFmtId="44" fontId="19" fillId="9" borderId="5" xfId="1" applyFont="1" applyFill="1" applyBorder="1" applyAlignment="1">
      <alignment horizontal="right" vertical="center" wrapText="1"/>
    </xf>
    <xf numFmtId="0" fontId="19" fillId="9" borderId="5" xfId="0" applyFont="1" applyFill="1" applyBorder="1" applyAlignment="1">
      <alignment vertical="center" wrapText="1"/>
    </xf>
    <xf numFmtId="44" fontId="19" fillId="9" borderId="5" xfId="1" applyFont="1" applyFill="1" applyBorder="1" applyAlignment="1">
      <alignment vertical="center" wrapText="1"/>
    </xf>
    <xf numFmtId="165" fontId="20" fillId="9" borderId="5" xfId="1" applyNumberFormat="1" applyFont="1" applyFill="1" applyBorder="1" applyAlignment="1">
      <alignment horizontal="right" vertical="center" wrapText="1"/>
    </xf>
    <xf numFmtId="0" fontId="18" fillId="2" borderId="4" xfId="0" applyFont="1" applyFill="1" applyBorder="1" applyAlignment="1">
      <alignment horizontal="left" vertical="center" wrapText="1" readingOrder="1"/>
    </xf>
    <xf numFmtId="10" fontId="18" fillId="2" borderId="5" xfId="0" applyNumberFormat="1" applyFont="1" applyFill="1" applyBorder="1" applyAlignment="1">
      <alignment horizontal="center" vertical="center" wrapText="1" readingOrder="1"/>
    </xf>
    <xf numFmtId="44" fontId="18" fillId="2" borderId="5" xfId="1" applyFont="1" applyFill="1" applyBorder="1" applyAlignment="1">
      <alignment horizontal="right" vertical="center" wrapText="1" readingOrder="1"/>
    </xf>
    <xf numFmtId="165" fontId="20" fillId="2" borderId="5" xfId="1" applyNumberFormat="1" applyFont="1" applyFill="1" applyBorder="1" applyAlignment="1">
      <alignment horizontal="right" vertical="center" wrapText="1" readingOrder="1"/>
    </xf>
    <xf numFmtId="44" fontId="20" fillId="9" borderId="6" xfId="1" applyFont="1" applyFill="1" applyBorder="1" applyAlignment="1">
      <alignment horizontal="right" vertical="center" wrapText="1"/>
    </xf>
    <xf numFmtId="44" fontId="16" fillId="2" borderId="6" xfId="1" applyFont="1" applyFill="1" applyBorder="1" applyAlignment="1">
      <alignment horizontal="right" vertical="center" wrapText="1"/>
    </xf>
    <xf numFmtId="165" fontId="18" fillId="2" borderId="5" xfId="1" applyNumberFormat="1" applyFont="1" applyFill="1" applyBorder="1" applyAlignment="1">
      <alignment horizontal="right" vertical="center" wrapText="1" readingOrder="1"/>
    </xf>
    <xf numFmtId="0" fontId="17" fillId="0" borderId="4" xfId="0" applyFont="1" applyBorder="1" applyAlignment="1">
      <alignment horizontal="left" vertical="center" wrapText="1" readingOrder="1"/>
    </xf>
    <xf numFmtId="0" fontId="18" fillId="2" borderId="5" xfId="0" applyFont="1" applyFill="1" applyBorder="1" applyAlignment="1">
      <alignment horizontal="center" vertical="center" wrapText="1" readingOrder="1"/>
    </xf>
    <xf numFmtId="165" fontId="16" fillId="2" borderId="5" xfId="1" applyNumberFormat="1" applyFont="1" applyFill="1" applyBorder="1" applyAlignment="1">
      <alignment horizontal="right" vertical="center" wrapText="1"/>
    </xf>
    <xf numFmtId="0" fontId="17" fillId="10" borderId="5" xfId="0" applyFont="1" applyFill="1" applyBorder="1" applyAlignment="1">
      <alignment horizontal="left" vertical="center" wrapText="1" readingOrder="1"/>
    </xf>
    <xf numFmtId="0" fontId="17" fillId="10" borderId="6" xfId="0" applyFont="1" applyFill="1" applyBorder="1" applyAlignment="1">
      <alignment horizontal="left" vertical="center" wrapText="1" readingOrder="1"/>
    </xf>
    <xf numFmtId="165" fontId="18" fillId="2" borderId="5" xfId="0" applyNumberFormat="1" applyFont="1" applyFill="1" applyBorder="1" applyAlignment="1">
      <alignment horizontal="center" vertical="center" wrapText="1" readingOrder="1"/>
    </xf>
    <xf numFmtId="8" fontId="16" fillId="2" borderId="6" xfId="1" applyNumberFormat="1" applyFont="1" applyFill="1" applyBorder="1" applyAlignment="1">
      <alignment horizontal="right" vertical="center" wrapText="1"/>
    </xf>
    <xf numFmtId="0" fontId="9" fillId="10" borderId="4" xfId="0" applyFont="1" applyFill="1" applyBorder="1" applyAlignment="1">
      <alignment horizontal="left" vertical="center" wrapText="1" readingOrder="1"/>
    </xf>
    <xf numFmtId="165" fontId="18" fillId="2" borderId="5" xfId="0" applyNumberFormat="1" applyFont="1" applyFill="1" applyBorder="1" applyAlignment="1">
      <alignment horizontal="right" vertical="center" wrapText="1" readingOrder="1"/>
    </xf>
    <xf numFmtId="0" fontId="9" fillId="2" borderId="4" xfId="0" applyFont="1" applyFill="1" applyBorder="1" applyAlignment="1">
      <alignment horizontal="left" vertical="center" wrapText="1" readingOrder="1"/>
    </xf>
    <xf numFmtId="43" fontId="16" fillId="2" borderId="5" xfId="3" applyFont="1" applyFill="1" applyBorder="1" applyAlignment="1">
      <alignment horizontal="right" vertical="center" wrapText="1"/>
    </xf>
    <xf numFmtId="0" fontId="17" fillId="2" borderId="5" xfId="0" applyFont="1" applyFill="1" applyBorder="1" applyAlignment="1">
      <alignment horizontal="center" vertical="center" wrapText="1" readingOrder="1"/>
    </xf>
    <xf numFmtId="44" fontId="17" fillId="2" borderId="5" xfId="1" applyFont="1" applyFill="1" applyBorder="1" applyAlignment="1">
      <alignment horizontal="right" vertical="center" wrapText="1" readingOrder="1"/>
    </xf>
    <xf numFmtId="44" fontId="17" fillId="2" borderId="6" xfId="1" applyFont="1" applyFill="1" applyBorder="1" applyAlignment="1">
      <alignment horizontal="right" vertical="center" wrapText="1" readingOrder="1"/>
    </xf>
    <xf numFmtId="44" fontId="17" fillId="3" borderId="5" xfId="1" applyFont="1" applyFill="1" applyBorder="1" applyAlignment="1">
      <alignment horizontal="right" vertical="center" wrapText="1" readingOrder="1"/>
    </xf>
    <xf numFmtId="0" fontId="20" fillId="2" borderId="4" xfId="0" applyFont="1" applyFill="1" applyBorder="1" applyAlignment="1">
      <alignment horizontal="left" vertical="center" wrapText="1" readingOrder="1"/>
    </xf>
    <xf numFmtId="44" fontId="11" fillId="2" borderId="6" xfId="1" applyFont="1" applyFill="1" applyBorder="1" applyAlignment="1">
      <alignment horizontal="right" vertical="center" wrapText="1"/>
    </xf>
    <xf numFmtId="44" fontId="18" fillId="3" borderId="5" xfId="1" applyFont="1" applyFill="1" applyBorder="1" applyAlignment="1">
      <alignment horizontal="right" vertical="center" wrapText="1" readingOrder="1"/>
    </xf>
    <xf numFmtId="0" fontId="17" fillId="3" borderId="5" xfId="0" applyFont="1" applyFill="1" applyBorder="1" applyAlignment="1">
      <alignment horizontal="center" vertical="center" wrapText="1" readingOrder="1"/>
    </xf>
    <xf numFmtId="44" fontId="16" fillId="3" borderId="6" xfId="1" applyFont="1" applyFill="1" applyBorder="1" applyAlignment="1">
      <alignment horizontal="right" vertical="center" wrapText="1"/>
    </xf>
    <xf numFmtId="44" fontId="16" fillId="2" borderId="6" xfId="0" applyNumberFormat="1" applyFont="1" applyFill="1" applyBorder="1" applyAlignment="1">
      <alignment horizontal="right" vertical="center" wrapText="1"/>
    </xf>
    <xf numFmtId="0" fontId="17" fillId="2" borderId="5" xfId="0" applyFont="1" applyFill="1" applyBorder="1" applyAlignment="1">
      <alignment horizontal="left" vertical="center" wrapText="1" readingOrder="1"/>
    </xf>
    <xf numFmtId="44" fontId="18" fillId="2" borderId="5" xfId="1" applyFont="1" applyFill="1" applyBorder="1" applyAlignment="1">
      <alignment horizontal="left" vertical="center" wrapText="1" readingOrder="1"/>
    </xf>
    <xf numFmtId="0" fontId="12" fillId="0" borderId="5" xfId="0" applyFont="1" applyBorder="1" applyAlignment="1">
      <alignment vertical="center" wrapText="1" readingOrder="1"/>
    </xf>
    <xf numFmtId="0" fontId="21" fillId="0" borderId="7" xfId="4" applyFont="1" applyBorder="1" applyAlignment="1">
      <alignment horizontal="left" vertical="center"/>
    </xf>
    <xf numFmtId="0" fontId="22" fillId="0" borderId="8" xfId="4" applyFont="1" applyBorder="1" applyAlignment="1">
      <alignment horizontal="center" vertical="center"/>
    </xf>
    <xf numFmtId="44" fontId="11" fillId="2" borderId="9" xfId="0" applyNumberFormat="1" applyFont="1" applyFill="1" applyBorder="1" applyAlignment="1">
      <alignment horizontal="right" vertical="center" wrapText="1"/>
    </xf>
    <xf numFmtId="0" fontId="7" fillId="0" borderId="0" xfId="0" applyFont="1" applyAlignment="1">
      <alignment vertical="center"/>
    </xf>
    <xf numFmtId="0" fontId="15" fillId="0" borderId="0" xfId="0" applyFont="1" applyAlignment="1">
      <alignment vertical="center"/>
    </xf>
    <xf numFmtId="0" fontId="7" fillId="2" borderId="28" xfId="0" applyFont="1" applyFill="1" applyBorder="1" applyAlignment="1">
      <alignment vertical="center" wrapText="1"/>
    </xf>
    <xf numFmtId="168" fontId="15" fillId="0" borderId="29" xfId="0" applyNumberFormat="1" applyFont="1" applyBorder="1" applyAlignment="1">
      <alignment vertical="center"/>
    </xf>
    <xf numFmtId="10" fontId="15" fillId="0" borderId="29" xfId="0" applyNumberFormat="1" applyFont="1" applyBorder="1" applyAlignment="1">
      <alignment horizontal="center" vertical="center"/>
    </xf>
    <xf numFmtId="168" fontId="15" fillId="0" borderId="30" xfId="0" applyNumberFormat="1" applyFont="1" applyBorder="1" applyAlignment="1">
      <alignment vertical="center"/>
    </xf>
    <xf numFmtId="0" fontId="12" fillId="0" borderId="10" xfId="0" applyFont="1" applyBorder="1" applyAlignment="1">
      <alignment vertical="center"/>
    </xf>
    <xf numFmtId="0" fontId="12" fillId="0" borderId="23" xfId="0" applyFont="1" applyBorder="1" applyAlignment="1">
      <alignment vertical="center"/>
    </xf>
    <xf numFmtId="8" fontId="11" fillId="3" borderId="11" xfId="0" applyNumberFormat="1" applyFont="1" applyFill="1" applyBorder="1" applyAlignment="1">
      <alignment vertical="center"/>
    </xf>
    <xf numFmtId="0" fontId="12" fillId="0" borderId="15" xfId="0" applyFont="1" applyBorder="1" applyAlignment="1">
      <alignment vertical="center"/>
    </xf>
    <xf numFmtId="44" fontId="12" fillId="0" borderId="16" xfId="0" applyNumberFormat="1" applyFont="1" applyBorder="1" applyAlignment="1">
      <alignment vertical="center"/>
    </xf>
    <xf numFmtId="10" fontId="12" fillId="0" borderId="16" xfId="0" applyNumberFormat="1" applyFont="1" applyBorder="1" applyAlignment="1">
      <alignment vertical="center"/>
    </xf>
    <xf numFmtId="44" fontId="12" fillId="0" borderId="17" xfId="0" applyNumberFormat="1" applyFont="1" applyBorder="1" applyAlignment="1">
      <alignment vertical="center"/>
    </xf>
    <xf numFmtId="0" fontId="17" fillId="2" borderId="15" xfId="0" applyFont="1" applyFill="1" applyBorder="1" applyAlignment="1">
      <alignment horizontal="left" vertical="center" wrapText="1" readingOrder="1"/>
    </xf>
    <xf numFmtId="168" fontId="18" fillId="2" borderId="16" xfId="0" applyNumberFormat="1" applyFont="1" applyFill="1" applyBorder="1" applyAlignment="1">
      <alignment horizontal="right" vertical="center" wrapText="1" readingOrder="1"/>
    </xf>
    <xf numFmtId="10" fontId="18" fillId="2" borderId="16" xfId="0" applyNumberFormat="1" applyFont="1" applyFill="1" applyBorder="1" applyAlignment="1">
      <alignment horizontal="right" vertical="center" wrapText="1" readingOrder="1"/>
    </xf>
    <xf numFmtId="8" fontId="18" fillId="2" borderId="17" xfId="0" applyNumberFormat="1" applyFont="1" applyFill="1" applyBorder="1" applyAlignment="1">
      <alignment horizontal="right" vertical="center" wrapText="1" readingOrder="1"/>
    </xf>
    <xf numFmtId="0" fontId="15" fillId="0" borderId="20" xfId="0" applyFont="1" applyBorder="1" applyAlignment="1">
      <alignment vertical="center"/>
    </xf>
    <xf numFmtId="44" fontId="12" fillId="0" borderId="21" xfId="0" applyNumberFormat="1" applyFont="1" applyBorder="1" applyAlignment="1">
      <alignment vertical="center"/>
    </xf>
    <xf numFmtId="169" fontId="12" fillId="0" borderId="21" xfId="0" applyNumberFormat="1" applyFont="1" applyBorder="1" applyAlignment="1">
      <alignment vertical="center"/>
    </xf>
    <xf numFmtId="44" fontId="20" fillId="3" borderId="22" xfId="1" applyFont="1" applyFill="1" applyBorder="1" applyAlignment="1">
      <alignment vertical="center"/>
    </xf>
    <xf numFmtId="0" fontId="12" fillId="0" borderId="12" xfId="0" applyFont="1" applyBorder="1" applyAlignment="1">
      <alignment vertical="center"/>
    </xf>
    <xf numFmtId="0" fontId="12" fillId="0" borderId="13" xfId="0" applyFont="1" applyBorder="1" applyAlignment="1">
      <alignment vertical="center"/>
    </xf>
    <xf numFmtId="44" fontId="12" fillId="0" borderId="14" xfId="0" applyNumberFormat="1" applyFont="1" applyBorder="1" applyAlignment="1">
      <alignment vertical="center"/>
    </xf>
    <xf numFmtId="0" fontId="12" fillId="0" borderId="16" xfId="0" applyFont="1" applyBorder="1" applyAlignment="1">
      <alignment vertical="center"/>
    </xf>
    <xf numFmtId="8" fontId="12" fillId="0" borderId="16" xfId="0" applyNumberFormat="1" applyFont="1" applyBorder="1" applyAlignment="1">
      <alignment vertical="center"/>
    </xf>
    <xf numFmtId="168" fontId="12" fillId="0" borderId="17" xfId="0" applyNumberFormat="1" applyFont="1" applyBorder="1" applyAlignment="1">
      <alignment vertical="center"/>
    </xf>
    <xf numFmtId="0" fontId="12" fillId="0" borderId="21" xfId="0" applyFont="1" applyBorder="1" applyAlignment="1">
      <alignment vertical="center"/>
    </xf>
    <xf numFmtId="44" fontId="20" fillId="3" borderId="22" xfId="0" applyNumberFormat="1" applyFont="1" applyFill="1" applyBorder="1" applyAlignment="1">
      <alignment vertical="center"/>
    </xf>
    <xf numFmtId="44" fontId="12" fillId="0" borderId="6" xfId="0" applyNumberFormat="1" applyFont="1" applyBorder="1" applyAlignment="1">
      <alignment vertical="center"/>
    </xf>
    <xf numFmtId="0" fontId="24" fillId="3" borderId="0" xfId="0" applyFont="1" applyFill="1" applyAlignment="1">
      <alignment vertical="center"/>
    </xf>
    <xf numFmtId="0" fontId="0" fillId="3" borderId="0" xfId="0" applyFill="1" applyAlignment="1">
      <alignment vertical="center"/>
    </xf>
    <xf numFmtId="0" fontId="3" fillId="0" borderId="0" xfId="0" applyFont="1" applyAlignment="1">
      <alignment vertical="center"/>
    </xf>
    <xf numFmtId="164" fontId="3" fillId="0" borderId="0" xfId="1" applyNumberFormat="1" applyFont="1" applyAlignment="1">
      <alignment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5" fillId="3" borderId="0" xfId="0" applyFont="1" applyFill="1" applyAlignment="1">
      <alignment vertical="center"/>
    </xf>
    <xf numFmtId="0" fontId="2" fillId="9" borderId="2" xfId="0" applyFont="1" applyFill="1" applyBorder="1" applyAlignment="1">
      <alignment horizontal="center" vertical="center" wrapText="1"/>
    </xf>
    <xf numFmtId="0" fontId="0" fillId="0" borderId="8" xfId="0" applyBorder="1" applyAlignment="1">
      <alignment horizontal="center" vertical="center"/>
    </xf>
    <xf numFmtId="0" fontId="2" fillId="0" borderId="0" xfId="0" applyFont="1" applyAlignment="1">
      <alignment vertical="center"/>
    </xf>
    <xf numFmtId="0" fontId="2" fillId="0" borderId="10" xfId="0" applyFont="1" applyBorder="1" applyAlignment="1">
      <alignment vertical="center"/>
    </xf>
    <xf numFmtId="0" fontId="27" fillId="0" borderId="11" xfId="0" applyFont="1" applyBorder="1" applyAlignment="1">
      <alignment vertical="center"/>
    </xf>
    <xf numFmtId="44" fontId="0" fillId="0" borderId="5" xfId="1" applyFont="1" applyBorder="1" applyAlignment="1">
      <alignment vertical="center"/>
    </xf>
    <xf numFmtId="44" fontId="0" fillId="0" borderId="5" xfId="0" applyNumberFormat="1" applyBorder="1" applyAlignment="1">
      <alignment vertical="center"/>
    </xf>
    <xf numFmtId="0" fontId="0" fillId="0" borderId="5" xfId="0" applyBorder="1" applyAlignment="1">
      <alignment vertical="center"/>
    </xf>
    <xf numFmtId="44" fontId="0" fillId="0" borderId="8" xfId="1" applyFont="1" applyBorder="1" applyAlignment="1">
      <alignment vertical="center"/>
    </xf>
    <xf numFmtId="44" fontId="0" fillId="0" borderId="8" xfId="0" applyNumberFormat="1" applyBorder="1" applyAlignment="1">
      <alignment vertical="center"/>
    </xf>
    <xf numFmtId="17" fontId="0" fillId="0" borderId="4" xfId="0" applyNumberFormat="1" applyBorder="1" applyAlignment="1">
      <alignment horizontal="left" vertical="center"/>
    </xf>
    <xf numFmtId="17" fontId="0" fillId="0" borderId="7" xfId="0" applyNumberFormat="1" applyBorder="1" applyAlignment="1">
      <alignment horizontal="left" vertical="center"/>
    </xf>
    <xf numFmtId="44" fontId="0" fillId="0" borderId="6" xfId="0" applyNumberFormat="1" applyBorder="1" applyAlignment="1">
      <alignment horizontal="center" vertical="center"/>
    </xf>
    <xf numFmtId="0" fontId="0" fillId="0" borderId="8" xfId="0" applyBorder="1" applyAlignment="1">
      <alignment vertical="center"/>
    </xf>
    <xf numFmtId="10" fontId="0" fillId="0" borderId="5" xfId="2" applyNumberFormat="1" applyFont="1" applyBorder="1" applyAlignment="1">
      <alignment horizontal="center" vertical="center"/>
    </xf>
    <xf numFmtId="0" fontId="0" fillId="0" borderId="3" xfId="0" applyBorder="1" applyAlignment="1">
      <alignment vertical="center"/>
    </xf>
    <xf numFmtId="164" fontId="2" fillId="3" borderId="5" xfId="1" applyNumberFormat="1" applyFont="1" applyFill="1" applyBorder="1" applyAlignment="1">
      <alignment horizontal="center" vertical="center"/>
    </xf>
    <xf numFmtId="0" fontId="3" fillId="0" borderId="0" xfId="0" applyFont="1" applyAlignment="1">
      <alignment horizontal="center" vertical="center"/>
    </xf>
    <xf numFmtId="0" fontId="0" fillId="0" borderId="0" xfId="0" applyAlignment="1">
      <alignment horizontal="left" vertical="center"/>
    </xf>
    <xf numFmtId="0" fontId="0" fillId="0" borderId="1" xfId="0" applyBorder="1" applyAlignment="1">
      <alignment horizontal="left" vertical="center"/>
    </xf>
    <xf numFmtId="167" fontId="0" fillId="3" borderId="4" xfId="0" applyNumberFormat="1" applyFill="1" applyBorder="1" applyAlignment="1">
      <alignment horizontal="left" vertical="center"/>
    </xf>
    <xf numFmtId="0" fontId="2" fillId="3" borderId="5" xfId="0" applyFont="1" applyFill="1" applyBorder="1" applyAlignment="1">
      <alignment horizontal="center" vertical="center"/>
    </xf>
    <xf numFmtId="167" fontId="0" fillId="3" borderId="7" xfId="0" applyNumberFormat="1" applyFill="1" applyBorder="1" applyAlignment="1">
      <alignment horizontal="left" vertical="center"/>
    </xf>
    <xf numFmtId="0" fontId="28" fillId="0" borderId="1" xfId="0" applyFont="1" applyBorder="1" applyAlignment="1">
      <alignment vertical="center"/>
    </xf>
    <xf numFmtId="164" fontId="0" fillId="0" borderId="3" xfId="1" applyNumberFormat="1" applyFont="1" applyBorder="1" applyAlignment="1">
      <alignment horizontal="center" vertical="center"/>
    </xf>
    <xf numFmtId="0" fontId="28" fillId="0" borderId="4" xfId="0" applyFont="1" applyBorder="1" applyAlignment="1">
      <alignment vertical="center"/>
    </xf>
    <xf numFmtId="0" fontId="0" fillId="0" borderId="9" xfId="0" applyBorder="1" applyAlignment="1">
      <alignment horizontal="center" vertical="center" wrapText="1"/>
    </xf>
    <xf numFmtId="0" fontId="12" fillId="0" borderId="14" xfId="0" applyFont="1" applyBorder="1" applyAlignment="1">
      <alignment vertical="center"/>
    </xf>
    <xf numFmtId="0" fontId="12" fillId="0" borderId="17" xfId="0" applyFont="1" applyBorder="1" applyAlignment="1">
      <alignment vertical="center"/>
    </xf>
    <xf numFmtId="44" fontId="12" fillId="0" borderId="17" xfId="1" applyFont="1" applyBorder="1" applyAlignment="1">
      <alignment vertical="center"/>
    </xf>
    <xf numFmtId="0" fontId="12" fillId="0" borderId="20" xfId="0" applyFont="1" applyBorder="1" applyAlignment="1">
      <alignment vertical="center"/>
    </xf>
    <xf numFmtId="44" fontId="12" fillId="0" borderId="22" xfId="0" applyNumberFormat="1" applyFont="1" applyBorder="1" applyAlignment="1">
      <alignment vertical="center"/>
    </xf>
    <xf numFmtId="13" fontId="12" fillId="0" borderId="15" xfId="0" quotePrefix="1" applyNumberFormat="1" applyFont="1" applyBorder="1" applyAlignment="1">
      <alignment vertical="center"/>
    </xf>
    <xf numFmtId="44" fontId="20" fillId="3" borderId="17" xfId="1" applyFont="1" applyFill="1" applyBorder="1" applyAlignment="1">
      <alignment vertical="center"/>
    </xf>
    <xf numFmtId="44" fontId="12" fillId="3" borderId="5" xfId="0" applyNumberFormat="1" applyFont="1" applyFill="1" applyBorder="1" applyAlignment="1">
      <alignment vertical="center"/>
    </xf>
    <xf numFmtId="44" fontId="2" fillId="3" borderId="9" xfId="0" applyNumberFormat="1" applyFont="1" applyFill="1" applyBorder="1" applyAlignment="1">
      <alignment horizontal="center" vertical="center"/>
    </xf>
    <xf numFmtId="0" fontId="0" fillId="9" borderId="15" xfId="0" applyFill="1" applyBorder="1" applyAlignment="1">
      <alignment vertical="center"/>
    </xf>
    <xf numFmtId="168" fontId="0" fillId="9" borderId="16" xfId="0" applyNumberFormat="1" applyFill="1" applyBorder="1" applyAlignment="1">
      <alignment vertical="center"/>
    </xf>
    <xf numFmtId="168" fontId="0" fillId="0" borderId="17" xfId="0" applyNumberFormat="1" applyBorder="1" applyAlignment="1">
      <alignment vertical="center"/>
    </xf>
    <xf numFmtId="168" fontId="7" fillId="3" borderId="5" xfId="0" applyNumberFormat="1" applyFont="1" applyFill="1" applyBorder="1" applyAlignment="1">
      <alignment vertical="center"/>
    </xf>
    <xf numFmtId="44" fontId="12" fillId="3" borderId="5" xfId="1" applyFont="1" applyFill="1" applyBorder="1" applyAlignment="1">
      <alignment horizontal="center" vertical="center"/>
    </xf>
    <xf numFmtId="9" fontId="12" fillId="3" borderId="5" xfId="0" applyNumberFormat="1" applyFont="1" applyFill="1" applyBorder="1" applyAlignment="1">
      <alignment vertical="center"/>
    </xf>
    <xf numFmtId="0" fontId="2" fillId="0" borderId="1" xfId="0" applyFont="1" applyBorder="1" applyAlignment="1">
      <alignment vertical="center"/>
    </xf>
    <xf numFmtId="10" fontId="0" fillId="0" borderId="3" xfId="2" applyNumberFormat="1" applyFont="1" applyBorder="1" applyAlignment="1">
      <alignment horizontal="center" vertical="center"/>
    </xf>
    <xf numFmtId="0" fontId="2" fillId="0" borderId="7" xfId="0" applyFont="1" applyBorder="1" applyAlignment="1">
      <alignment vertical="center"/>
    </xf>
    <xf numFmtId="10" fontId="0" fillId="0" borderId="9" xfId="2" applyNumberFormat="1"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28" fillId="0" borderId="34" xfId="0" applyFont="1" applyBorder="1" applyAlignment="1">
      <alignment vertical="center"/>
    </xf>
    <xf numFmtId="164" fontId="0" fillId="0" borderId="35" xfId="1" applyNumberFormat="1" applyFont="1" applyBorder="1" applyAlignment="1">
      <alignment horizontal="center" vertical="center"/>
    </xf>
    <xf numFmtId="0" fontId="12" fillId="0" borderId="17" xfId="0" applyFont="1" applyBorder="1" applyAlignment="1">
      <alignment horizontal="center" vertical="center"/>
    </xf>
    <xf numFmtId="44" fontId="12" fillId="0" borderId="14" xfId="1" applyFont="1" applyBorder="1" applyAlignment="1">
      <alignment vertical="center"/>
    </xf>
    <xf numFmtId="0" fontId="30" fillId="13" borderId="20" xfId="0" applyFont="1" applyFill="1" applyBorder="1" applyAlignment="1">
      <alignment vertical="center"/>
    </xf>
    <xf numFmtId="0" fontId="30" fillId="13" borderId="21" xfId="0" applyFont="1" applyFill="1" applyBorder="1" applyAlignment="1">
      <alignment vertical="center"/>
    </xf>
    <xf numFmtId="44" fontId="30" fillId="13" borderId="22" xfId="1" applyFont="1" applyFill="1" applyBorder="1" applyAlignment="1">
      <alignment vertical="center"/>
    </xf>
    <xf numFmtId="0" fontId="31" fillId="3" borderId="0" xfId="0" applyFont="1" applyFill="1" applyAlignment="1">
      <alignment vertical="center"/>
    </xf>
    <xf numFmtId="0" fontId="12" fillId="0" borderId="16" xfId="0" applyFont="1" applyBorder="1" applyAlignment="1">
      <alignment horizontal="center" vertical="center"/>
    </xf>
    <xf numFmtId="44" fontId="0" fillId="9" borderId="5" xfId="1" applyFont="1" applyFill="1" applyBorder="1" applyAlignment="1">
      <alignment horizontal="center" vertical="center"/>
    </xf>
    <xf numFmtId="8" fontId="0" fillId="0" borderId="3" xfId="0" applyNumberFormat="1" applyBorder="1" applyAlignment="1">
      <alignment horizontal="center" vertical="center"/>
    </xf>
    <xf numFmtId="8" fontId="0" fillId="0" borderId="9" xfId="0" applyNumberFormat="1" applyBorder="1" applyAlignment="1">
      <alignment horizontal="center" vertical="center"/>
    </xf>
    <xf numFmtId="44" fontId="0" fillId="9" borderId="8" xfId="1" applyFont="1" applyFill="1" applyBorder="1" applyAlignment="1">
      <alignment horizontal="center" vertical="center"/>
    </xf>
    <xf numFmtId="0" fontId="15" fillId="13" borderId="20" xfId="0" applyFont="1" applyFill="1" applyBorder="1" applyAlignment="1">
      <alignment vertical="center"/>
    </xf>
    <xf numFmtId="0" fontId="15" fillId="13" borderId="21" xfId="0" applyFont="1" applyFill="1" applyBorder="1" applyAlignment="1">
      <alignment vertical="center"/>
    </xf>
    <xf numFmtId="0" fontId="15" fillId="13" borderId="17" xfId="0" applyFont="1" applyFill="1" applyBorder="1" applyAlignment="1">
      <alignment horizontal="center" vertical="center"/>
    </xf>
    <xf numFmtId="44" fontId="15" fillId="13" borderId="22" xfId="0" applyNumberFormat="1" applyFont="1" applyFill="1" applyBorder="1" applyAlignment="1">
      <alignment vertical="center"/>
    </xf>
    <xf numFmtId="167" fontId="2" fillId="3" borderId="4" xfId="0" applyNumberFormat="1" applyFont="1" applyFill="1" applyBorder="1" applyAlignment="1">
      <alignment horizontal="left" vertical="center"/>
    </xf>
    <xf numFmtId="167" fontId="0" fillId="13" borderId="4" xfId="0" applyNumberFormat="1" applyFill="1" applyBorder="1" applyAlignment="1">
      <alignment horizontal="left" vertical="center"/>
    </xf>
    <xf numFmtId="0" fontId="0" fillId="0" borderId="2" xfId="0" applyBorder="1" applyAlignment="1">
      <alignment vertical="center"/>
    </xf>
    <xf numFmtId="0" fontId="2" fillId="0" borderId="3" xfId="0" applyFont="1" applyBorder="1" applyAlignment="1">
      <alignment vertical="center"/>
    </xf>
    <xf numFmtId="0" fontId="0" fillId="13" borderId="6" xfId="0" applyFill="1" applyBorder="1" applyAlignment="1">
      <alignment vertical="center"/>
    </xf>
    <xf numFmtId="16" fontId="0" fillId="0" borderId="5" xfId="0" applyNumberFormat="1" applyBorder="1" applyAlignment="1">
      <alignment horizontal="center" vertic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9" xfId="0" applyBorder="1" applyAlignment="1">
      <alignment horizontal="center"/>
    </xf>
    <xf numFmtId="0" fontId="2" fillId="13" borderId="7" xfId="0" applyFont="1" applyFill="1" applyBorder="1" applyAlignment="1">
      <alignment horizontal="center"/>
    </xf>
    <xf numFmtId="0" fontId="2" fillId="13" borderId="8" xfId="0" applyFont="1" applyFill="1" applyBorder="1" applyAlignment="1">
      <alignment horizontal="center"/>
    </xf>
    <xf numFmtId="0" fontId="2" fillId="0" borderId="2" xfId="0" applyFont="1" applyBorder="1" applyAlignment="1">
      <alignment vertical="center"/>
    </xf>
    <xf numFmtId="14" fontId="0" fillId="0" borderId="6" xfId="0" applyNumberFormat="1" applyBorder="1" applyAlignment="1">
      <alignment vertical="center"/>
    </xf>
    <xf numFmtId="0" fontId="0" fillId="0" borderId="9" xfId="0" applyBorder="1" applyAlignment="1">
      <alignment horizontal="center" vertical="center"/>
    </xf>
    <xf numFmtId="14" fontId="0" fillId="0" borderId="5" xfId="0" applyNumberFormat="1" applyBorder="1" applyAlignment="1">
      <alignment vertical="center"/>
    </xf>
    <xf numFmtId="44" fontId="0" fillId="0" borderId="6" xfId="1" applyFont="1" applyBorder="1" applyAlignment="1">
      <alignment vertical="center"/>
    </xf>
    <xf numFmtId="44" fontId="16" fillId="9" borderId="5" xfId="1" applyFont="1" applyFill="1" applyBorder="1" applyAlignment="1">
      <alignment horizontal="right" vertical="center" wrapText="1"/>
    </xf>
    <xf numFmtId="0" fontId="16" fillId="9" borderId="5" xfId="0" applyFont="1" applyFill="1" applyBorder="1" applyAlignment="1">
      <alignment vertical="center" wrapText="1"/>
    </xf>
    <xf numFmtId="44" fontId="16" fillId="9" borderId="5" xfId="1" applyFont="1" applyFill="1" applyBorder="1" applyAlignment="1">
      <alignment vertical="center" wrapText="1"/>
    </xf>
    <xf numFmtId="165" fontId="11" fillId="9" borderId="5" xfId="1" applyNumberFormat="1" applyFont="1" applyFill="1" applyBorder="1" applyAlignment="1">
      <alignment horizontal="right" vertical="center" wrapText="1"/>
    </xf>
    <xf numFmtId="44" fontId="16" fillId="0" borderId="6" xfId="0" applyNumberFormat="1" applyFont="1" applyBorder="1" applyAlignment="1">
      <alignment vertical="center"/>
    </xf>
    <xf numFmtId="10" fontId="16" fillId="2" borderId="5" xfId="0" applyNumberFormat="1" applyFont="1" applyFill="1" applyBorder="1" applyAlignment="1">
      <alignment horizontal="center" vertical="center" wrapText="1" readingOrder="1"/>
    </xf>
    <xf numFmtId="44" fontId="16" fillId="2" borderId="5" xfId="1" applyFont="1" applyFill="1" applyBorder="1" applyAlignment="1">
      <alignment horizontal="right" vertical="center" wrapText="1" readingOrder="1"/>
    </xf>
    <xf numFmtId="165" fontId="11" fillId="2" borderId="5" xfId="1" applyNumberFormat="1" applyFont="1" applyFill="1" applyBorder="1" applyAlignment="1">
      <alignment horizontal="right" vertical="center" wrapText="1" readingOrder="1"/>
    </xf>
    <xf numFmtId="0" fontId="16" fillId="0" borderId="5" xfId="0" applyFont="1" applyBorder="1" applyAlignment="1">
      <alignment vertical="center"/>
    </xf>
    <xf numFmtId="44" fontId="11" fillId="9" borderId="6" xfId="1" applyFont="1" applyFill="1" applyBorder="1" applyAlignment="1">
      <alignment horizontal="right" vertical="center" wrapText="1"/>
    </xf>
    <xf numFmtId="165" fontId="16" fillId="2" borderId="5" xfId="1" applyNumberFormat="1" applyFont="1" applyFill="1" applyBorder="1" applyAlignment="1">
      <alignment horizontal="right" vertical="center" wrapText="1" readingOrder="1"/>
    </xf>
    <xf numFmtId="0" fontId="11" fillId="10" borderId="5" xfId="0" applyFont="1" applyFill="1" applyBorder="1" applyAlignment="1">
      <alignment horizontal="center" vertical="center" wrapText="1" readingOrder="1"/>
    </xf>
    <xf numFmtId="0" fontId="11" fillId="10" borderId="6" xfId="0" applyFont="1" applyFill="1" applyBorder="1" applyAlignment="1">
      <alignment horizontal="center" vertical="center" wrapText="1" readingOrder="1"/>
    </xf>
    <xf numFmtId="0" fontId="16" fillId="2" borderId="5" xfId="0" applyFont="1" applyFill="1" applyBorder="1" applyAlignment="1">
      <alignment horizontal="center" vertical="center" wrapText="1" readingOrder="1"/>
    </xf>
    <xf numFmtId="0" fontId="11" fillId="10" borderId="5" xfId="0" applyFont="1" applyFill="1" applyBorder="1" applyAlignment="1">
      <alignment horizontal="left" vertical="center" wrapText="1" readingOrder="1"/>
    </xf>
    <xf numFmtId="0" fontId="11" fillId="10" borderId="6" xfId="0" applyFont="1" applyFill="1" applyBorder="1" applyAlignment="1">
      <alignment horizontal="left" vertical="center" wrapText="1" readingOrder="1"/>
    </xf>
    <xf numFmtId="165" fontId="16" fillId="2" borderId="5" xfId="0" applyNumberFormat="1" applyFont="1" applyFill="1" applyBorder="1" applyAlignment="1">
      <alignment horizontal="center" vertical="center" wrapText="1" readingOrder="1"/>
    </xf>
    <xf numFmtId="170" fontId="0" fillId="0" borderId="5" xfId="0" applyNumberFormat="1" applyBorder="1" applyAlignment="1">
      <alignment vertical="center"/>
    </xf>
    <xf numFmtId="0" fontId="15" fillId="0" borderId="6" xfId="0" applyFont="1" applyBorder="1" applyAlignment="1">
      <alignment vertical="center"/>
    </xf>
    <xf numFmtId="8" fontId="12" fillId="0" borderId="0" xfId="0" applyNumberFormat="1" applyFont="1" applyAlignment="1">
      <alignment vertical="center"/>
    </xf>
    <xf numFmtId="10" fontId="12" fillId="0" borderId="0" xfId="0" applyNumberFormat="1" applyFont="1" applyAlignment="1">
      <alignment vertical="center"/>
    </xf>
    <xf numFmtId="44" fontId="32" fillId="0" borderId="16" xfId="1" applyFont="1" applyFill="1" applyBorder="1" applyAlignment="1">
      <alignment horizontal="center" vertical="center" wrapText="1" readingOrder="1"/>
    </xf>
    <xf numFmtId="0" fontId="32" fillId="0" borderId="16" xfId="0" applyFont="1" applyBorder="1" applyAlignment="1">
      <alignment horizontal="center" vertical="center" readingOrder="1"/>
    </xf>
    <xf numFmtId="44" fontId="32" fillId="0" borderId="36" xfId="1" applyFont="1" applyFill="1" applyBorder="1" applyAlignment="1">
      <alignment horizontal="center" vertical="center" wrapText="1" readingOrder="1"/>
    </xf>
    <xf numFmtId="0" fontId="33" fillId="0" borderId="15" xfId="0" applyFont="1" applyBorder="1" applyAlignment="1">
      <alignment horizontal="left" vertical="center" wrapText="1" readingOrder="1"/>
    </xf>
    <xf numFmtId="0" fontId="33" fillId="0" borderId="16" xfId="0" applyFont="1" applyBorder="1" applyAlignment="1">
      <alignment horizontal="center" vertical="center" wrapText="1" readingOrder="1"/>
    </xf>
    <xf numFmtId="0" fontId="32" fillId="0" borderId="16" xfId="0" applyFont="1" applyBorder="1" applyAlignment="1">
      <alignment horizontal="center" vertical="center" wrapText="1" readingOrder="1"/>
    </xf>
    <xf numFmtId="44" fontId="32" fillId="0" borderId="16" xfId="0" applyNumberFormat="1" applyFont="1" applyBorder="1" applyAlignment="1">
      <alignment horizontal="center" vertical="center" wrapText="1" readingOrder="1"/>
    </xf>
    <xf numFmtId="0" fontId="32" fillId="0" borderId="37" xfId="0" applyFont="1" applyBorder="1" applyAlignment="1">
      <alignment horizontal="center" vertical="center" wrapText="1" readingOrder="1"/>
    </xf>
    <xf numFmtId="44" fontId="34" fillId="0" borderId="36" xfId="0" applyNumberFormat="1" applyFont="1" applyBorder="1" applyAlignment="1">
      <alignment horizontal="center" vertical="center" wrapText="1"/>
    </xf>
    <xf numFmtId="10" fontId="32" fillId="0" borderId="16" xfId="0" applyNumberFormat="1" applyFont="1" applyBorder="1" applyAlignment="1">
      <alignment horizontal="center" vertical="center" wrapText="1" readingOrder="1"/>
    </xf>
    <xf numFmtId="0" fontId="32" fillId="0" borderId="36" xfId="0" applyFont="1" applyBorder="1" applyAlignment="1">
      <alignment horizontal="center" vertical="center" wrapText="1" readingOrder="1"/>
    </xf>
    <xf numFmtId="0" fontId="35" fillId="0" borderId="15" xfId="0" applyFont="1" applyBorder="1" applyAlignment="1">
      <alignment horizontal="left" vertical="center" wrapText="1" readingOrder="1"/>
    </xf>
    <xf numFmtId="0" fontId="36" fillId="0" borderId="16" xfId="0" applyFont="1" applyBorder="1" applyAlignment="1">
      <alignment horizontal="center" vertical="center" wrapText="1" readingOrder="1"/>
    </xf>
    <xf numFmtId="0" fontId="37" fillId="0" borderId="20" xfId="4" applyFont="1" applyBorder="1" applyAlignment="1">
      <alignment horizontal="center" vertical="center"/>
    </xf>
    <xf numFmtId="0" fontId="38" fillId="0" borderId="21" xfId="4" applyFont="1" applyBorder="1" applyAlignment="1">
      <alignment horizontal="center" vertical="center"/>
    </xf>
    <xf numFmtId="0" fontId="38" fillId="0" borderId="38" xfId="4" applyFont="1" applyBorder="1" applyAlignment="1">
      <alignment horizontal="center" vertical="center"/>
    </xf>
    <xf numFmtId="44" fontId="39" fillId="2" borderId="39" xfId="0" applyNumberFormat="1" applyFont="1" applyFill="1" applyBorder="1" applyAlignment="1">
      <alignment horizontal="center" vertical="center" wrapText="1"/>
    </xf>
    <xf numFmtId="44" fontId="12" fillId="0" borderId="0" xfId="0" applyNumberFormat="1" applyFont="1" applyAlignment="1">
      <alignment vertical="center"/>
    </xf>
    <xf numFmtId="0" fontId="0" fillId="0" borderId="5" xfId="0" applyBorder="1" applyAlignment="1">
      <alignment horizontal="center" vertical="center" wrapText="1"/>
    </xf>
    <xf numFmtId="0" fontId="0" fillId="0" borderId="5" xfId="0" applyBorder="1" applyAlignment="1">
      <alignment vertical="center"/>
    </xf>
    <xf numFmtId="0" fontId="4" fillId="0" borderId="0" xfId="0" applyFont="1" applyAlignment="1">
      <alignment horizontal="center" vertical="center" wrapText="1"/>
    </xf>
    <xf numFmtId="0" fontId="0" fillId="0" borderId="0" xfId="0" applyAlignment="1">
      <alignment vertical="center" wrapText="1"/>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31" xfId="0" applyFont="1" applyBorder="1" applyAlignment="1">
      <alignment vertical="center" wrapText="1"/>
    </xf>
    <xf numFmtId="0" fontId="2" fillId="0" borderId="32" xfId="0" applyFont="1" applyBorder="1" applyAlignment="1">
      <alignment vertical="center" wrapText="1"/>
    </xf>
    <xf numFmtId="0" fontId="2" fillId="0" borderId="33" xfId="0" applyFont="1" applyBorder="1" applyAlignment="1">
      <alignment vertical="center" wrapText="1"/>
    </xf>
    <xf numFmtId="0" fontId="2" fillId="3" borderId="6"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0" fillId="0" borderId="5" xfId="0" applyBorder="1" applyAlignment="1">
      <alignment vertical="center" wrapText="1"/>
    </xf>
    <xf numFmtId="0" fontId="3" fillId="0" borderId="0" xfId="0" applyFont="1" applyAlignment="1">
      <alignment horizontal="center" vertical="center"/>
    </xf>
    <xf numFmtId="0" fontId="26" fillId="3" borderId="0" xfId="0" applyFont="1" applyFill="1" applyAlignment="1">
      <alignment horizontal="center" vertical="center"/>
    </xf>
    <xf numFmtId="0" fontId="0" fillId="3" borderId="0" xfId="0" applyFill="1" applyAlignment="1">
      <alignment horizontal="center" vertical="center"/>
    </xf>
    <xf numFmtId="0" fontId="23" fillId="3" borderId="27" xfId="0" applyFont="1" applyFill="1" applyBorder="1" applyAlignment="1">
      <alignment horizontal="left" vertical="center" wrapText="1" readingOrder="1"/>
    </xf>
    <xf numFmtId="0" fontId="12" fillId="0" borderId="0" xfId="0" applyFont="1" applyAlignment="1">
      <alignment vertical="center"/>
    </xf>
    <xf numFmtId="44" fontId="8" fillId="2" borderId="13" xfId="0" applyNumberFormat="1" applyFont="1" applyFill="1" applyBorder="1" applyAlignment="1">
      <alignment horizontal="right" vertical="center" wrapText="1"/>
    </xf>
    <xf numFmtId="0" fontId="8" fillId="2" borderId="16" xfId="0" applyFont="1" applyFill="1" applyBorder="1" applyAlignment="1">
      <alignment horizontal="right" vertical="center" wrapText="1"/>
    </xf>
    <xf numFmtId="0" fontId="8" fillId="2" borderId="21" xfId="0" applyFont="1" applyFill="1" applyBorder="1" applyAlignment="1">
      <alignment horizontal="right" vertical="center" wrapText="1"/>
    </xf>
    <xf numFmtId="165" fontId="8" fillId="2" borderId="13" xfId="0" applyNumberFormat="1" applyFont="1" applyFill="1" applyBorder="1" applyAlignment="1">
      <alignment horizontal="center" vertical="center" wrapText="1"/>
    </xf>
    <xf numFmtId="0" fontId="12" fillId="0" borderId="16" xfId="0" applyFont="1" applyBorder="1" applyAlignment="1">
      <alignment vertical="center" wrapText="1"/>
    </xf>
    <xf numFmtId="0" fontId="12" fillId="0" borderId="21" xfId="0" applyFont="1" applyBorder="1" applyAlignment="1">
      <alignment vertical="center" wrapText="1"/>
    </xf>
    <xf numFmtId="8" fontId="9" fillId="2" borderId="14" xfId="0" applyNumberFormat="1" applyFont="1" applyFill="1" applyBorder="1" applyAlignment="1">
      <alignment horizontal="right" vertical="center" wrapText="1"/>
    </xf>
    <xf numFmtId="8" fontId="9" fillId="2" borderId="17" xfId="0" applyNumberFormat="1" applyFont="1" applyFill="1" applyBorder="1" applyAlignment="1">
      <alignment horizontal="right" vertical="center" wrapText="1"/>
    </xf>
    <xf numFmtId="8" fontId="9" fillId="2" borderId="22" xfId="0" applyNumberFormat="1" applyFont="1" applyFill="1" applyBorder="1" applyAlignment="1">
      <alignment horizontal="right" vertical="center" wrapText="1"/>
    </xf>
    <xf numFmtId="0" fontId="20" fillId="3" borderId="12" xfId="0" applyFont="1" applyFill="1" applyBorder="1" applyAlignment="1">
      <alignment horizontal="left" vertical="center" wrapText="1" readingOrder="1"/>
    </xf>
    <xf numFmtId="0" fontId="20" fillId="3" borderId="13" xfId="0" applyFont="1" applyFill="1" applyBorder="1" applyAlignment="1">
      <alignment horizontal="left" vertical="center" wrapText="1" readingOrder="1"/>
    </xf>
    <xf numFmtId="0" fontId="20" fillId="3" borderId="14" xfId="0" applyFont="1" applyFill="1" applyBorder="1" applyAlignment="1">
      <alignment horizontal="left" vertical="center" wrapText="1" readingOrder="1"/>
    </xf>
    <xf numFmtId="0" fontId="20" fillId="3" borderId="24" xfId="0" applyFont="1" applyFill="1" applyBorder="1" applyAlignment="1">
      <alignment horizontal="left" vertical="center" wrapText="1" readingOrder="1"/>
    </xf>
    <xf numFmtId="0" fontId="20" fillId="3" borderId="25" xfId="0" applyFont="1" applyFill="1" applyBorder="1" applyAlignment="1">
      <alignment horizontal="left" vertical="center" wrapText="1" readingOrder="1"/>
    </xf>
    <xf numFmtId="0" fontId="20" fillId="3" borderId="26" xfId="0" applyFont="1" applyFill="1" applyBorder="1" applyAlignment="1">
      <alignment horizontal="left" vertical="center" wrapText="1" readingOrder="1"/>
    </xf>
    <xf numFmtId="14" fontId="13" fillId="6" borderId="5" xfId="4" applyNumberFormat="1" applyFont="1" applyFill="1" applyBorder="1" applyAlignment="1" applyProtection="1">
      <alignment horizontal="center" vertical="center"/>
      <protection locked="0"/>
    </xf>
    <xf numFmtId="0" fontId="12" fillId="0" borderId="5" xfId="0" applyFont="1" applyBorder="1" applyAlignment="1">
      <alignment vertical="center"/>
    </xf>
    <xf numFmtId="0" fontId="12" fillId="0" borderId="6" xfId="0" applyFont="1" applyBorder="1" applyAlignment="1">
      <alignment vertical="center"/>
    </xf>
    <xf numFmtId="44" fontId="15" fillId="2" borderId="13" xfId="0" applyNumberFormat="1" applyFont="1" applyFill="1" applyBorder="1" applyAlignment="1">
      <alignment horizontal="right" vertical="center" wrapText="1"/>
    </xf>
    <xf numFmtId="0" fontId="15" fillId="2" borderId="16" xfId="0" applyFont="1" applyFill="1" applyBorder="1" applyAlignment="1">
      <alignment horizontal="right" vertical="center" wrapText="1"/>
    </xf>
    <xf numFmtId="0" fontId="15" fillId="2" borderId="21" xfId="0" applyFont="1" applyFill="1" applyBorder="1" applyAlignment="1">
      <alignment horizontal="right" vertical="center" wrapText="1"/>
    </xf>
    <xf numFmtId="8" fontId="17" fillId="2" borderId="14" xfId="0" applyNumberFormat="1" applyFont="1" applyFill="1" applyBorder="1" applyAlignment="1">
      <alignment horizontal="right" vertical="center" wrapText="1"/>
    </xf>
    <xf numFmtId="8" fontId="17" fillId="2" borderId="17" xfId="0" applyNumberFormat="1" applyFont="1" applyFill="1" applyBorder="1" applyAlignment="1">
      <alignment horizontal="right" vertical="center" wrapText="1"/>
    </xf>
    <xf numFmtId="8" fontId="17" fillId="2" borderId="22" xfId="0" applyNumberFormat="1" applyFont="1" applyFill="1" applyBorder="1" applyAlignment="1">
      <alignment horizontal="right" vertical="center" wrapText="1"/>
    </xf>
    <xf numFmtId="0" fontId="27" fillId="0" borderId="5" xfId="0" applyFont="1" applyBorder="1" applyAlignment="1">
      <alignment horizontal="center" vertical="center"/>
    </xf>
    <xf numFmtId="0" fontId="27" fillId="0" borderId="9" xfId="0" applyFont="1" applyBorder="1" applyAlignment="1">
      <alignment vertical="center"/>
    </xf>
    <xf numFmtId="0" fontId="27" fillId="9" borderId="6" xfId="0" applyFont="1" applyFill="1" applyBorder="1" applyAlignment="1">
      <alignment vertical="center"/>
    </xf>
    <xf numFmtId="0" fontId="27" fillId="3" borderId="5" xfId="0" applyFont="1" applyFill="1" applyBorder="1" applyAlignment="1">
      <alignment horizontal="center" vertical="center" wrapText="1"/>
    </xf>
    <xf numFmtId="0" fontId="40" fillId="0" borderId="5" xfId="0" applyFont="1" applyBorder="1" applyAlignment="1">
      <alignment horizontal="center" vertical="center" wrapText="1"/>
    </xf>
    <xf numFmtId="0" fontId="27" fillId="0" borderId="10" xfId="0" applyFont="1" applyBorder="1" applyAlignment="1">
      <alignment vertical="center"/>
    </xf>
    <xf numFmtId="44" fontId="27" fillId="0" borderId="11" xfId="1" applyFont="1" applyBorder="1" applyAlignment="1">
      <alignment vertical="center"/>
    </xf>
    <xf numFmtId="10" fontId="27" fillId="0" borderId="11" xfId="2" applyNumberFormat="1" applyFont="1" applyBorder="1" applyAlignment="1">
      <alignment horizontal="center" vertical="center" wrapText="1"/>
    </xf>
    <xf numFmtId="0" fontId="41" fillId="2" borderId="40" xfId="0" applyFont="1" applyFill="1" applyBorder="1" applyAlignment="1">
      <alignment horizontal="center" vertical="center" wrapText="1" readingOrder="1"/>
    </xf>
    <xf numFmtId="0" fontId="18" fillId="2" borderId="40" xfId="0" applyFont="1" applyFill="1" applyBorder="1" applyAlignment="1">
      <alignment horizontal="right" vertical="center" wrapText="1" readingOrder="1"/>
    </xf>
    <xf numFmtId="0" fontId="42" fillId="2" borderId="40" xfId="0" applyFont="1" applyFill="1" applyBorder="1" applyAlignment="1">
      <alignment horizontal="center" vertical="center" wrapText="1" readingOrder="1"/>
    </xf>
    <xf numFmtId="17" fontId="18" fillId="2" borderId="40" xfId="0" quotePrefix="1" applyNumberFormat="1" applyFont="1" applyFill="1" applyBorder="1" applyAlignment="1">
      <alignment horizontal="center" vertical="center" wrapText="1" readingOrder="1"/>
    </xf>
    <xf numFmtId="16" fontId="18" fillId="2" borderId="40" xfId="0" quotePrefix="1" applyNumberFormat="1" applyFont="1" applyFill="1" applyBorder="1" applyAlignment="1">
      <alignment horizontal="center" vertical="center" wrapText="1" readingOrder="1"/>
    </xf>
    <xf numFmtId="44" fontId="18" fillId="2" borderId="40" xfId="0" applyNumberFormat="1" applyFont="1" applyFill="1" applyBorder="1" applyAlignment="1">
      <alignment horizontal="right" vertical="center" wrapText="1" readingOrder="1"/>
    </xf>
    <xf numFmtId="43" fontId="18" fillId="2" borderId="40" xfId="3" applyFont="1" applyFill="1" applyBorder="1" applyAlignment="1">
      <alignment horizontal="right" vertical="center" wrapText="1" readingOrder="1"/>
    </xf>
    <xf numFmtId="44" fontId="18" fillId="2" borderId="40" xfId="1" applyFont="1" applyFill="1" applyBorder="1" applyAlignment="1">
      <alignment horizontal="center" vertical="center" wrapText="1" readingOrder="1"/>
    </xf>
    <xf numFmtId="44" fontId="42" fillId="2" borderId="40" xfId="1" applyFont="1" applyFill="1" applyBorder="1" applyAlignment="1">
      <alignment horizontal="center" vertical="center" wrapText="1" readingOrder="1"/>
    </xf>
    <xf numFmtId="0" fontId="0" fillId="0" borderId="41" xfId="0" applyBorder="1" applyAlignment="1">
      <alignment vertical="center"/>
    </xf>
    <xf numFmtId="0" fontId="0" fillId="0" borderId="35" xfId="0" applyBorder="1" applyAlignment="1">
      <alignment vertical="center"/>
    </xf>
    <xf numFmtId="9" fontId="16" fillId="9" borderId="6" xfId="1" applyNumberFormat="1" applyFont="1" applyFill="1" applyBorder="1" applyAlignment="1">
      <alignment vertical="center"/>
    </xf>
    <xf numFmtId="9" fontId="12" fillId="0" borderId="5" xfId="0" applyNumberFormat="1" applyFont="1" applyBorder="1" applyAlignment="1">
      <alignment vertical="center"/>
    </xf>
    <xf numFmtId="44" fontId="12" fillId="0" borderId="0" xfId="1" applyFont="1" applyAlignment="1">
      <alignment vertical="center"/>
    </xf>
    <xf numFmtId="0" fontId="15" fillId="13" borderId="15" xfId="0" applyFont="1" applyFill="1" applyBorder="1" applyAlignment="1">
      <alignment vertical="center"/>
    </xf>
    <xf numFmtId="0" fontId="15" fillId="13" borderId="16" xfId="0" applyFont="1" applyFill="1" applyBorder="1" applyAlignment="1">
      <alignment vertical="center"/>
    </xf>
    <xf numFmtId="44" fontId="15" fillId="13" borderId="17" xfId="0" applyNumberFormat="1" applyFont="1" applyFill="1" applyBorder="1" applyAlignment="1">
      <alignment vertical="center"/>
    </xf>
    <xf numFmtId="44" fontId="12" fillId="0" borderId="22" xfId="1" applyFont="1" applyBorder="1" applyAlignment="1">
      <alignment vertical="center"/>
    </xf>
    <xf numFmtId="44" fontId="15" fillId="13" borderId="17" xfId="0" applyNumberFormat="1" applyFont="1" applyFill="1" applyBorder="1" applyAlignment="1">
      <alignment horizontal="center" vertical="center"/>
    </xf>
    <xf numFmtId="0" fontId="4" fillId="3" borderId="0" xfId="0" applyFont="1" applyFill="1" applyAlignment="1">
      <alignment vertical="center"/>
    </xf>
    <xf numFmtId="0" fontId="12" fillId="0" borderId="1" xfId="0" applyFont="1" applyBorder="1" applyAlignment="1">
      <alignment vertical="center"/>
    </xf>
    <xf numFmtId="0" fontId="12" fillId="0" borderId="2" xfId="0" applyFont="1" applyBorder="1" applyAlignment="1">
      <alignment vertical="center"/>
    </xf>
    <xf numFmtId="44" fontId="12" fillId="0" borderId="3" xfId="0" applyNumberFormat="1" applyFont="1" applyBorder="1" applyAlignment="1">
      <alignment vertical="center"/>
    </xf>
    <xf numFmtId="0" fontId="12" fillId="0" borderId="8" xfId="0" applyFont="1" applyBorder="1" applyAlignment="1">
      <alignment vertical="center"/>
    </xf>
    <xf numFmtId="44" fontId="12" fillId="0" borderId="9" xfId="0" applyNumberFormat="1" applyFont="1" applyBorder="1" applyAlignment="1">
      <alignment vertical="center"/>
    </xf>
    <xf numFmtId="0" fontId="43" fillId="0" borderId="1" xfId="0" applyFont="1" applyBorder="1" applyAlignment="1">
      <alignment vertical="center"/>
    </xf>
    <xf numFmtId="0" fontId="12" fillId="0" borderId="3" xfId="0" applyFont="1" applyBorder="1" applyAlignment="1">
      <alignment vertical="center"/>
    </xf>
    <xf numFmtId="44" fontId="15" fillId="13" borderId="6" xfId="0" applyNumberFormat="1" applyFont="1" applyFill="1" applyBorder="1" applyAlignment="1">
      <alignment vertical="center"/>
    </xf>
    <xf numFmtId="44" fontId="15" fillId="13" borderId="9" xfId="0" applyNumberFormat="1" applyFont="1" applyFill="1" applyBorder="1" applyAlignment="1">
      <alignment vertical="center"/>
    </xf>
    <xf numFmtId="44" fontId="12" fillId="0" borderId="6" xfId="1" applyFont="1" applyBorder="1" applyAlignment="1">
      <alignment vertical="center"/>
    </xf>
    <xf numFmtId="44" fontId="12" fillId="0" borderId="8" xfId="1" applyFont="1" applyBorder="1" applyAlignment="1">
      <alignment vertical="center"/>
    </xf>
    <xf numFmtId="44" fontId="12" fillId="0" borderId="9" xfId="1" applyFont="1" applyBorder="1" applyAlignment="1">
      <alignment vertical="center"/>
    </xf>
    <xf numFmtId="0" fontId="15" fillId="0" borderId="2" xfId="0" applyFont="1" applyBorder="1" applyAlignment="1">
      <alignment horizontal="center" vertical="center"/>
    </xf>
    <xf numFmtId="44" fontId="15" fillId="0" borderId="2" xfId="1" applyFont="1" applyBorder="1" applyAlignment="1">
      <alignment horizontal="center" vertical="center"/>
    </xf>
    <xf numFmtId="0" fontId="15" fillId="0" borderId="3" xfId="0" applyFont="1" applyBorder="1" applyAlignment="1">
      <alignment horizontal="center" vertical="center"/>
    </xf>
    <xf numFmtId="0" fontId="15" fillId="0" borderId="1" xfId="0" applyFont="1" applyBorder="1" applyAlignment="1">
      <alignment vertical="center"/>
    </xf>
    <xf numFmtId="0" fontId="30" fillId="0" borderId="1" xfId="0" applyFont="1" applyBorder="1" applyAlignment="1">
      <alignment vertical="center"/>
    </xf>
    <xf numFmtId="44" fontId="30" fillId="13" borderId="9" xfId="1" applyFont="1" applyFill="1" applyBorder="1" applyAlignment="1">
      <alignment vertical="center"/>
    </xf>
    <xf numFmtId="0" fontId="30" fillId="13" borderId="0" xfId="0" applyFont="1" applyFill="1" applyAlignment="1">
      <alignment vertical="center"/>
    </xf>
    <xf numFmtId="0" fontId="44" fillId="0" borderId="0" xfId="0" applyFont="1" applyAlignment="1">
      <alignment vertical="center"/>
    </xf>
    <xf numFmtId="0" fontId="27" fillId="0" borderId="5" xfId="0" applyFont="1" applyBorder="1" applyAlignment="1">
      <alignment vertical="center" wrapText="1"/>
    </xf>
    <xf numFmtId="0" fontId="0" fillId="0" borderId="43" xfId="0" applyBorder="1" applyAlignment="1">
      <alignment vertical="center"/>
    </xf>
    <xf numFmtId="0" fontId="0" fillId="9" borderId="0" xfId="0" applyFill="1" applyBorder="1" applyAlignment="1">
      <alignment vertical="center"/>
    </xf>
    <xf numFmtId="0" fontId="2" fillId="0" borderId="45" xfId="0" applyFont="1"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2" fillId="3" borderId="43" xfId="0" applyFont="1" applyFill="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2" fillId="0" borderId="6" xfId="0" applyFont="1" applyBorder="1" applyAlignment="1">
      <alignment horizontal="center" vertical="center"/>
    </xf>
    <xf numFmtId="0" fontId="12" fillId="0" borderId="8"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10" fontId="16" fillId="2" borderId="5" xfId="0" applyNumberFormat="1" applyFont="1" applyFill="1" applyBorder="1" applyAlignment="1">
      <alignment horizontal="right" vertical="center" wrapText="1" readingOrder="1"/>
    </xf>
    <xf numFmtId="44" fontId="15" fillId="0" borderId="9" xfId="0" applyNumberFormat="1" applyFont="1" applyBorder="1" applyAlignment="1">
      <alignment vertical="center"/>
    </xf>
    <xf numFmtId="2" fontId="12" fillId="0" borderId="0" xfId="0" applyNumberFormat="1" applyFont="1" applyAlignment="1">
      <alignment vertical="center"/>
    </xf>
    <xf numFmtId="0" fontId="15" fillId="0" borderId="1" xfId="0" applyFont="1" applyBorder="1" applyAlignment="1">
      <alignment horizontal="center" vertical="center"/>
    </xf>
    <xf numFmtId="0" fontId="43" fillId="0" borderId="10" xfId="0" applyFont="1" applyBorder="1" applyAlignment="1">
      <alignment vertical="center"/>
    </xf>
    <xf numFmtId="0" fontId="43" fillId="0" borderId="23" xfId="0" applyFont="1" applyBorder="1" applyAlignment="1">
      <alignment vertical="center"/>
    </xf>
    <xf numFmtId="175" fontId="43" fillId="0" borderId="11" xfId="2" applyNumberFormat="1" applyFont="1" applyBorder="1" applyAlignment="1">
      <alignment vertical="center"/>
    </xf>
    <xf numFmtId="0" fontId="45" fillId="0" borderId="46" xfId="0" applyFont="1" applyBorder="1" applyAlignment="1">
      <alignment horizontal="centerContinuous" vertical="center"/>
    </xf>
    <xf numFmtId="0" fontId="30" fillId="0" borderId="47" xfId="0" applyFont="1" applyBorder="1" applyAlignment="1">
      <alignment horizontal="centerContinuous" vertical="center"/>
    </xf>
    <xf numFmtId="44" fontId="43" fillId="0" borderId="11" xfId="1" applyFont="1" applyBorder="1" applyAlignment="1">
      <alignment vertical="center"/>
    </xf>
    <xf numFmtId="0" fontId="15" fillId="3" borderId="0" xfId="0" applyFont="1" applyFill="1" applyAlignment="1">
      <alignment horizontal="center" vertical="center"/>
    </xf>
    <xf numFmtId="179" fontId="12" fillId="0" borderId="6" xfId="1" applyNumberFormat="1" applyFont="1" applyBorder="1" applyAlignment="1">
      <alignment vertical="center"/>
    </xf>
    <xf numFmtId="8" fontId="12" fillId="0" borderId="5" xfId="1" applyNumberFormat="1" applyFont="1" applyBorder="1" applyAlignment="1">
      <alignment vertical="center"/>
    </xf>
    <xf numFmtId="44" fontId="12" fillId="3" borderId="5" xfId="1" applyNumberFormat="1" applyFont="1" applyFill="1" applyBorder="1" applyAlignment="1">
      <alignment vertical="center"/>
    </xf>
    <xf numFmtId="43" fontId="12" fillId="0" borderId="6" xfId="3" applyFont="1" applyBorder="1" applyAlignment="1">
      <alignment vertical="center"/>
    </xf>
    <xf numFmtId="44" fontId="1" fillId="0" borderId="5" xfId="1" applyNumberFormat="1" applyFont="1" applyBorder="1" applyAlignment="1">
      <alignment vertical="center"/>
    </xf>
    <xf numFmtId="44" fontId="0" fillId="3" borderId="6" xfId="0" applyNumberFormat="1" applyFill="1" applyBorder="1" applyAlignment="1">
      <alignment vertical="center"/>
    </xf>
    <xf numFmtId="44" fontId="29" fillId="11" borderId="5" xfId="0" applyNumberFormat="1" applyFont="1" applyFill="1" applyBorder="1" applyAlignment="1">
      <alignment vertical="center"/>
    </xf>
    <xf numFmtId="44" fontId="0" fillId="12" borderId="5" xfId="0" applyNumberFormat="1" applyFill="1" applyBorder="1" applyAlignment="1">
      <alignment vertical="center"/>
    </xf>
    <xf numFmtId="44" fontId="1" fillId="0" borderId="8" xfId="1" applyNumberFormat="1" applyFont="1" applyBorder="1" applyAlignment="1">
      <alignment vertical="center"/>
    </xf>
    <xf numFmtId="44" fontId="0" fillId="3" borderId="9" xfId="0" applyNumberFormat="1" applyFill="1" applyBorder="1" applyAlignment="1">
      <alignment vertical="center"/>
    </xf>
    <xf numFmtId="2" fontId="12" fillId="9" borderId="5" xfId="0" applyNumberFormat="1" applyFont="1" applyFill="1" applyBorder="1" applyAlignment="1">
      <alignment vertical="center"/>
    </xf>
    <xf numFmtId="166" fontId="12" fillId="9" borderId="5" xfId="0" applyNumberFormat="1" applyFont="1" applyFill="1" applyBorder="1" applyAlignment="1">
      <alignment horizontal="right" vertical="center"/>
    </xf>
    <xf numFmtId="44" fontId="12" fillId="9" borderId="5" xfId="1" applyFont="1" applyFill="1" applyBorder="1" applyAlignment="1">
      <alignment vertical="center"/>
    </xf>
    <xf numFmtId="1" fontId="12" fillId="9" borderId="5" xfId="0" applyNumberFormat="1" applyFont="1" applyFill="1" applyBorder="1" applyAlignment="1">
      <alignment horizontal="center" vertical="center"/>
    </xf>
    <xf numFmtId="166" fontId="12" fillId="9" borderId="5" xfId="0" applyNumberFormat="1" applyFont="1" applyFill="1" applyBorder="1" applyAlignment="1">
      <alignment vertical="center"/>
    </xf>
    <xf numFmtId="0" fontId="12" fillId="9" borderId="5" xfId="0" applyFont="1" applyFill="1" applyBorder="1" applyAlignment="1">
      <alignment horizontal="center" vertical="center"/>
    </xf>
    <xf numFmtId="44" fontId="12" fillId="9" borderId="5" xfId="1" applyFont="1" applyFill="1" applyBorder="1" applyAlignment="1">
      <alignment horizontal="right" vertical="center"/>
    </xf>
    <xf numFmtId="44" fontId="12" fillId="9" borderId="5" xfId="0" applyNumberFormat="1" applyFont="1" applyFill="1" applyBorder="1" applyAlignment="1">
      <alignment vertical="center"/>
    </xf>
    <xf numFmtId="0" fontId="12" fillId="9" borderId="5" xfId="0" applyFont="1" applyFill="1" applyBorder="1" applyAlignment="1">
      <alignment vertical="center"/>
    </xf>
    <xf numFmtId="44" fontId="12" fillId="9" borderId="5" xfId="1" applyFont="1" applyFill="1" applyBorder="1" applyAlignment="1">
      <alignment horizontal="center" vertical="center"/>
    </xf>
    <xf numFmtId="8" fontId="12" fillId="9" borderId="5" xfId="0" applyNumberFormat="1" applyFont="1" applyFill="1" applyBorder="1" applyAlignment="1">
      <alignment vertical="center"/>
    </xf>
    <xf numFmtId="9" fontId="12" fillId="9" borderId="5" xfId="0" applyNumberFormat="1" applyFont="1" applyFill="1" applyBorder="1" applyAlignment="1">
      <alignment vertical="center"/>
    </xf>
    <xf numFmtId="44" fontId="16" fillId="9" borderId="5" xfId="1" applyFont="1" applyFill="1" applyBorder="1" applyAlignment="1">
      <alignment horizontal="center" vertical="center" wrapText="1"/>
    </xf>
    <xf numFmtId="9" fontId="7" fillId="9" borderId="5" xfId="0" applyNumberFormat="1" applyFont="1" applyFill="1" applyBorder="1" applyAlignment="1">
      <alignment vertical="center"/>
    </xf>
    <xf numFmtId="44" fontId="7" fillId="9" borderId="5" xfId="0" applyNumberFormat="1" applyFont="1" applyFill="1" applyBorder="1" applyAlignment="1">
      <alignment vertical="center"/>
    </xf>
    <xf numFmtId="43" fontId="16" fillId="9" borderId="5" xfId="3" applyFont="1" applyFill="1" applyBorder="1" applyAlignment="1">
      <alignment horizontal="center" vertical="center" wrapText="1"/>
    </xf>
    <xf numFmtId="0" fontId="15" fillId="3" borderId="7" xfId="0" applyFont="1" applyFill="1" applyBorder="1" applyAlignment="1">
      <alignment vertical="center"/>
    </xf>
    <xf numFmtId="44" fontId="15" fillId="3" borderId="9" xfId="0" applyNumberFormat="1" applyFont="1" applyFill="1" applyBorder="1" applyAlignment="1">
      <alignment vertical="center"/>
    </xf>
    <xf numFmtId="0" fontId="15" fillId="3" borderId="4" xfId="0" applyFont="1" applyFill="1" applyBorder="1" applyAlignment="1">
      <alignment vertical="center"/>
    </xf>
    <xf numFmtId="0" fontId="11" fillId="3" borderId="5" xfId="0" applyFont="1" applyFill="1" applyBorder="1" applyAlignment="1">
      <alignment horizontal="center" vertical="center" wrapText="1"/>
    </xf>
    <xf numFmtId="44" fontId="17" fillId="3" borderId="5" xfId="0" applyNumberFormat="1" applyFont="1" applyFill="1" applyBorder="1" applyAlignment="1">
      <alignment horizontal="left" vertical="center" wrapText="1" readingOrder="1"/>
    </xf>
    <xf numFmtId="0" fontId="0" fillId="9" borderId="43" xfId="0" applyFill="1" applyBorder="1" applyAlignment="1">
      <alignment vertical="center"/>
    </xf>
    <xf numFmtId="0" fontId="0" fillId="9" borderId="44" xfId="0" applyFill="1" applyBorder="1" applyAlignment="1">
      <alignment vertical="center"/>
    </xf>
    <xf numFmtId="0" fontId="0" fillId="9" borderId="43" xfId="0" applyFill="1" applyBorder="1" applyAlignment="1">
      <alignment horizontal="center" vertical="center"/>
    </xf>
    <xf numFmtId="181" fontId="12" fillId="0" borderId="6" xfId="3" applyNumberFormat="1" applyFont="1" applyBorder="1" applyAlignment="1">
      <alignment vertical="center"/>
    </xf>
    <xf numFmtId="181" fontId="12" fillId="0" borderId="6" xfId="0" applyNumberFormat="1" applyFont="1" applyBorder="1" applyAlignment="1">
      <alignment vertical="center"/>
    </xf>
    <xf numFmtId="181" fontId="12" fillId="0" borderId="9" xfId="3" applyNumberFormat="1" applyFont="1" applyBorder="1" applyAlignment="1">
      <alignment vertical="center"/>
    </xf>
    <xf numFmtId="8" fontId="40" fillId="0" borderId="9" xfId="0" applyNumberFormat="1" applyFont="1" applyBorder="1" applyAlignment="1">
      <alignment horizontal="center" vertical="center"/>
    </xf>
    <xf numFmtId="0" fontId="27" fillId="0" borderId="7" xfId="0" applyFont="1" applyBorder="1" applyAlignment="1">
      <alignment vertical="center"/>
    </xf>
    <xf numFmtId="8" fontId="27" fillId="0" borderId="9" xfId="0" applyNumberFormat="1" applyFont="1" applyBorder="1" applyAlignment="1">
      <alignment horizontal="center" vertical="center"/>
    </xf>
    <xf numFmtId="9" fontId="0" fillId="0" borderId="5" xfId="0" applyNumberFormat="1" applyBorder="1" applyAlignment="1">
      <alignment horizontal="center" vertical="center"/>
    </xf>
  </cellXfs>
  <cellStyles count="5">
    <cellStyle name="Milliers" xfId="3" builtinId="3"/>
    <cellStyle name="Monétaire" xfId="1" builtinId="4"/>
    <cellStyle name="Normal" xfId="0" builtinId="0"/>
    <cellStyle name="Normal_Fiche de paie TEPA plus 20 salariés" xfId="4" xr:uid="{33D184B8-70E4-4D3A-8D17-A8F5BE1C22B0}"/>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323847</xdr:colOff>
      <xdr:row>1</xdr:row>
      <xdr:rowOff>76200</xdr:rowOff>
    </xdr:from>
    <xdr:to>
      <xdr:col>16</xdr:col>
      <xdr:colOff>523874</xdr:colOff>
      <xdr:row>34</xdr:row>
      <xdr:rowOff>133350</xdr:rowOff>
    </xdr:to>
    <xdr:sp macro="" textlink="">
      <xdr:nvSpPr>
        <xdr:cNvPr id="2" name="ZoneTexte 1">
          <a:extLst>
            <a:ext uri="{FF2B5EF4-FFF2-40B4-BE49-F238E27FC236}">
              <a16:creationId xmlns:a16="http://schemas.microsoft.com/office/drawing/2014/main" id="{FC2EAE1F-E02E-43BE-80EC-588EF3983E9F}"/>
            </a:ext>
          </a:extLst>
        </xdr:cNvPr>
        <xdr:cNvSpPr txBox="1"/>
      </xdr:nvSpPr>
      <xdr:spPr>
        <a:xfrm>
          <a:off x="323847" y="266700"/>
          <a:ext cx="12392027" cy="6343650"/>
        </a:xfrm>
        <a:prstGeom prst="rect">
          <a:avLst/>
        </a:prstGeom>
        <a:solidFill>
          <a:schemeClr val="accent5">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200" b="1"/>
            <a:t>Ce</a:t>
          </a:r>
          <a:r>
            <a:rPr lang="fr-FR" sz="1200" b="1" baseline="0"/>
            <a:t> cas est le quatrième d'une série basée sur le type d'épreuves que vous aurez à présenter à l'examen en module Paie</a:t>
          </a:r>
        </a:p>
        <a:p>
          <a:endParaRPr lang="fr-FR" sz="1200" b="1" baseline="0"/>
        </a:p>
        <a:p>
          <a:pPr marL="0" marR="0" lvl="0" indent="0" defTabSz="914400" eaLnBrk="1" fontAlgn="auto" latinLnBrk="0" hangingPunct="1">
            <a:lnSpc>
              <a:spcPct val="100000"/>
            </a:lnSpc>
            <a:spcBef>
              <a:spcPts val="0"/>
            </a:spcBef>
            <a:spcAft>
              <a:spcPts val="0"/>
            </a:spcAft>
            <a:buClrTx/>
            <a:buSzTx/>
            <a:buFontTx/>
            <a:buNone/>
            <a:tabLst/>
            <a:defRPr/>
          </a:pPr>
          <a:r>
            <a:rPr lang="fr-FR" sz="1100" b="1" baseline="0">
              <a:solidFill>
                <a:schemeClr val="dk1"/>
              </a:solidFill>
              <a:effectLst/>
              <a:latin typeface="+mn-lt"/>
              <a:ea typeface="+mn-ea"/>
              <a:cs typeface="+mn-cs"/>
            </a:rPr>
            <a:t>Pour le faire reprenez le corrigé du cas Force 4 en modifiant les éléments suivants :</a:t>
          </a:r>
        </a:p>
        <a:p>
          <a:pPr marL="0" marR="0" lvl="0" indent="0" defTabSz="914400" eaLnBrk="1" fontAlgn="auto" latinLnBrk="0" hangingPunct="1">
            <a:lnSpc>
              <a:spcPct val="100000"/>
            </a:lnSpc>
            <a:spcBef>
              <a:spcPts val="0"/>
            </a:spcBef>
            <a:spcAft>
              <a:spcPts val="0"/>
            </a:spcAft>
            <a:buClrTx/>
            <a:buSzTx/>
            <a:buFontTx/>
            <a:buNone/>
            <a:tabLst/>
            <a:defRPr/>
          </a:pPr>
          <a:endParaRPr lang="fr-FR" sz="1100" b="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1" baseline="0">
              <a:solidFill>
                <a:schemeClr val="dk1"/>
              </a:solidFill>
              <a:effectLst/>
              <a:latin typeface="+mn-lt"/>
              <a:ea typeface="+mn-ea"/>
              <a:cs typeface="+mn-cs"/>
            </a:rPr>
            <a:t>BECKER : </a:t>
          </a:r>
        </a:p>
        <a:p>
          <a:pPr marL="0" marR="0" lvl="0" indent="0" defTabSz="914400" eaLnBrk="1" fontAlgn="auto" latinLnBrk="0" hangingPunct="1">
            <a:lnSpc>
              <a:spcPct val="100000"/>
            </a:lnSpc>
            <a:spcBef>
              <a:spcPts val="0"/>
            </a:spcBef>
            <a:spcAft>
              <a:spcPts val="0"/>
            </a:spcAft>
            <a:buClrTx/>
            <a:buSzTx/>
            <a:buFontTx/>
            <a:buNone/>
            <a:tabLst/>
            <a:defRPr/>
          </a:pPr>
          <a:endParaRPr lang="fr-FR" sz="1100" b="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1" baseline="0">
              <a:solidFill>
                <a:schemeClr val="dk1"/>
              </a:solidFill>
              <a:effectLst/>
              <a:latin typeface="+mn-lt"/>
              <a:ea typeface="+mn-ea"/>
              <a:cs typeface="+mn-cs"/>
            </a:rPr>
            <a:t>La période principale de 4 semaines en juillet 2022 a été évaluée correctement par comparaison entre les deux méthodes maintien et dixième</a:t>
          </a:r>
        </a:p>
        <a:p>
          <a:pPr marL="0" marR="0" lvl="0" indent="0" defTabSz="914400" eaLnBrk="1" fontAlgn="auto" latinLnBrk="0" hangingPunct="1">
            <a:lnSpc>
              <a:spcPct val="100000"/>
            </a:lnSpc>
            <a:spcBef>
              <a:spcPts val="0"/>
            </a:spcBef>
            <a:spcAft>
              <a:spcPts val="0"/>
            </a:spcAft>
            <a:buClrTx/>
            <a:buSzTx/>
            <a:buFontTx/>
            <a:buNone/>
            <a:tabLst/>
            <a:defRPr/>
          </a:pPr>
          <a:r>
            <a:rPr lang="fr-FR" sz="1100" b="1" baseline="0">
              <a:solidFill>
                <a:schemeClr val="dk1"/>
              </a:solidFill>
              <a:effectLst/>
              <a:latin typeface="+mn-lt"/>
              <a:ea typeface="+mn-ea"/>
              <a:cs typeface="+mn-cs"/>
            </a:rPr>
            <a:t>Tenez compte en mai d'une opposition sur salaire pour un montant de 3 500 €</a:t>
          </a:r>
        </a:p>
        <a:p>
          <a:pPr marL="0" marR="0" lvl="0" indent="0" defTabSz="914400" eaLnBrk="1" fontAlgn="auto" latinLnBrk="0" hangingPunct="1">
            <a:lnSpc>
              <a:spcPct val="100000"/>
            </a:lnSpc>
            <a:spcBef>
              <a:spcPts val="0"/>
            </a:spcBef>
            <a:spcAft>
              <a:spcPts val="0"/>
            </a:spcAft>
            <a:buClrTx/>
            <a:buSzTx/>
            <a:buFontTx/>
            <a:buNone/>
            <a:tabLst/>
            <a:defRPr/>
          </a:pPr>
          <a:endParaRPr lang="fr-FR" sz="1100" b="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1" baseline="0">
              <a:solidFill>
                <a:schemeClr val="dk1"/>
              </a:solidFill>
              <a:effectLst/>
              <a:latin typeface="+mn-lt"/>
              <a:ea typeface="+mn-ea"/>
              <a:cs typeface="+mn-cs"/>
            </a:rPr>
            <a:t>VINCKEL :</a:t>
          </a:r>
        </a:p>
        <a:p>
          <a:pPr marL="0" marR="0" lvl="0" indent="0" defTabSz="914400" eaLnBrk="1" fontAlgn="auto" latinLnBrk="0" hangingPunct="1">
            <a:lnSpc>
              <a:spcPct val="100000"/>
            </a:lnSpc>
            <a:spcBef>
              <a:spcPts val="0"/>
            </a:spcBef>
            <a:spcAft>
              <a:spcPts val="0"/>
            </a:spcAft>
            <a:buClrTx/>
            <a:buSzTx/>
            <a:buFontTx/>
            <a:buNone/>
            <a:tabLst/>
            <a:defRPr/>
          </a:pPr>
          <a:endParaRPr lang="fr-FR" sz="1100" b="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1" baseline="0">
              <a:solidFill>
                <a:schemeClr val="dk1"/>
              </a:solidFill>
              <a:effectLst/>
              <a:latin typeface="+mn-lt"/>
              <a:ea typeface="+mn-ea"/>
              <a:cs typeface="+mn-cs"/>
            </a:rPr>
            <a:t>Toujours l'arrêt de travail mais en accident du travail avec maintien de 100% sur le salaire net (D'après la convention collective)</a:t>
          </a:r>
          <a:endParaRPr lang="fr-FR">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1" baseline="0">
              <a:solidFill>
                <a:schemeClr val="dk1"/>
              </a:solidFill>
              <a:effectLst/>
              <a:latin typeface="+mn-lt"/>
              <a:ea typeface="+mn-ea"/>
              <a:cs typeface="+mn-cs"/>
            </a:rPr>
            <a:t>et subrogation des indemnités journalières </a:t>
          </a:r>
        </a:p>
        <a:p>
          <a:pPr marL="0" marR="0" lvl="0" indent="0" defTabSz="914400" eaLnBrk="1" fontAlgn="auto" latinLnBrk="0" hangingPunct="1">
            <a:lnSpc>
              <a:spcPct val="100000"/>
            </a:lnSpc>
            <a:spcBef>
              <a:spcPts val="0"/>
            </a:spcBef>
            <a:spcAft>
              <a:spcPts val="0"/>
            </a:spcAft>
            <a:buClrTx/>
            <a:buSzTx/>
            <a:buFontTx/>
            <a:buNone/>
            <a:tabLst/>
            <a:defRPr/>
          </a:pPr>
          <a:endParaRPr lang="fr-FR" sz="1100" b="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1" baseline="0">
              <a:solidFill>
                <a:schemeClr val="dk1"/>
              </a:solidFill>
              <a:effectLst/>
              <a:latin typeface="+mn-lt"/>
              <a:ea typeface="+mn-ea"/>
              <a:cs typeface="+mn-cs"/>
            </a:rPr>
            <a:t>SOREL :</a:t>
          </a:r>
        </a:p>
        <a:p>
          <a:pPr marL="0" marR="0" lvl="0" indent="0" defTabSz="914400" eaLnBrk="1" fontAlgn="auto" latinLnBrk="0" hangingPunct="1">
            <a:lnSpc>
              <a:spcPct val="100000"/>
            </a:lnSpc>
            <a:spcBef>
              <a:spcPts val="0"/>
            </a:spcBef>
            <a:spcAft>
              <a:spcPts val="0"/>
            </a:spcAft>
            <a:buClrTx/>
            <a:buSzTx/>
            <a:buFontTx/>
            <a:buNone/>
            <a:tabLst/>
            <a:defRPr/>
          </a:pPr>
          <a:endParaRPr lang="fr-FR" sz="1100" b="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1" baseline="0">
              <a:solidFill>
                <a:schemeClr val="dk1"/>
              </a:solidFill>
              <a:effectLst/>
              <a:latin typeface="+mn-lt"/>
              <a:ea typeface="+mn-ea"/>
              <a:cs typeface="+mn-cs"/>
            </a:rPr>
            <a:t>Prendre en compte 3 heures supplémentaires en janvier 23 et 1 semaine d'absence en février 23</a:t>
          </a:r>
        </a:p>
        <a:p>
          <a:pPr marL="0" marR="0" lvl="0" indent="0" defTabSz="914400" eaLnBrk="1" fontAlgn="auto" latinLnBrk="0" hangingPunct="1">
            <a:lnSpc>
              <a:spcPct val="100000"/>
            </a:lnSpc>
            <a:spcBef>
              <a:spcPts val="0"/>
            </a:spcBef>
            <a:spcAft>
              <a:spcPts val="0"/>
            </a:spcAft>
            <a:buClrTx/>
            <a:buSzTx/>
            <a:buFontTx/>
            <a:buNone/>
            <a:tabLst/>
            <a:defRPr/>
          </a:pPr>
          <a:r>
            <a:rPr lang="fr-FR" sz="1100" b="1" baseline="0">
              <a:solidFill>
                <a:schemeClr val="dk1"/>
              </a:solidFill>
              <a:effectLst/>
              <a:latin typeface="+mn-lt"/>
              <a:ea typeface="+mn-ea"/>
              <a:cs typeface="+mn-cs"/>
            </a:rPr>
            <a:t>Il s'agit d'un CDD et non d'un CDI</a:t>
          </a:r>
        </a:p>
        <a:p>
          <a:pPr marL="0" marR="0" lvl="0" indent="0" defTabSz="914400" eaLnBrk="1" fontAlgn="auto" latinLnBrk="0" hangingPunct="1">
            <a:lnSpc>
              <a:spcPct val="100000"/>
            </a:lnSpc>
            <a:spcBef>
              <a:spcPts val="0"/>
            </a:spcBef>
            <a:spcAft>
              <a:spcPts val="0"/>
            </a:spcAft>
            <a:buClrTx/>
            <a:buSzTx/>
            <a:buFontTx/>
            <a:buNone/>
            <a:tabLst/>
            <a:defRPr/>
          </a:pPr>
          <a:endParaRPr lang="fr-FR" sz="1100" b="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1" baseline="0">
              <a:solidFill>
                <a:schemeClr val="dk1"/>
              </a:solidFill>
              <a:effectLst/>
              <a:latin typeface="+mn-lt"/>
              <a:ea typeface="+mn-ea"/>
              <a:cs typeface="+mn-cs"/>
            </a:rPr>
            <a:t>MARTINEZ :</a:t>
          </a:r>
        </a:p>
        <a:p>
          <a:pPr marL="0" marR="0" lvl="0" indent="0" defTabSz="914400" eaLnBrk="1" fontAlgn="auto" latinLnBrk="0" hangingPunct="1">
            <a:lnSpc>
              <a:spcPct val="100000"/>
            </a:lnSpc>
            <a:spcBef>
              <a:spcPts val="0"/>
            </a:spcBef>
            <a:spcAft>
              <a:spcPts val="0"/>
            </a:spcAft>
            <a:buClrTx/>
            <a:buSzTx/>
            <a:buFontTx/>
            <a:buNone/>
            <a:tabLst/>
            <a:defRPr/>
          </a:pPr>
          <a:endParaRPr lang="fr-FR" sz="1100" b="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1" baseline="0">
              <a:solidFill>
                <a:schemeClr val="dk1"/>
              </a:solidFill>
              <a:effectLst/>
              <a:latin typeface="+mn-lt"/>
              <a:ea typeface="+mn-ea"/>
              <a:cs typeface="+mn-cs"/>
            </a:rPr>
            <a:t>La convention collective prévoit une bonification de 30% pour les 8 premières heures supplémentaires de la semaine, voir le calendrier </a:t>
          </a:r>
        </a:p>
        <a:p>
          <a:pPr marL="0" marR="0" lvl="0" indent="0" defTabSz="914400" eaLnBrk="1" fontAlgn="auto" latinLnBrk="0" hangingPunct="1">
            <a:lnSpc>
              <a:spcPct val="100000"/>
            </a:lnSpc>
            <a:spcBef>
              <a:spcPts val="0"/>
            </a:spcBef>
            <a:spcAft>
              <a:spcPts val="0"/>
            </a:spcAft>
            <a:buClrTx/>
            <a:buSzTx/>
            <a:buFontTx/>
            <a:buNone/>
            <a:tabLst/>
            <a:defRPr/>
          </a:pPr>
          <a:r>
            <a:rPr lang="fr-FR" sz="1100" b="1" baseline="0">
              <a:solidFill>
                <a:schemeClr val="dk1"/>
              </a:solidFill>
              <a:effectLst/>
              <a:latin typeface="+mn-lt"/>
              <a:ea typeface="+mn-ea"/>
              <a:cs typeface="+mn-cs"/>
            </a:rPr>
            <a:t>Ajoutez aussi une prime de rendement de 200 € en mai 2023</a:t>
          </a:r>
        </a:p>
        <a:p>
          <a:pPr marL="0" marR="0" lvl="0" indent="0" defTabSz="914400" eaLnBrk="1" fontAlgn="auto" latinLnBrk="0" hangingPunct="1">
            <a:lnSpc>
              <a:spcPct val="100000"/>
            </a:lnSpc>
            <a:spcBef>
              <a:spcPts val="0"/>
            </a:spcBef>
            <a:spcAft>
              <a:spcPts val="0"/>
            </a:spcAft>
            <a:buClrTx/>
            <a:buSzTx/>
            <a:buFontTx/>
            <a:buNone/>
            <a:tabLst/>
            <a:defRPr/>
          </a:pPr>
          <a:endParaRPr lang="fr-FR" sz="1100" b="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1" baseline="0">
              <a:solidFill>
                <a:schemeClr val="dk1"/>
              </a:solidFill>
              <a:effectLst/>
              <a:latin typeface="+mn-lt"/>
              <a:ea typeface="+mn-ea"/>
              <a:cs typeface="+mn-cs"/>
            </a:rPr>
            <a:t>HERFELD :</a:t>
          </a:r>
        </a:p>
        <a:p>
          <a:pPr marL="0" marR="0" lvl="0" indent="0" defTabSz="914400" eaLnBrk="1" fontAlgn="auto" latinLnBrk="0" hangingPunct="1">
            <a:lnSpc>
              <a:spcPct val="100000"/>
            </a:lnSpc>
            <a:spcBef>
              <a:spcPts val="0"/>
            </a:spcBef>
            <a:spcAft>
              <a:spcPts val="0"/>
            </a:spcAft>
            <a:buClrTx/>
            <a:buSzTx/>
            <a:buFontTx/>
            <a:buNone/>
            <a:tabLst/>
            <a:defRPr/>
          </a:pPr>
          <a:endParaRPr lang="fr-FR" sz="1100" b="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1" baseline="0">
              <a:solidFill>
                <a:schemeClr val="dk1"/>
              </a:solidFill>
              <a:effectLst/>
              <a:latin typeface="+mn-lt"/>
              <a:ea typeface="+mn-ea"/>
              <a:cs typeface="+mn-cs"/>
            </a:rPr>
            <a:t>Il est gérant majoritaire de la SARL</a:t>
          </a:r>
        </a:p>
        <a:p>
          <a:pPr marL="0" marR="0" lvl="0" indent="0" defTabSz="914400" eaLnBrk="1" fontAlgn="auto" latinLnBrk="0" hangingPunct="1">
            <a:lnSpc>
              <a:spcPct val="100000"/>
            </a:lnSpc>
            <a:spcBef>
              <a:spcPts val="0"/>
            </a:spcBef>
            <a:spcAft>
              <a:spcPts val="0"/>
            </a:spcAft>
            <a:buClrTx/>
            <a:buSzTx/>
            <a:buFontTx/>
            <a:buNone/>
            <a:tabLst/>
            <a:defRPr/>
          </a:pPr>
          <a:endParaRPr lang="fr-FR" sz="1100" b="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1" baseline="0">
              <a:solidFill>
                <a:schemeClr val="dk1"/>
              </a:solidFill>
              <a:effectLst/>
              <a:latin typeface="+mn-lt"/>
              <a:ea typeface="+mn-ea"/>
              <a:cs typeface="+mn-cs"/>
            </a:rPr>
            <a:t>PRIOL :</a:t>
          </a:r>
        </a:p>
        <a:p>
          <a:pPr marL="0" marR="0" lvl="0" indent="0" defTabSz="914400" eaLnBrk="1" fontAlgn="auto" latinLnBrk="0" hangingPunct="1">
            <a:lnSpc>
              <a:spcPct val="100000"/>
            </a:lnSpc>
            <a:spcBef>
              <a:spcPts val="0"/>
            </a:spcBef>
            <a:spcAft>
              <a:spcPts val="0"/>
            </a:spcAft>
            <a:buClrTx/>
            <a:buSzTx/>
            <a:buFontTx/>
            <a:buNone/>
            <a:tabLst/>
            <a:defRPr/>
          </a:pPr>
          <a:endParaRPr lang="fr-FR" sz="1100" b="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1" baseline="0">
              <a:solidFill>
                <a:schemeClr val="dk1"/>
              </a:solidFill>
              <a:effectLst/>
              <a:latin typeface="+mn-lt"/>
              <a:ea typeface="+mn-ea"/>
              <a:cs typeface="+mn-cs"/>
            </a:rPr>
            <a:t>Embauche en CDI temps partiel le lundi 11 mai. Voir les feuilles Calendrier et Salariés</a:t>
          </a:r>
        </a:p>
        <a:p>
          <a:pPr marL="0" marR="0" lvl="0" indent="0" defTabSz="914400" eaLnBrk="1" fontAlgn="auto" latinLnBrk="0" hangingPunct="1">
            <a:lnSpc>
              <a:spcPct val="100000"/>
            </a:lnSpc>
            <a:spcBef>
              <a:spcPts val="0"/>
            </a:spcBef>
            <a:spcAft>
              <a:spcPts val="0"/>
            </a:spcAft>
            <a:buClrTx/>
            <a:buSzTx/>
            <a:buFontTx/>
            <a:buNone/>
            <a:tabLst/>
            <a:defRPr/>
          </a:pPr>
          <a:r>
            <a:rPr lang="fr-FR" sz="1100" b="1" baseline="0">
              <a:solidFill>
                <a:schemeClr val="dk1"/>
              </a:solidFill>
              <a:effectLst/>
              <a:latin typeface="+mn-lt"/>
              <a:ea typeface="+mn-ea"/>
              <a:cs typeface="+mn-cs"/>
            </a:rPr>
            <a:t>CDD en temps partiel est traité sur la base de la durée moyenne de travail et non sur la durée réelle</a:t>
          </a:r>
        </a:p>
        <a:p>
          <a:pPr marL="0" marR="0" lvl="0" indent="0" defTabSz="914400" eaLnBrk="1" fontAlgn="auto" latinLnBrk="0" hangingPunct="1">
            <a:lnSpc>
              <a:spcPct val="100000"/>
            </a:lnSpc>
            <a:spcBef>
              <a:spcPts val="0"/>
            </a:spcBef>
            <a:spcAft>
              <a:spcPts val="0"/>
            </a:spcAft>
            <a:buClrTx/>
            <a:buSzTx/>
            <a:buFontTx/>
            <a:buNone/>
            <a:tabLst/>
            <a:defRPr/>
          </a:pPr>
          <a:endParaRPr lang="fr-FR" sz="1100" b="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1" baseline="0">
              <a:solidFill>
                <a:schemeClr val="dk1"/>
              </a:solidFill>
              <a:effectLst/>
              <a:latin typeface="+mn-lt"/>
              <a:ea typeface="+mn-ea"/>
              <a:cs typeface="+mn-cs"/>
            </a:rPr>
            <a:t>Dernier point : Remplacez les montants de mutuelle de l'énoncé force 3 par une mutuelle obligatoire de 1% salariale et 1% patronaleLa mutulle est de 1% salariale et 1% patronale </a:t>
          </a:r>
        </a:p>
        <a:p>
          <a:pPr marL="0" marR="0" lvl="0" indent="0" defTabSz="914400" eaLnBrk="1" fontAlgn="auto" latinLnBrk="0" hangingPunct="1">
            <a:lnSpc>
              <a:spcPct val="100000"/>
            </a:lnSpc>
            <a:spcBef>
              <a:spcPts val="0"/>
            </a:spcBef>
            <a:spcAft>
              <a:spcPts val="0"/>
            </a:spcAft>
            <a:buClrTx/>
            <a:buSzTx/>
            <a:buFontTx/>
            <a:buNone/>
            <a:tabLst/>
            <a:defRPr/>
          </a:pPr>
          <a:endParaRPr lang="fr-FR" sz="1100" b="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200" b="1" baseline="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85724</xdr:colOff>
      <xdr:row>0</xdr:row>
      <xdr:rowOff>123825</xdr:rowOff>
    </xdr:from>
    <xdr:to>
      <xdr:col>4</xdr:col>
      <xdr:colOff>295274</xdr:colOff>
      <xdr:row>11</xdr:row>
      <xdr:rowOff>0</xdr:rowOff>
    </xdr:to>
    <xdr:sp macro="" textlink="">
      <xdr:nvSpPr>
        <xdr:cNvPr id="2" name="ZoneTexte 1">
          <a:extLst>
            <a:ext uri="{FF2B5EF4-FFF2-40B4-BE49-F238E27FC236}">
              <a16:creationId xmlns:a16="http://schemas.microsoft.com/office/drawing/2014/main" id="{53979268-FBCE-4D8A-8A65-9A5C419F422A}"/>
            </a:ext>
          </a:extLst>
        </xdr:cNvPr>
        <xdr:cNvSpPr txBox="1"/>
      </xdr:nvSpPr>
      <xdr:spPr>
        <a:xfrm>
          <a:off x="85724" y="123825"/>
          <a:ext cx="6943725" cy="1971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200" b="1" baseline="0"/>
            <a:t>Le sujet du cas figure sur cet onglet et les  onglets suivants </a:t>
          </a:r>
        </a:p>
        <a:p>
          <a:endParaRPr lang="fr-FR" sz="1200" b="1" baseline="0"/>
        </a:p>
        <a:p>
          <a:pPr marL="0" marR="0" lvl="0" indent="0" defTabSz="914400" eaLnBrk="1" fontAlgn="auto" latinLnBrk="0" hangingPunct="1">
            <a:lnSpc>
              <a:spcPct val="100000"/>
            </a:lnSpc>
            <a:spcBef>
              <a:spcPts val="0"/>
            </a:spcBef>
            <a:spcAft>
              <a:spcPts val="0"/>
            </a:spcAft>
            <a:buClrTx/>
            <a:buSzTx/>
            <a:buFontTx/>
            <a:buNone/>
            <a:tabLst/>
            <a:defRPr/>
          </a:pPr>
          <a:r>
            <a:rPr lang="fr-FR" sz="1100" b="1">
              <a:solidFill>
                <a:schemeClr val="dk1"/>
              </a:solidFill>
              <a:effectLst/>
              <a:latin typeface="+mn-lt"/>
              <a:ea typeface="+mn-ea"/>
              <a:cs typeface="+mn-cs"/>
            </a:rPr>
            <a:t>Il s'agit de calculer et présenter </a:t>
          </a:r>
          <a:r>
            <a:rPr lang="fr-FR" sz="1100" b="1" baseline="0">
              <a:solidFill>
                <a:schemeClr val="dk1"/>
              </a:solidFill>
              <a:effectLst/>
              <a:latin typeface="+mn-lt"/>
              <a:ea typeface="+mn-ea"/>
              <a:cs typeface="+mn-cs"/>
            </a:rPr>
            <a:t>les bulletins de paie dans les onglets suivants. Utilisez vos maquettes de bulletins.</a:t>
          </a:r>
          <a:endParaRPr lang="fr-FR" sz="1200">
            <a:effectLst/>
          </a:endParaRPr>
        </a:p>
        <a:p>
          <a:endParaRPr lang="fr-FR" sz="1200" b="1" baseline="0"/>
        </a:p>
        <a:p>
          <a:r>
            <a:rPr lang="fr-FR" sz="1200" b="1" baseline="0"/>
            <a:t>Prenez l'habitude de détailler sur la feuille du bulletin ou une feuille intercalaire, les calculs importants tels la réduction générale de cotisations, les éventuels calculs de tranches de salaires,  les rubriques d'autres contributions dues à l'employeur, dont évolution de la rémunération .......</a:t>
          </a:r>
        </a:p>
        <a:p>
          <a:endParaRPr lang="fr-FR" sz="1200" b="1" baseline="0"/>
        </a:p>
        <a:p>
          <a:r>
            <a:rPr lang="fr-FR" sz="1200" b="1" baseline="0"/>
            <a:t>N'en faites pas de trop, il s'agit simplement de présenter au jury le type de calcul que vous avez utilisé et afin qu'il comprenne votre raisonnement.</a:t>
          </a: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D99C7-1FBC-446A-B7CB-268880E66512}">
  <sheetPr>
    <tabColor rgb="FFC00000"/>
  </sheetPr>
  <dimension ref="D4"/>
  <sheetViews>
    <sheetView workbookViewId="0">
      <selection activeCell="D28" sqref="D28"/>
    </sheetView>
  </sheetViews>
  <sheetFormatPr baseColWidth="10" defaultRowHeight="15" x14ac:dyDescent="0.25"/>
  <sheetData>
    <row r="4" spans="4:4" x14ac:dyDescent="0.25">
      <c r="D4" t="s">
        <v>234</v>
      </c>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4A77B6-F440-4490-96CE-2737C4752DDC}">
  <dimension ref="A1:G37"/>
  <sheetViews>
    <sheetView workbookViewId="0">
      <selection activeCell="F2" sqref="F2"/>
    </sheetView>
  </sheetViews>
  <sheetFormatPr baseColWidth="10" defaultRowHeight="15" x14ac:dyDescent="0.25"/>
  <cols>
    <col min="1" max="1" width="16.5703125" bestFit="1" customWidth="1"/>
    <col min="4" max="4" width="12.85546875" bestFit="1" customWidth="1"/>
  </cols>
  <sheetData>
    <row r="1" spans="1:7" x14ac:dyDescent="0.25">
      <c r="A1" s="189"/>
      <c r="B1" s="240" t="s">
        <v>224</v>
      </c>
      <c r="D1" s="243" t="s">
        <v>225</v>
      </c>
      <c r="E1" s="244" t="s">
        <v>226</v>
      </c>
      <c r="F1" s="244" t="s">
        <v>362</v>
      </c>
      <c r="G1" s="245" t="s">
        <v>227</v>
      </c>
    </row>
    <row r="2" spans="1:7" x14ac:dyDescent="0.25">
      <c r="A2" s="190">
        <v>43948</v>
      </c>
      <c r="B2" s="22">
        <v>9</v>
      </c>
      <c r="D2" s="246"/>
      <c r="E2" s="247"/>
      <c r="F2" s="247"/>
      <c r="G2" s="248"/>
    </row>
    <row r="3" spans="1:7" x14ac:dyDescent="0.25">
      <c r="A3" s="190">
        <v>43949</v>
      </c>
      <c r="B3" s="22">
        <v>8</v>
      </c>
      <c r="D3" s="246"/>
      <c r="E3" s="247"/>
      <c r="F3" s="247"/>
      <c r="G3" s="248"/>
    </row>
    <row r="4" spans="1:7" x14ac:dyDescent="0.25">
      <c r="A4" s="190">
        <v>43950</v>
      </c>
      <c r="B4" s="22">
        <v>8</v>
      </c>
      <c r="D4" s="246"/>
      <c r="E4" s="247"/>
      <c r="F4" s="247"/>
      <c r="G4" s="248"/>
    </row>
    <row r="5" spans="1:7" x14ac:dyDescent="0.25">
      <c r="A5" s="190">
        <v>43951</v>
      </c>
      <c r="B5" s="22">
        <v>7</v>
      </c>
      <c r="D5" s="246"/>
      <c r="E5" s="247"/>
      <c r="F5" s="247"/>
      <c r="G5" s="248"/>
    </row>
    <row r="6" spans="1:7" x14ac:dyDescent="0.25">
      <c r="A6" s="190">
        <v>43952</v>
      </c>
      <c r="B6" s="241"/>
      <c r="D6" s="246"/>
      <c r="E6" s="247"/>
      <c r="F6" s="247"/>
      <c r="G6" s="248"/>
    </row>
    <row r="7" spans="1:7" x14ac:dyDescent="0.25">
      <c r="A7" s="190">
        <v>43953</v>
      </c>
      <c r="B7" s="22"/>
      <c r="D7" s="246"/>
      <c r="E7" s="247"/>
      <c r="F7" s="247"/>
      <c r="G7" s="248"/>
    </row>
    <row r="8" spans="1:7" x14ac:dyDescent="0.25">
      <c r="A8" s="190">
        <v>43954</v>
      </c>
      <c r="B8" s="22"/>
      <c r="D8" s="246">
        <v>4</v>
      </c>
      <c r="E8" s="247">
        <f>+D8</f>
        <v>4</v>
      </c>
      <c r="F8" s="247"/>
      <c r="G8" s="248"/>
    </row>
    <row r="9" spans="1:7" x14ac:dyDescent="0.25">
      <c r="A9" s="190">
        <v>43955</v>
      </c>
      <c r="B9" s="22">
        <v>7</v>
      </c>
      <c r="D9" s="246"/>
      <c r="E9" s="247"/>
      <c r="F9" s="247"/>
      <c r="G9" s="248"/>
    </row>
    <row r="10" spans="1:7" x14ac:dyDescent="0.25">
      <c r="A10" s="190">
        <v>43956</v>
      </c>
      <c r="B10" s="22">
        <v>7</v>
      </c>
      <c r="D10" s="246"/>
      <c r="E10" s="247"/>
      <c r="F10" s="247"/>
      <c r="G10" s="248"/>
    </row>
    <row r="11" spans="1:7" x14ac:dyDescent="0.25">
      <c r="A11" s="190">
        <v>43957</v>
      </c>
      <c r="B11" s="22">
        <v>7</v>
      </c>
      <c r="D11" s="246"/>
      <c r="E11" s="247"/>
      <c r="F11" s="247"/>
      <c r="G11" s="248"/>
    </row>
    <row r="12" spans="1:7" x14ac:dyDescent="0.25">
      <c r="A12" s="190">
        <v>43958</v>
      </c>
      <c r="B12" s="22">
        <v>7</v>
      </c>
      <c r="D12" s="246"/>
      <c r="E12" s="247"/>
      <c r="F12" s="247"/>
      <c r="G12" s="248"/>
    </row>
    <row r="13" spans="1:7" ht="15" customHeight="1" x14ac:dyDescent="0.25">
      <c r="A13" s="190">
        <v>43959</v>
      </c>
      <c r="B13" s="241"/>
      <c r="D13" s="246"/>
      <c r="E13" s="247"/>
      <c r="F13" s="247"/>
      <c r="G13" s="248"/>
    </row>
    <row r="14" spans="1:7" x14ac:dyDescent="0.25">
      <c r="A14" s="190">
        <v>43960</v>
      </c>
      <c r="B14" s="22"/>
      <c r="D14" s="246"/>
      <c r="E14" s="247"/>
      <c r="F14" s="247"/>
      <c r="G14" s="248"/>
    </row>
    <row r="15" spans="1:7" x14ac:dyDescent="0.25">
      <c r="A15" s="190">
        <v>43961</v>
      </c>
      <c r="B15" s="22"/>
      <c r="D15" s="246"/>
      <c r="E15" s="247"/>
      <c r="F15" s="247"/>
      <c r="G15" s="248"/>
    </row>
    <row r="16" spans="1:7" x14ac:dyDescent="0.25">
      <c r="A16" s="237">
        <v>43962</v>
      </c>
      <c r="B16" s="22">
        <v>9</v>
      </c>
      <c r="D16" s="246"/>
      <c r="E16" s="247"/>
      <c r="F16" s="247"/>
      <c r="G16" s="248"/>
    </row>
    <row r="17" spans="1:7" x14ac:dyDescent="0.25">
      <c r="A17" s="237">
        <v>43963</v>
      </c>
      <c r="B17" s="22">
        <v>8</v>
      </c>
      <c r="D17" s="246"/>
      <c r="E17" s="247"/>
      <c r="F17" s="247"/>
      <c r="G17" s="248"/>
    </row>
    <row r="18" spans="1:7" x14ac:dyDescent="0.25">
      <c r="A18" s="237">
        <v>43964</v>
      </c>
      <c r="B18" s="22">
        <v>8</v>
      </c>
      <c r="D18" s="246"/>
      <c r="E18" s="247"/>
      <c r="F18" s="247"/>
      <c r="G18" s="248"/>
    </row>
    <row r="19" spans="1:7" x14ac:dyDescent="0.25">
      <c r="A19" s="238">
        <v>43965</v>
      </c>
      <c r="B19" s="22">
        <v>9</v>
      </c>
      <c r="D19" s="246"/>
      <c r="E19" s="247"/>
      <c r="F19" s="247"/>
      <c r="G19" s="248"/>
    </row>
    <row r="20" spans="1:7" x14ac:dyDescent="0.25">
      <c r="A20" s="238">
        <v>43966</v>
      </c>
      <c r="B20" s="22">
        <v>7</v>
      </c>
      <c r="D20" s="246"/>
      <c r="E20" s="247"/>
      <c r="F20" s="247"/>
      <c r="G20" s="248"/>
    </row>
    <row r="21" spans="1:7" x14ac:dyDescent="0.25">
      <c r="A21" s="190">
        <v>43967</v>
      </c>
      <c r="B21" s="22"/>
      <c r="D21" s="246"/>
      <c r="E21" s="247"/>
      <c r="F21" s="247"/>
      <c r="G21" s="248"/>
    </row>
    <row r="22" spans="1:7" x14ac:dyDescent="0.25">
      <c r="A22" s="190">
        <v>43968</v>
      </c>
      <c r="B22" s="22"/>
      <c r="D22" s="246">
        <v>6</v>
      </c>
      <c r="E22" s="247"/>
      <c r="F22" s="247">
        <v>6</v>
      </c>
      <c r="G22" s="248"/>
    </row>
    <row r="23" spans="1:7" x14ac:dyDescent="0.25">
      <c r="A23" s="238">
        <v>43969</v>
      </c>
      <c r="B23" s="22">
        <v>7</v>
      </c>
      <c r="D23" s="246"/>
      <c r="E23" s="247"/>
      <c r="F23" s="247"/>
      <c r="G23" s="248"/>
    </row>
    <row r="24" spans="1:7" x14ac:dyDescent="0.25">
      <c r="A24" s="238">
        <v>43970</v>
      </c>
      <c r="B24" s="22">
        <v>7</v>
      </c>
      <c r="D24" s="246"/>
      <c r="E24" s="247"/>
      <c r="F24" s="247"/>
      <c r="G24" s="248"/>
    </row>
    <row r="25" spans="1:7" x14ac:dyDescent="0.25">
      <c r="A25" s="190">
        <v>43971</v>
      </c>
      <c r="B25" s="22">
        <v>7</v>
      </c>
      <c r="D25" s="246"/>
      <c r="E25" s="247"/>
      <c r="F25" s="247"/>
      <c r="G25" s="248"/>
    </row>
    <row r="26" spans="1:7" ht="15" customHeight="1" x14ac:dyDescent="0.25">
      <c r="A26" s="190">
        <v>43972</v>
      </c>
      <c r="B26" s="241"/>
      <c r="D26" s="246"/>
      <c r="E26" s="247"/>
      <c r="F26" s="247"/>
      <c r="G26" s="248"/>
    </row>
    <row r="27" spans="1:7" x14ac:dyDescent="0.25">
      <c r="A27" s="190">
        <v>43973</v>
      </c>
      <c r="B27" s="22">
        <v>7</v>
      </c>
      <c r="D27" s="246"/>
      <c r="E27" s="247"/>
      <c r="F27" s="247"/>
      <c r="G27" s="248"/>
    </row>
    <row r="28" spans="1:7" x14ac:dyDescent="0.25">
      <c r="A28" s="190">
        <v>43974</v>
      </c>
      <c r="B28" s="22"/>
      <c r="D28" s="246"/>
      <c r="E28" s="247"/>
      <c r="F28" s="247"/>
      <c r="G28" s="248"/>
    </row>
    <row r="29" spans="1:7" x14ac:dyDescent="0.25">
      <c r="A29" s="190">
        <v>43975</v>
      </c>
      <c r="B29" s="22"/>
      <c r="D29" s="246"/>
      <c r="E29" s="247"/>
      <c r="F29" s="247"/>
      <c r="G29" s="248"/>
    </row>
    <row r="30" spans="1:7" x14ac:dyDescent="0.25">
      <c r="A30" s="190">
        <v>43976</v>
      </c>
      <c r="B30" s="22">
        <v>7</v>
      </c>
      <c r="D30" s="246"/>
      <c r="E30" s="247"/>
      <c r="F30" s="247"/>
      <c r="G30" s="248"/>
    </row>
    <row r="31" spans="1:7" x14ac:dyDescent="0.25">
      <c r="A31" s="190">
        <v>43977</v>
      </c>
      <c r="B31" s="22">
        <v>8</v>
      </c>
      <c r="D31" s="246"/>
      <c r="E31" s="247"/>
      <c r="F31" s="247"/>
      <c r="G31" s="248"/>
    </row>
    <row r="32" spans="1:7" x14ac:dyDescent="0.25">
      <c r="A32" s="190">
        <v>43978</v>
      </c>
      <c r="B32" s="22">
        <v>7</v>
      </c>
      <c r="D32" s="246"/>
      <c r="E32" s="247"/>
      <c r="F32" s="247"/>
      <c r="G32" s="248"/>
    </row>
    <row r="33" spans="1:7" x14ac:dyDescent="0.25">
      <c r="A33" s="190">
        <v>43979</v>
      </c>
      <c r="B33" s="22">
        <v>7</v>
      </c>
      <c r="D33" s="246"/>
      <c r="E33" s="247"/>
      <c r="F33" s="247"/>
      <c r="G33" s="248"/>
    </row>
    <row r="34" spans="1:7" x14ac:dyDescent="0.25">
      <c r="A34" s="190">
        <v>43980</v>
      </c>
      <c r="B34" s="22">
        <v>7</v>
      </c>
      <c r="D34" s="246"/>
      <c r="E34" s="247"/>
      <c r="F34" s="247"/>
      <c r="G34" s="248"/>
    </row>
    <row r="35" spans="1:7" x14ac:dyDescent="0.25">
      <c r="A35" s="190">
        <v>43981</v>
      </c>
      <c r="B35" s="22"/>
      <c r="D35" s="246"/>
      <c r="E35" s="247"/>
      <c r="F35" s="247"/>
      <c r="G35" s="248"/>
    </row>
    <row r="36" spans="1:7" ht="15.75" thickBot="1" x14ac:dyDescent="0.3">
      <c r="A36" s="192">
        <v>43982</v>
      </c>
      <c r="B36" s="11"/>
      <c r="D36" s="246">
        <v>1</v>
      </c>
      <c r="E36" s="247"/>
      <c r="F36" s="247">
        <v>1</v>
      </c>
      <c r="G36" s="248"/>
    </row>
    <row r="37" spans="1:7" ht="15.75" thickBot="1" x14ac:dyDescent="0.3">
      <c r="D37" s="250">
        <f>SUM(D2:D36)</f>
        <v>11</v>
      </c>
      <c r="E37" s="251">
        <f t="shared" ref="E37:F37" si="0">SUM(E2:E36)</f>
        <v>4</v>
      </c>
      <c r="F37" s="251">
        <f t="shared" si="0"/>
        <v>7</v>
      </c>
      <c r="G37" s="249"/>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D15FA-221E-40A6-8506-04F8B6C27970}">
  <dimension ref="A1:O122"/>
  <sheetViews>
    <sheetView zoomScale="75" zoomScaleNormal="75" workbookViewId="0">
      <selection activeCell="F81" sqref="F81"/>
    </sheetView>
  </sheetViews>
  <sheetFormatPr baseColWidth="10" defaultRowHeight="16.5" x14ac:dyDescent="0.25"/>
  <cols>
    <col min="1" max="1" width="95.5703125" style="29" customWidth="1"/>
    <col min="2" max="2" width="18.85546875" style="29" bestFit="1" customWidth="1"/>
    <col min="3" max="3" width="17.140625" style="29" bestFit="1" customWidth="1"/>
    <col min="4" max="4" width="34.140625" style="29" customWidth="1"/>
    <col min="5" max="5" width="12.5703125" style="29" customWidth="1"/>
    <col min="6" max="6" width="18.28515625" style="29" customWidth="1"/>
    <col min="7" max="7" width="11.42578125" style="29"/>
    <col min="8" max="8" width="51.85546875" style="29" bestFit="1" customWidth="1"/>
    <col min="9" max="9" width="13" style="29" bestFit="1" customWidth="1"/>
    <col min="10" max="10" width="12" style="29" bestFit="1" customWidth="1"/>
    <col min="11" max="11" width="11.42578125" style="29"/>
    <col min="12" max="12" width="12.140625" style="29" bestFit="1" customWidth="1"/>
    <col min="13" max="14" width="12" style="29" bestFit="1" customWidth="1"/>
    <col min="15" max="16384" width="11.42578125" style="29"/>
  </cols>
  <sheetData>
    <row r="1" spans="1:6" x14ac:dyDescent="0.25">
      <c r="A1" s="26" t="s">
        <v>78</v>
      </c>
      <c r="B1" s="27"/>
      <c r="C1" s="27"/>
      <c r="D1" s="27"/>
      <c r="E1" s="27"/>
      <c r="F1" s="28"/>
    </row>
    <row r="2" spans="1:6" x14ac:dyDescent="0.25">
      <c r="A2" s="30" t="s">
        <v>79</v>
      </c>
      <c r="B2" s="31"/>
      <c r="C2" s="31"/>
      <c r="D2" s="31" t="s">
        <v>80</v>
      </c>
      <c r="E2" s="31"/>
      <c r="F2" s="32" t="s">
        <v>224</v>
      </c>
    </row>
    <row r="3" spans="1:6" x14ac:dyDescent="0.25">
      <c r="A3" s="33" t="s">
        <v>81</v>
      </c>
      <c r="B3" s="31"/>
      <c r="C3" s="31"/>
      <c r="D3" s="31" t="s">
        <v>81</v>
      </c>
      <c r="E3" s="31"/>
      <c r="F3" s="32"/>
    </row>
    <row r="4" spans="1:6" x14ac:dyDescent="0.25">
      <c r="A4" s="33" t="s">
        <v>82</v>
      </c>
      <c r="B4" s="31"/>
      <c r="C4" s="31"/>
      <c r="D4" s="31" t="s">
        <v>234</v>
      </c>
      <c r="E4" s="31"/>
      <c r="F4" s="32"/>
    </row>
    <row r="5" spans="1:6" x14ac:dyDescent="0.25">
      <c r="A5" s="33" t="s">
        <v>83</v>
      </c>
      <c r="B5" s="31"/>
      <c r="C5" s="31"/>
      <c r="D5" s="31" t="s">
        <v>84</v>
      </c>
      <c r="E5" s="31"/>
      <c r="F5" s="32"/>
    </row>
    <row r="6" spans="1:6" x14ac:dyDescent="0.25">
      <c r="A6" s="33" t="s">
        <v>83</v>
      </c>
      <c r="B6" s="31"/>
      <c r="C6" s="31"/>
      <c r="D6" s="31" t="s">
        <v>85</v>
      </c>
      <c r="E6" s="31"/>
      <c r="F6" s="32"/>
    </row>
    <row r="7" spans="1:6" x14ac:dyDescent="0.25">
      <c r="A7" s="33" t="s">
        <v>86</v>
      </c>
      <c r="B7" s="31"/>
      <c r="C7" s="31"/>
      <c r="D7" s="31"/>
      <c r="E7" s="31"/>
      <c r="F7" s="32"/>
    </row>
    <row r="8" spans="1:6" x14ac:dyDescent="0.25">
      <c r="A8" s="33" t="s">
        <v>87</v>
      </c>
      <c r="B8" s="31"/>
      <c r="C8" s="31"/>
      <c r="D8" s="31" t="s">
        <v>88</v>
      </c>
      <c r="E8" s="31"/>
      <c r="F8" s="32"/>
    </row>
    <row r="9" spans="1:6" x14ac:dyDescent="0.25">
      <c r="A9" s="33" t="s">
        <v>89</v>
      </c>
      <c r="B9" s="31"/>
      <c r="C9" s="31"/>
      <c r="D9" s="31" t="s">
        <v>90</v>
      </c>
      <c r="E9" s="31"/>
      <c r="F9" s="32"/>
    </row>
    <row r="10" spans="1:6" x14ac:dyDescent="0.25">
      <c r="A10" s="33" t="s">
        <v>91</v>
      </c>
      <c r="B10" s="31"/>
      <c r="C10" s="31"/>
      <c r="D10" s="31" t="s">
        <v>92</v>
      </c>
      <c r="E10" s="31"/>
      <c r="F10" s="32"/>
    </row>
    <row r="11" spans="1:6" x14ac:dyDescent="0.25">
      <c r="A11" s="33" t="s">
        <v>93</v>
      </c>
      <c r="B11" s="31"/>
      <c r="C11" s="31"/>
      <c r="D11" s="31" t="s">
        <v>94</v>
      </c>
      <c r="E11" s="31"/>
      <c r="F11" s="32"/>
    </row>
    <row r="12" spans="1:6" x14ac:dyDescent="0.25">
      <c r="A12" s="33" t="s">
        <v>95</v>
      </c>
      <c r="B12" s="31"/>
      <c r="C12" s="31"/>
      <c r="D12" s="31" t="s">
        <v>96</v>
      </c>
      <c r="E12" s="31"/>
      <c r="F12" s="32"/>
    </row>
    <row r="13" spans="1:6" x14ac:dyDescent="0.25">
      <c r="A13" s="33" t="s">
        <v>97</v>
      </c>
      <c r="B13" s="31"/>
      <c r="C13" s="31"/>
      <c r="D13" s="31" t="s">
        <v>98</v>
      </c>
      <c r="E13" s="31"/>
      <c r="F13" s="32"/>
    </row>
    <row r="14" spans="1:6" x14ac:dyDescent="0.25">
      <c r="A14" s="33"/>
      <c r="B14" s="31"/>
      <c r="C14" s="31"/>
      <c r="D14" s="31" t="s">
        <v>99</v>
      </c>
      <c r="E14" s="31"/>
      <c r="F14" s="32"/>
    </row>
    <row r="15" spans="1:6" x14ac:dyDescent="0.25">
      <c r="A15" s="34"/>
      <c r="B15" s="31"/>
      <c r="C15" s="31"/>
      <c r="D15" s="31"/>
      <c r="E15" s="31"/>
      <c r="F15" s="32"/>
    </row>
    <row r="16" spans="1:6" x14ac:dyDescent="0.25">
      <c r="A16" s="34"/>
      <c r="B16" s="31"/>
      <c r="C16" s="31"/>
      <c r="D16" s="31"/>
      <c r="E16" s="31"/>
      <c r="F16" s="32"/>
    </row>
    <row r="17" spans="1:15" x14ac:dyDescent="0.25">
      <c r="A17" s="35" t="s">
        <v>100</v>
      </c>
      <c r="B17" s="328"/>
      <c r="C17" s="329"/>
      <c r="D17" s="36" t="s">
        <v>234</v>
      </c>
      <c r="E17" s="328"/>
      <c r="F17" s="330"/>
    </row>
    <row r="18" spans="1:15" ht="20.25" customHeight="1" thickBot="1" x14ac:dyDescent="0.3">
      <c r="A18" s="37" t="s">
        <v>101</v>
      </c>
      <c r="B18" s="38"/>
      <c r="C18" s="38"/>
      <c r="D18" s="38"/>
      <c r="E18" s="38"/>
      <c r="F18" s="39"/>
    </row>
    <row r="19" spans="1:15" ht="24" customHeight="1" x14ac:dyDescent="0.25">
      <c r="A19" s="40" t="s">
        <v>101</v>
      </c>
      <c r="B19" s="41" t="s">
        <v>102</v>
      </c>
      <c r="C19" s="41" t="s">
        <v>103</v>
      </c>
      <c r="D19" s="41" t="s">
        <v>104</v>
      </c>
      <c r="E19" s="42"/>
      <c r="F19" s="43"/>
      <c r="H19" s="44" t="s">
        <v>105</v>
      </c>
      <c r="I19" s="45">
        <v>7.0000000000000007E-2</v>
      </c>
    </row>
    <row r="20" spans="1:15" s="50" customFormat="1" x14ac:dyDescent="0.25">
      <c r="A20" s="34" t="s">
        <v>7</v>
      </c>
      <c r="B20" s="419">
        <v>151.66999999999999</v>
      </c>
      <c r="C20" s="420">
        <f>D20/151.67</f>
        <v>19.77978505966902</v>
      </c>
      <c r="D20" s="421">
        <v>3000</v>
      </c>
      <c r="E20" s="42"/>
      <c r="F20" s="49"/>
      <c r="H20" s="51" t="s">
        <v>106</v>
      </c>
      <c r="I20" s="52">
        <v>3.4500000000000003E-2</v>
      </c>
      <c r="J20" s="29"/>
      <c r="K20" s="29"/>
      <c r="L20" s="29"/>
      <c r="M20" s="29"/>
      <c r="N20" s="29"/>
      <c r="O20" s="29"/>
    </row>
    <row r="21" spans="1:15" s="50" customFormat="1" x14ac:dyDescent="0.25">
      <c r="A21" s="34" t="s">
        <v>107</v>
      </c>
      <c r="B21" s="419"/>
      <c r="C21" s="420"/>
      <c r="D21" s="421">
        <f>I31</f>
        <v>0</v>
      </c>
      <c r="E21" s="42"/>
      <c r="F21" s="49"/>
      <c r="H21" s="54" t="s">
        <v>108</v>
      </c>
      <c r="I21" s="55">
        <v>2.7E-2</v>
      </c>
      <c r="J21" s="29"/>
      <c r="K21" s="29"/>
      <c r="L21" s="29"/>
      <c r="M21" s="29"/>
      <c r="N21" s="29"/>
      <c r="O21" s="29"/>
    </row>
    <row r="22" spans="1:15" s="50" customFormat="1" x14ac:dyDescent="0.25">
      <c r="A22" s="34" t="s">
        <v>330</v>
      </c>
      <c r="B22" s="419"/>
      <c r="C22" s="420"/>
      <c r="D22" s="421">
        <v>200</v>
      </c>
      <c r="E22" s="42"/>
      <c r="F22" s="49"/>
      <c r="H22" s="34" t="s">
        <v>109</v>
      </c>
      <c r="I22" s="58">
        <f>D41</f>
        <v>3471.114920551197</v>
      </c>
      <c r="J22" s="29"/>
      <c r="K22" s="29"/>
      <c r="L22" s="29"/>
      <c r="M22" s="29"/>
      <c r="N22" s="29"/>
      <c r="O22" s="29"/>
    </row>
    <row r="23" spans="1:15" s="50" customFormat="1" x14ac:dyDescent="0.25">
      <c r="A23" s="34" t="s">
        <v>229</v>
      </c>
      <c r="B23" s="422">
        <f>'CALENDRIER MARTINEZ'!E37</f>
        <v>4</v>
      </c>
      <c r="C23" s="420">
        <f>D20/151.67</f>
        <v>19.77978505966902</v>
      </c>
      <c r="D23" s="423">
        <f>C23*B23</f>
        <v>79.119140238676081</v>
      </c>
      <c r="E23" s="42"/>
      <c r="F23" s="49"/>
      <c r="H23" s="34" t="s">
        <v>110</v>
      </c>
      <c r="I23" s="58"/>
      <c r="J23" s="29"/>
      <c r="K23" s="29"/>
      <c r="L23" s="29"/>
      <c r="M23" s="29"/>
      <c r="N23" s="29"/>
      <c r="O23" s="29"/>
    </row>
    <row r="24" spans="1:15" x14ac:dyDescent="0.25">
      <c r="A24" s="34" t="s">
        <v>331</v>
      </c>
      <c r="B24" s="424">
        <f>'CALENDRIER MARTINEZ'!F37</f>
        <v>7</v>
      </c>
      <c r="C24" s="425">
        <f>(D20+D22)/151.67*1.3</f>
        <v>27.427968616074374</v>
      </c>
      <c r="D24" s="426">
        <f>C24*B24</f>
        <v>191.99578031252062</v>
      </c>
      <c r="E24" s="42"/>
      <c r="F24" s="62"/>
      <c r="H24" s="34" t="s">
        <v>112</v>
      </c>
      <c r="I24" s="58"/>
    </row>
    <row r="25" spans="1:15" x14ac:dyDescent="0.25">
      <c r="A25" s="34" t="s">
        <v>24</v>
      </c>
      <c r="B25" s="424"/>
      <c r="C25" s="426">
        <f>D20/151.67*1.5</f>
        <v>29.669677589503529</v>
      </c>
      <c r="D25" s="426">
        <f>C25*B25</f>
        <v>0</v>
      </c>
      <c r="E25" s="42"/>
      <c r="F25" s="43"/>
      <c r="H25" s="34" t="s">
        <v>113</v>
      </c>
      <c r="I25" s="58"/>
    </row>
    <row r="26" spans="1:15" x14ac:dyDescent="0.25">
      <c r="A26" s="34"/>
      <c r="B26" s="424"/>
      <c r="C26" s="427"/>
      <c r="D26" s="427"/>
      <c r="E26" s="42"/>
      <c r="F26" s="43"/>
      <c r="H26" s="34" t="s">
        <v>114</v>
      </c>
      <c r="I26" s="58"/>
    </row>
    <row r="27" spans="1:15" x14ac:dyDescent="0.25">
      <c r="A27" s="34" t="s">
        <v>115</v>
      </c>
      <c r="B27" s="424"/>
      <c r="C27" s="423"/>
      <c r="D27" s="423">
        <f>C27*B27</f>
        <v>0</v>
      </c>
      <c r="E27" s="42"/>
      <c r="F27" s="43"/>
      <c r="H27" s="34" t="s">
        <v>116</v>
      </c>
      <c r="I27" s="58"/>
    </row>
    <row r="28" spans="1:15" x14ac:dyDescent="0.25">
      <c r="A28" s="34"/>
      <c r="B28" s="424"/>
      <c r="C28" s="427"/>
      <c r="D28" s="427"/>
      <c r="E28" s="42"/>
      <c r="F28" s="43"/>
      <c r="H28" s="34" t="s">
        <v>117</v>
      </c>
      <c r="I28" s="65"/>
    </row>
    <row r="29" spans="1:15" x14ac:dyDescent="0.25">
      <c r="A29" s="34"/>
      <c r="B29" s="424"/>
      <c r="C29" s="428"/>
      <c r="D29" s="429"/>
      <c r="E29" s="69"/>
      <c r="F29" s="70"/>
      <c r="H29" s="34" t="s">
        <v>40</v>
      </c>
      <c r="I29" s="58">
        <v>20</v>
      </c>
    </row>
    <row r="30" spans="1:15" x14ac:dyDescent="0.25">
      <c r="A30" s="34" t="s">
        <v>118</v>
      </c>
      <c r="B30" s="428"/>
      <c r="C30" s="430">
        <v>0.1</v>
      </c>
      <c r="D30" s="421">
        <f>C30*B30</f>
        <v>0</v>
      </c>
      <c r="E30" s="69"/>
      <c r="F30" s="70"/>
      <c r="H30" s="34" t="s">
        <v>41</v>
      </c>
      <c r="I30" s="58">
        <v>24</v>
      </c>
    </row>
    <row r="31" spans="1:15" x14ac:dyDescent="0.25">
      <c r="A31" s="34" t="s">
        <v>119</v>
      </c>
      <c r="B31" s="424"/>
      <c r="C31" s="429"/>
      <c r="D31" s="429"/>
      <c r="E31" s="69"/>
      <c r="F31" s="70"/>
      <c r="H31" s="34" t="s">
        <v>107</v>
      </c>
      <c r="I31" s="58"/>
    </row>
    <row r="32" spans="1:15" x14ac:dyDescent="0.25">
      <c r="A32" s="34"/>
      <c r="B32" s="424"/>
      <c r="C32" s="427"/>
      <c r="D32" s="427"/>
      <c r="E32" s="69"/>
      <c r="F32" s="70"/>
      <c r="H32" s="34" t="s">
        <v>120</v>
      </c>
      <c r="I32" s="32"/>
    </row>
    <row r="33" spans="1:9" x14ac:dyDescent="0.25">
      <c r="A33" s="34" t="s">
        <v>121</v>
      </c>
      <c r="B33" s="431"/>
      <c r="C33" s="432"/>
      <c r="D33" s="433"/>
      <c r="E33" s="69"/>
      <c r="F33" s="70"/>
      <c r="H33" s="34" t="s">
        <v>122</v>
      </c>
      <c r="I33" s="32"/>
    </row>
    <row r="34" spans="1:9" x14ac:dyDescent="0.25">
      <c r="A34" s="34" t="s">
        <v>123</v>
      </c>
      <c r="B34" s="434"/>
      <c r="C34" s="432"/>
      <c r="D34" s="433"/>
      <c r="E34" s="69"/>
      <c r="F34" s="70"/>
      <c r="H34" s="34"/>
      <c r="I34" s="32"/>
    </row>
    <row r="35" spans="1:9" ht="17.25" thickBot="1" x14ac:dyDescent="0.3">
      <c r="A35" s="34" t="s">
        <v>124</v>
      </c>
      <c r="B35" s="434"/>
      <c r="C35" s="432"/>
      <c r="D35" s="433"/>
      <c r="E35" s="77"/>
      <c r="F35" s="49"/>
      <c r="H35" s="78" t="s">
        <v>43</v>
      </c>
      <c r="I35" s="79">
        <v>0.06</v>
      </c>
    </row>
    <row r="36" spans="1:9" x14ac:dyDescent="0.25">
      <c r="A36" s="80"/>
      <c r="B36" s="431"/>
      <c r="C36" s="432"/>
      <c r="D36" s="433"/>
      <c r="E36" s="77"/>
      <c r="F36" s="49"/>
    </row>
    <row r="37" spans="1:9" x14ac:dyDescent="0.25">
      <c r="A37" s="34" t="s">
        <v>11</v>
      </c>
      <c r="B37" s="431">
        <f>I27</f>
        <v>0</v>
      </c>
      <c r="C37" s="432">
        <f>I28</f>
        <v>0</v>
      </c>
      <c r="D37" s="426">
        <f>C37*B37</f>
        <v>0</v>
      </c>
      <c r="E37" s="77"/>
      <c r="F37" s="49"/>
    </row>
    <row r="38" spans="1:9" x14ac:dyDescent="0.25">
      <c r="A38" s="80"/>
      <c r="B38" s="431"/>
      <c r="C38" s="432"/>
      <c r="D38" s="433"/>
      <c r="E38" s="77"/>
      <c r="F38" s="49"/>
    </row>
    <row r="39" spans="1:9" x14ac:dyDescent="0.25">
      <c r="A39" s="34" t="s">
        <v>125</v>
      </c>
      <c r="B39" s="424"/>
      <c r="C39" s="428"/>
      <c r="D39" s="429"/>
      <c r="E39" s="77"/>
      <c r="F39" s="49"/>
    </row>
    <row r="40" spans="1:9" x14ac:dyDescent="0.25">
      <c r="A40" s="34" t="s">
        <v>46</v>
      </c>
      <c r="B40" s="424"/>
      <c r="C40" s="428"/>
      <c r="D40" s="429"/>
      <c r="E40" s="77"/>
      <c r="F40" s="49"/>
    </row>
    <row r="41" spans="1:9" x14ac:dyDescent="0.25">
      <c r="A41" s="84" t="s">
        <v>25</v>
      </c>
      <c r="B41" s="424"/>
      <c r="C41" s="427"/>
      <c r="D41" s="421">
        <f>SUM(D20:D37)</f>
        <v>3471.114920551197</v>
      </c>
      <c r="E41" s="77"/>
      <c r="F41" s="49"/>
    </row>
    <row r="42" spans="1:9" x14ac:dyDescent="0.25">
      <c r="A42" s="437" t="s">
        <v>332</v>
      </c>
      <c r="B42" s="438">
        <f>B24</f>
        <v>7</v>
      </c>
      <c r="C42" s="439">
        <f>(D20+D22)/151.67*1.25</f>
        <v>26.373046746225359</v>
      </c>
      <c r="D42" s="439">
        <f>C42*B42</f>
        <v>184.61132722357752</v>
      </c>
      <c r="E42" s="77"/>
      <c r="F42" s="49"/>
    </row>
    <row r="43" spans="1:9" ht="33" x14ac:dyDescent="0.25">
      <c r="A43" s="87" t="s">
        <v>126</v>
      </c>
      <c r="B43" s="88" t="s">
        <v>35</v>
      </c>
      <c r="C43" s="88" t="s">
        <v>15</v>
      </c>
      <c r="D43" s="88" t="s">
        <v>36</v>
      </c>
      <c r="E43" s="88" t="s">
        <v>15</v>
      </c>
      <c r="F43" s="89" t="s">
        <v>37</v>
      </c>
    </row>
    <row r="44" spans="1:9" x14ac:dyDescent="0.25">
      <c r="A44" s="90" t="s">
        <v>26</v>
      </c>
      <c r="B44" s="91"/>
      <c r="C44" s="92"/>
      <c r="D44" s="92"/>
      <c r="E44" s="92"/>
      <c r="F44" s="93"/>
    </row>
    <row r="45" spans="1:9" ht="21.75" customHeight="1" x14ac:dyDescent="0.25">
      <c r="A45" s="94" t="s">
        <v>127</v>
      </c>
      <c r="B45" s="95">
        <f>$D$41</f>
        <v>3471.114920551197</v>
      </c>
      <c r="C45" s="96"/>
      <c r="D45" s="97"/>
      <c r="E45" s="98">
        <f>I19</f>
        <v>7.0000000000000007E-2</v>
      </c>
      <c r="F45" s="162">
        <f>+E45*B45</f>
        <v>242.97804443858382</v>
      </c>
    </row>
    <row r="46" spans="1:9" x14ac:dyDescent="0.25">
      <c r="A46" s="99" t="s">
        <v>128</v>
      </c>
      <c r="B46" s="81"/>
      <c r="C46" s="100"/>
      <c r="D46" s="101"/>
      <c r="E46" s="102">
        <v>1.4999999999999999E-2</v>
      </c>
      <c r="F46" s="162">
        <f>+E46*B46</f>
        <v>0</v>
      </c>
    </row>
    <row r="47" spans="1:9" x14ac:dyDescent="0.25">
      <c r="A47" s="99" t="s">
        <v>129</v>
      </c>
      <c r="B47" s="81">
        <f>$I$23</f>
        <v>0</v>
      </c>
      <c r="C47" s="100"/>
      <c r="D47" s="101"/>
      <c r="E47" s="31"/>
      <c r="F47" s="103"/>
    </row>
    <row r="48" spans="1:9" x14ac:dyDescent="0.25">
      <c r="A48" s="99" t="s">
        <v>27</v>
      </c>
      <c r="B48" s="81">
        <f>D41</f>
        <v>3471.114920551197</v>
      </c>
      <c r="C48" s="100">
        <v>0.01</v>
      </c>
      <c r="D48" s="101">
        <f>C48*B48</f>
        <v>34.711149205511973</v>
      </c>
      <c r="E48" s="357">
        <v>0.01</v>
      </c>
      <c r="F48" s="104">
        <f>E48*B48</f>
        <v>34.711149205511973</v>
      </c>
    </row>
    <row r="49" spans="1:9" x14ac:dyDescent="0.25">
      <c r="A49" s="84" t="s">
        <v>28</v>
      </c>
      <c r="B49" s="81">
        <f>$D$41</f>
        <v>3471.114920551197</v>
      </c>
      <c r="C49" s="31"/>
      <c r="D49" s="81"/>
      <c r="E49" s="105">
        <f>I21</f>
        <v>2.7E-2</v>
      </c>
      <c r="F49" s="104">
        <f>+E49*B49</f>
        <v>93.720102854882313</v>
      </c>
    </row>
    <row r="50" spans="1:9" x14ac:dyDescent="0.25">
      <c r="A50" s="90" t="s">
        <v>29</v>
      </c>
      <c r="B50" s="91"/>
      <c r="C50" s="92"/>
      <c r="D50" s="92"/>
      <c r="E50" s="92"/>
      <c r="F50" s="93"/>
    </row>
    <row r="51" spans="1:9" x14ac:dyDescent="0.25">
      <c r="A51" s="99" t="s">
        <v>48</v>
      </c>
      <c r="B51" s="81">
        <f>$I$22</f>
        <v>3471.114920551197</v>
      </c>
      <c r="C51" s="100">
        <v>6.9000000000000006E-2</v>
      </c>
      <c r="D51" s="101">
        <f>C51*B51</f>
        <v>239.50692951803262</v>
      </c>
      <c r="E51" s="105">
        <v>8.5500000000000007E-2</v>
      </c>
      <c r="F51" s="104">
        <f>E51*B51</f>
        <v>296.78032570712736</v>
      </c>
    </row>
    <row r="52" spans="1:9" x14ac:dyDescent="0.25">
      <c r="A52" s="99" t="s">
        <v>50</v>
      </c>
      <c r="B52" s="95">
        <f>$D$41</f>
        <v>3471.114920551197</v>
      </c>
      <c r="C52" s="100">
        <v>4.0000000000000001E-3</v>
      </c>
      <c r="D52" s="101">
        <f t="shared" ref="D52:D55" si="0">C52*B52</f>
        <v>13.884459682204788</v>
      </c>
      <c r="E52" s="105">
        <v>1.9E-2</v>
      </c>
      <c r="F52" s="104">
        <f t="shared" ref="F52:F54" si="1">E52*B52</f>
        <v>65.951183490472744</v>
      </c>
    </row>
    <row r="53" spans="1:9" x14ac:dyDescent="0.25">
      <c r="A53" s="99" t="s">
        <v>51</v>
      </c>
      <c r="B53" s="81">
        <f>$I$22</f>
        <v>3471.114920551197</v>
      </c>
      <c r="C53" s="100">
        <v>4.0099999999999997E-2</v>
      </c>
      <c r="D53" s="101">
        <f t="shared" si="0"/>
        <v>139.19170831410298</v>
      </c>
      <c r="E53" s="105">
        <v>6.0100000000000001E-2</v>
      </c>
      <c r="F53" s="104">
        <f t="shared" si="1"/>
        <v>208.61400672512693</v>
      </c>
    </row>
    <row r="54" spans="1:9" x14ac:dyDescent="0.25">
      <c r="A54" s="99" t="s">
        <v>130</v>
      </c>
      <c r="B54" s="81">
        <f>$I$23</f>
        <v>0</v>
      </c>
      <c r="C54" s="100">
        <v>9.7199999999999995E-2</v>
      </c>
      <c r="D54" s="101">
        <f t="shared" si="0"/>
        <v>0</v>
      </c>
      <c r="E54" s="105">
        <v>0.1457</v>
      </c>
      <c r="F54" s="104">
        <f t="shared" si="1"/>
        <v>0</v>
      </c>
    </row>
    <row r="55" spans="1:9" x14ac:dyDescent="0.25">
      <c r="A55" s="99" t="s">
        <v>131</v>
      </c>
      <c r="B55" s="81">
        <f>I24</f>
        <v>0</v>
      </c>
      <c r="C55" s="100">
        <v>1.4E-3</v>
      </c>
      <c r="D55" s="101">
        <f t="shared" si="0"/>
        <v>0</v>
      </c>
      <c r="E55" s="105">
        <v>2.0999999999999999E-3</v>
      </c>
      <c r="F55" s="104">
        <f>E55*B55</f>
        <v>0</v>
      </c>
    </row>
    <row r="56" spans="1:9" x14ac:dyDescent="0.25">
      <c r="A56" s="99" t="s">
        <v>132</v>
      </c>
      <c r="B56" s="81"/>
      <c r="C56" s="100"/>
      <c r="D56" s="101"/>
      <c r="E56" s="31"/>
      <c r="F56" s="104">
        <f>E56*B56</f>
        <v>0</v>
      </c>
    </row>
    <row r="57" spans="1:9" x14ac:dyDescent="0.25">
      <c r="A57" s="106" t="s">
        <v>133</v>
      </c>
      <c r="B57" s="95">
        <f>$D$41</f>
        <v>3471.114920551197</v>
      </c>
      <c r="C57" s="107"/>
      <c r="D57" s="81"/>
      <c r="E57" s="108">
        <f>+I20</f>
        <v>3.4500000000000003E-2</v>
      </c>
      <c r="F57" s="104">
        <f>E57*B57</f>
        <v>119.75346475901631</v>
      </c>
    </row>
    <row r="58" spans="1:9" x14ac:dyDescent="0.25">
      <c r="A58" s="90" t="s">
        <v>49</v>
      </c>
      <c r="B58" s="109"/>
      <c r="C58" s="109"/>
      <c r="D58" s="109"/>
      <c r="E58" s="109"/>
      <c r="F58" s="110"/>
    </row>
    <row r="59" spans="1:9" x14ac:dyDescent="0.25">
      <c r="A59" s="99" t="s">
        <v>134</v>
      </c>
      <c r="B59" s="95">
        <f>$D$41</f>
        <v>3471.114920551197</v>
      </c>
      <c r="C59" s="107"/>
      <c r="D59" s="81"/>
      <c r="E59" s="108">
        <v>4.2000000000000003E-2</v>
      </c>
      <c r="F59" s="104">
        <f t="shared" ref="F59:F60" si="2">E59*B59</f>
        <v>145.78682666315029</v>
      </c>
    </row>
    <row r="60" spans="1:9" x14ac:dyDescent="0.25">
      <c r="A60" s="99" t="s">
        <v>135</v>
      </c>
      <c r="B60" s="81">
        <f>I25</f>
        <v>0</v>
      </c>
      <c r="C60" s="111">
        <v>2.4000000000000001E-4</v>
      </c>
      <c r="D60" s="81">
        <f>+C60*B60</f>
        <v>0</v>
      </c>
      <c r="E60" s="108">
        <v>3.6000000000000002E-4</v>
      </c>
      <c r="F60" s="104">
        <f t="shared" si="2"/>
        <v>0</v>
      </c>
    </row>
    <row r="61" spans="1:9" ht="17.25" thickBot="1" x14ac:dyDescent="0.3">
      <c r="A61" s="90" t="s">
        <v>47</v>
      </c>
      <c r="B61" s="81"/>
      <c r="C61" s="107"/>
      <c r="D61" s="81"/>
      <c r="E61" s="108"/>
      <c r="F61" s="112">
        <f>D106</f>
        <v>57.134551592272707</v>
      </c>
    </row>
    <row r="62" spans="1:9" x14ac:dyDescent="0.25">
      <c r="A62" s="84"/>
      <c r="B62" s="81"/>
      <c r="C62" s="81"/>
      <c r="D62" s="81"/>
      <c r="E62" s="31"/>
      <c r="F62" s="32"/>
      <c r="H62" s="380" t="s">
        <v>363</v>
      </c>
      <c r="I62" s="371"/>
    </row>
    <row r="63" spans="1:9" x14ac:dyDescent="0.25">
      <c r="A63" s="113" t="s">
        <v>136</v>
      </c>
      <c r="B63" s="81"/>
      <c r="C63" s="81"/>
      <c r="D63" s="81"/>
      <c r="E63" s="31"/>
      <c r="F63" s="32"/>
      <c r="H63" s="34" t="s">
        <v>364</v>
      </c>
      <c r="I63" s="162">
        <f>D41</f>
        <v>3471.114920551197</v>
      </c>
    </row>
    <row r="64" spans="1:9" x14ac:dyDescent="0.25">
      <c r="A64" s="84"/>
      <c r="B64" s="81"/>
      <c r="C64" s="111"/>
      <c r="D64" s="81"/>
      <c r="E64" s="81"/>
      <c r="F64" s="112"/>
      <c r="H64" s="34" t="s">
        <v>365</v>
      </c>
      <c r="I64" s="162">
        <f>-D42</f>
        <v>-184.61132722357752</v>
      </c>
    </row>
    <row r="65" spans="1:9" x14ac:dyDescent="0.25">
      <c r="A65" s="84" t="s">
        <v>137</v>
      </c>
      <c r="B65" s="81">
        <f>+I68</f>
        <v>3263.7009296498982</v>
      </c>
      <c r="C65" s="100">
        <v>6.8000000000000005E-2</v>
      </c>
      <c r="D65" s="101">
        <f>C65*B65</f>
        <v>221.9316632161931</v>
      </c>
      <c r="E65" s="81"/>
      <c r="F65" s="112"/>
      <c r="H65" s="34" t="s">
        <v>366</v>
      </c>
      <c r="I65" s="162">
        <f>SUM(I63:I64)</f>
        <v>3286.5035933276195</v>
      </c>
    </row>
    <row r="66" spans="1:9" x14ac:dyDescent="0.25">
      <c r="A66" s="84" t="s">
        <v>138</v>
      </c>
      <c r="B66" s="81">
        <f>B65</f>
        <v>3263.7009296498982</v>
      </c>
      <c r="C66" s="100">
        <v>2.9000000000000001E-2</v>
      </c>
      <c r="D66" s="101">
        <f>C66*B66</f>
        <v>94.647326959847049</v>
      </c>
      <c r="E66" s="114"/>
      <c r="F66" s="104"/>
      <c r="H66" s="34" t="s">
        <v>367</v>
      </c>
      <c r="I66" s="162">
        <f>I65*0.9825</f>
        <v>3228.9897804443863</v>
      </c>
    </row>
    <row r="67" spans="1:9" x14ac:dyDescent="0.25">
      <c r="A67" s="115" t="s">
        <v>139</v>
      </c>
      <c r="B67" s="81">
        <f>D42*0.9825</f>
        <v>181.38062899716491</v>
      </c>
      <c r="C67" s="100">
        <v>9.7000000000000003E-2</v>
      </c>
      <c r="D67" s="101">
        <f>C67*B67</f>
        <v>17.593921012724998</v>
      </c>
      <c r="E67" s="105"/>
      <c r="F67" s="104"/>
      <c r="H67" s="34" t="s">
        <v>368</v>
      </c>
      <c r="I67" s="162">
        <f>F48</f>
        <v>34.711149205511973</v>
      </c>
    </row>
    <row r="68" spans="1:9" ht="17.25" thickBot="1" x14ac:dyDescent="0.3">
      <c r="A68" s="115" t="s">
        <v>140</v>
      </c>
      <c r="B68" s="81">
        <f>D42</f>
        <v>184.61132722357752</v>
      </c>
      <c r="C68" s="100">
        <v>-0.11310000000000001</v>
      </c>
      <c r="D68" s="101">
        <f>C68*B68</f>
        <v>-20.879541108986619</v>
      </c>
      <c r="E68" s="105"/>
      <c r="F68" s="104"/>
      <c r="H68" s="435" t="s">
        <v>363</v>
      </c>
      <c r="I68" s="436">
        <f>+I66+I67</f>
        <v>3263.7009296498982</v>
      </c>
    </row>
    <row r="69" spans="1:9" x14ac:dyDescent="0.25">
      <c r="A69" s="115" t="s">
        <v>141</v>
      </c>
      <c r="B69" s="81"/>
      <c r="C69" s="100"/>
      <c r="D69" s="101"/>
      <c r="E69" s="105"/>
      <c r="F69" s="104"/>
    </row>
    <row r="70" spans="1:9" x14ac:dyDescent="0.25">
      <c r="A70" s="84" t="s">
        <v>142</v>
      </c>
      <c r="B70" s="116">
        <f>B24+B25</f>
        <v>7</v>
      </c>
      <c r="C70" s="31"/>
      <c r="D70" s="101"/>
      <c r="E70" s="101">
        <v>-1.5</v>
      </c>
      <c r="F70" s="112">
        <f>E70*B70</f>
        <v>-10.5</v>
      </c>
    </row>
    <row r="71" spans="1:9" x14ac:dyDescent="0.25">
      <c r="A71" s="84" t="s">
        <v>30</v>
      </c>
      <c r="B71" s="101"/>
      <c r="C71" s="117"/>
      <c r="D71" s="118">
        <f>SUM(D45:D70)</f>
        <v>740.58761679963095</v>
      </c>
      <c r="E71" s="105"/>
      <c r="F71" s="119">
        <f>SUM(F45:F70)</f>
        <v>1254.9296554361445</v>
      </c>
    </row>
    <row r="72" spans="1:9" x14ac:dyDescent="0.25">
      <c r="A72" s="84"/>
      <c r="B72" s="101"/>
      <c r="C72" s="117"/>
      <c r="D72" s="118"/>
      <c r="E72" s="31"/>
      <c r="F72" s="32"/>
    </row>
    <row r="73" spans="1:9" x14ac:dyDescent="0.25">
      <c r="A73" s="99" t="s">
        <v>143</v>
      </c>
      <c r="B73" s="101"/>
      <c r="C73" s="117"/>
      <c r="D73" s="120"/>
      <c r="E73" s="118"/>
      <c r="F73" s="119"/>
    </row>
    <row r="74" spans="1:9" x14ac:dyDescent="0.25">
      <c r="A74" s="99" t="s">
        <v>107</v>
      </c>
      <c r="B74" s="101"/>
      <c r="C74" s="117"/>
      <c r="D74" s="120"/>
      <c r="E74" s="118"/>
      <c r="F74" s="119"/>
    </row>
    <row r="75" spans="1:9" x14ac:dyDescent="0.25">
      <c r="A75" s="99" t="s">
        <v>144</v>
      </c>
      <c r="B75" s="101"/>
      <c r="C75" s="117"/>
      <c r="D75" s="120"/>
      <c r="E75" s="118"/>
      <c r="F75" s="119"/>
    </row>
    <row r="76" spans="1:9" x14ac:dyDescent="0.25">
      <c r="A76" s="99" t="s">
        <v>145</v>
      </c>
      <c r="B76" s="101"/>
      <c r="C76" s="117"/>
      <c r="D76" s="120"/>
      <c r="E76" s="118"/>
      <c r="F76" s="119"/>
    </row>
    <row r="77" spans="1:9" x14ac:dyDescent="0.25">
      <c r="A77" s="99"/>
      <c r="B77" s="101"/>
      <c r="C77" s="117"/>
      <c r="D77" s="120"/>
      <c r="E77" s="118"/>
      <c r="F77" s="119"/>
    </row>
    <row r="78" spans="1:9" x14ac:dyDescent="0.25">
      <c r="A78" s="99"/>
      <c r="B78" s="101"/>
      <c r="C78" s="117"/>
      <c r="D78" s="120"/>
      <c r="E78" s="118"/>
      <c r="F78" s="119"/>
    </row>
    <row r="79" spans="1:9" ht="15.75" customHeight="1" x14ac:dyDescent="0.25">
      <c r="A79" s="84"/>
      <c r="B79" s="101"/>
      <c r="C79" s="117"/>
      <c r="D79" s="118"/>
      <c r="E79" s="118"/>
      <c r="F79" s="119"/>
    </row>
    <row r="80" spans="1:9" x14ac:dyDescent="0.25">
      <c r="A80" s="121" t="s">
        <v>31</v>
      </c>
      <c r="B80" s="101"/>
      <c r="C80" s="117"/>
      <c r="D80" s="118"/>
      <c r="E80" s="118"/>
      <c r="F80" s="122">
        <f>D41-D71+D73+D74+D75+D76+D77+D78+D79</f>
        <v>2730.5273037515663</v>
      </c>
    </row>
    <row r="81" spans="1:9" ht="33" x14ac:dyDescent="0.25">
      <c r="A81" s="84" t="s">
        <v>32</v>
      </c>
      <c r="B81" s="123"/>
      <c r="C81" s="124"/>
      <c r="D81" s="120"/>
      <c r="E81" s="120"/>
      <c r="F81" s="125">
        <f>D113</f>
        <v>50.773733500362631</v>
      </c>
    </row>
    <row r="82" spans="1:9" x14ac:dyDescent="0.25">
      <c r="A82" s="278" t="s">
        <v>33</v>
      </c>
      <c r="B82" s="278" t="s">
        <v>34</v>
      </c>
      <c r="C82" s="278" t="s">
        <v>15</v>
      </c>
      <c r="D82" s="279" t="s">
        <v>146</v>
      </c>
      <c r="E82" s="279"/>
      <c r="F82" s="280" t="s">
        <v>244</v>
      </c>
    </row>
    <row r="83" spans="1:9" x14ac:dyDescent="0.25">
      <c r="A83" s="281" t="s">
        <v>238</v>
      </c>
      <c r="B83" s="282"/>
      <c r="C83" s="283"/>
      <c r="D83" s="284">
        <f>+D20+D23+F48+D66+D67-D71+D24-D42</f>
        <v>2492.8683737060724</v>
      </c>
      <c r="E83" s="285"/>
      <c r="F83" s="286"/>
    </row>
    <row r="84" spans="1:9" x14ac:dyDescent="0.25">
      <c r="A84" s="281" t="s">
        <v>239</v>
      </c>
      <c r="B84" s="284">
        <f>+D83</f>
        <v>2492.8683737060724</v>
      </c>
      <c r="C84" s="287">
        <f>+I35</f>
        <v>0.06</v>
      </c>
      <c r="D84" s="284">
        <f>B84*C84</f>
        <v>149.57210242236434</v>
      </c>
      <c r="E84" s="285"/>
      <c r="F84" s="286"/>
    </row>
    <row r="85" spans="1:9" x14ac:dyDescent="0.25">
      <c r="A85" s="281" t="s">
        <v>240</v>
      </c>
      <c r="B85" s="282"/>
      <c r="C85" s="284"/>
      <c r="D85" s="283"/>
      <c r="E85" s="285"/>
      <c r="F85" s="286"/>
    </row>
    <row r="86" spans="1:9" x14ac:dyDescent="0.25">
      <c r="A86" s="281"/>
      <c r="B86" s="282"/>
      <c r="C86" s="283"/>
      <c r="D86" s="283"/>
      <c r="E86" s="285"/>
      <c r="F86" s="288"/>
    </row>
    <row r="87" spans="1:9" x14ac:dyDescent="0.25">
      <c r="A87" s="289" t="s">
        <v>241</v>
      </c>
      <c r="B87" s="283"/>
      <c r="C87" s="283"/>
      <c r="D87" s="284">
        <f>+F80-D84</f>
        <v>2580.9552013292018</v>
      </c>
      <c r="E87" s="285"/>
      <c r="F87" s="286"/>
    </row>
    <row r="88" spans="1:9" x14ac:dyDescent="0.25">
      <c r="A88" s="281" t="s">
        <v>242</v>
      </c>
      <c r="B88" s="283"/>
      <c r="C88" s="283"/>
      <c r="D88" s="284">
        <f>+D119</f>
        <v>62.480068569921542</v>
      </c>
      <c r="E88" s="285"/>
      <c r="F88" s="286"/>
    </row>
    <row r="89" spans="1:9" x14ac:dyDescent="0.25">
      <c r="A89" s="281" t="s">
        <v>243</v>
      </c>
      <c r="B89" s="290"/>
      <c r="C89" s="283"/>
      <c r="D89" s="284">
        <f>+F71+D41</f>
        <v>4726.0445759873419</v>
      </c>
      <c r="E89" s="285"/>
      <c r="F89" s="286"/>
    </row>
    <row r="90" spans="1:9" ht="17.25" thickBot="1" x14ac:dyDescent="0.3">
      <c r="A90" s="291" t="s">
        <v>149</v>
      </c>
      <c r="B90" s="292"/>
      <c r="C90" s="292"/>
      <c r="D90" s="292"/>
      <c r="E90" s="293"/>
      <c r="F90" s="294"/>
    </row>
    <row r="91" spans="1:9" x14ac:dyDescent="0.25">
      <c r="A91" s="99" t="s">
        <v>148</v>
      </c>
      <c r="B91" s="128">
        <f>D41-D24-D25+F48+D66+D67-D71</f>
        <v>2685.4839206171291</v>
      </c>
      <c r="C91" s="129"/>
      <c r="D91" s="127"/>
      <c r="E91" s="127"/>
      <c r="F91" s="126"/>
    </row>
    <row r="92" spans="1:9" ht="17.25" thickBot="1" x14ac:dyDescent="0.3">
      <c r="A92" s="130" t="s">
        <v>149</v>
      </c>
      <c r="B92" s="131"/>
      <c r="C92" s="131"/>
      <c r="D92" s="131"/>
      <c r="E92" s="131"/>
      <c r="F92" s="132"/>
    </row>
    <row r="95" spans="1:9" ht="17.25" thickBot="1" x14ac:dyDescent="0.3">
      <c r="A95" s="311" t="s">
        <v>47</v>
      </c>
      <c r="B95" s="312"/>
      <c r="I95" s="133"/>
    </row>
    <row r="96" spans="1:9" x14ac:dyDescent="0.25">
      <c r="A96" s="23"/>
      <c r="B96" s="331">
        <f>+D41</f>
        <v>3471.114920551197</v>
      </c>
      <c r="C96" s="316">
        <f>0.016%+0.3%+0.68%+0.55%</f>
        <v>1.5460000000000002E-2</v>
      </c>
      <c r="D96" s="334">
        <f>C96*B96</f>
        <v>53.663436671721513</v>
      </c>
      <c r="I96" s="133"/>
    </row>
    <row r="97" spans="1:9" x14ac:dyDescent="0.25">
      <c r="A97" s="24" t="s">
        <v>150</v>
      </c>
      <c r="B97" s="332"/>
      <c r="C97" s="317"/>
      <c r="D97" s="335"/>
      <c r="E97" s="133"/>
      <c r="F97" s="133"/>
      <c r="G97" s="133"/>
      <c r="I97" s="133"/>
    </row>
    <row r="98" spans="1:9" s="133" customFormat="1" x14ac:dyDescent="0.25">
      <c r="A98" s="24" t="s">
        <v>53</v>
      </c>
      <c r="B98" s="332"/>
      <c r="C98" s="317"/>
      <c r="D98" s="335"/>
      <c r="H98" s="29"/>
    </row>
    <row r="99" spans="1:9" s="133" customFormat="1" ht="15" x14ac:dyDescent="0.25">
      <c r="A99" s="24" t="s">
        <v>54</v>
      </c>
      <c r="B99" s="332"/>
      <c r="C99" s="317"/>
      <c r="D99" s="335"/>
    </row>
    <row r="100" spans="1:9" s="133" customFormat="1" ht="15" x14ac:dyDescent="0.25">
      <c r="A100" s="24" t="s">
        <v>55</v>
      </c>
      <c r="B100" s="332"/>
      <c r="C100" s="317"/>
      <c r="D100" s="335"/>
    </row>
    <row r="101" spans="1:9" s="133" customFormat="1" ht="15" x14ac:dyDescent="0.25">
      <c r="A101" s="24" t="s">
        <v>151</v>
      </c>
      <c r="B101" s="332"/>
      <c r="C101" s="317"/>
      <c r="D101" s="335"/>
    </row>
    <row r="102" spans="1:9" s="133" customFormat="1" ht="15.75" thickBot="1" x14ac:dyDescent="0.3">
      <c r="A102" s="25" t="s">
        <v>152</v>
      </c>
      <c r="B102" s="333"/>
      <c r="C102" s="318"/>
      <c r="D102" s="336"/>
    </row>
    <row r="103" spans="1:9" s="133" customFormat="1" ht="17.25" thickBot="1" x14ac:dyDescent="0.3">
      <c r="A103" s="29"/>
      <c r="B103" s="134"/>
      <c r="C103" s="134"/>
      <c r="D103" s="134"/>
    </row>
    <row r="104" spans="1:9" s="133" customFormat="1" ht="17.25" thickBot="1" x14ac:dyDescent="0.3">
      <c r="A104" s="135" t="s">
        <v>56</v>
      </c>
      <c r="B104" s="136">
        <f>B96</f>
        <v>3471.114920551197</v>
      </c>
      <c r="C104" s="137">
        <v>1E-3</v>
      </c>
      <c r="D104" s="138">
        <f>C104*B104</f>
        <v>3.4711149205511971</v>
      </c>
    </row>
    <row r="105" spans="1:9" s="133" customFormat="1" ht="17.25" thickBot="1" x14ac:dyDescent="0.3">
      <c r="A105" s="29"/>
      <c r="B105" s="29"/>
      <c r="C105" s="29"/>
      <c r="D105" s="29"/>
    </row>
    <row r="106" spans="1:9" s="133" customFormat="1" ht="17.25" thickBot="1" x14ac:dyDescent="0.3">
      <c r="A106" s="139" t="s">
        <v>57</v>
      </c>
      <c r="B106" s="140"/>
      <c r="C106" s="140"/>
      <c r="D106" s="141">
        <f>D96+D104</f>
        <v>57.134551592272707</v>
      </c>
    </row>
    <row r="107" spans="1:9" s="133" customFormat="1" ht="17.25" thickBot="1" x14ac:dyDescent="0.3">
      <c r="A107" s="29"/>
      <c r="B107" s="29"/>
      <c r="C107" s="29"/>
      <c r="D107" s="29"/>
    </row>
    <row r="108" spans="1:9" s="133" customFormat="1" x14ac:dyDescent="0.25">
      <c r="A108" s="322" t="s">
        <v>58</v>
      </c>
      <c r="B108" s="323"/>
      <c r="C108" s="323"/>
      <c r="D108" s="324"/>
    </row>
    <row r="109" spans="1:9" s="133" customFormat="1" x14ac:dyDescent="0.25">
      <c r="A109" s="142" t="s">
        <v>59</v>
      </c>
      <c r="B109" s="143">
        <f>+D41</f>
        <v>3471.114920551197</v>
      </c>
      <c r="C109" s="144">
        <v>2.4E-2</v>
      </c>
      <c r="D109" s="145">
        <f>C109*B109</f>
        <v>83.306758093228723</v>
      </c>
    </row>
    <row r="110" spans="1:9" s="133" customFormat="1" x14ac:dyDescent="0.25">
      <c r="A110" s="142" t="s">
        <v>60</v>
      </c>
      <c r="B110" s="143">
        <f>+B109</f>
        <v>3471.114920551197</v>
      </c>
      <c r="C110" s="144">
        <v>7.4999999999999997E-3</v>
      </c>
      <c r="D110" s="145">
        <f t="shared" ref="D110:D111" si="3">C110*B110</f>
        <v>26.033361904133976</v>
      </c>
    </row>
    <row r="111" spans="1:9" s="133" customFormat="1" x14ac:dyDescent="0.25">
      <c r="A111" s="142" t="s">
        <v>61</v>
      </c>
      <c r="B111" s="143">
        <f>B66+B67</f>
        <v>3445.081558647063</v>
      </c>
      <c r="C111" s="144">
        <v>-1.7000000000000001E-2</v>
      </c>
      <c r="D111" s="145">
        <f t="shared" si="3"/>
        <v>-58.566386497000074</v>
      </c>
    </row>
    <row r="112" spans="1:9" s="133" customFormat="1" x14ac:dyDescent="0.25">
      <c r="A112" s="146"/>
      <c r="B112" s="147"/>
      <c r="C112" s="148"/>
      <c r="D112" s="149"/>
    </row>
    <row r="113" spans="1:9" s="133" customFormat="1" ht="17.25" thickBot="1" x14ac:dyDescent="0.3">
      <c r="A113" s="150" t="s">
        <v>62</v>
      </c>
      <c r="B113" s="151"/>
      <c r="C113" s="152"/>
      <c r="D113" s="153">
        <f>SUM(D109:D112)</f>
        <v>50.773733500362631</v>
      </c>
    </row>
    <row r="114" spans="1:9" s="133" customFormat="1" ht="15" x14ac:dyDescent="0.25"/>
    <row r="115" spans="1:9" s="133" customFormat="1" ht="15.75" thickBot="1" x14ac:dyDescent="0.3"/>
    <row r="116" spans="1:9" s="133" customFormat="1" ht="17.25" thickBot="1" x14ac:dyDescent="0.3">
      <c r="A116" s="325" t="s">
        <v>68</v>
      </c>
      <c r="B116" s="326"/>
      <c r="C116" s="326"/>
      <c r="D116" s="327"/>
    </row>
    <row r="117" spans="1:9" s="133" customFormat="1" x14ac:dyDescent="0.25">
      <c r="A117" s="154" t="s">
        <v>63</v>
      </c>
      <c r="B117" s="155"/>
      <c r="C117" s="155"/>
      <c r="D117" s="156">
        <v>0</v>
      </c>
    </row>
    <row r="118" spans="1:9" s="133" customFormat="1" x14ac:dyDescent="0.25">
      <c r="A118" s="142" t="s">
        <v>64</v>
      </c>
      <c r="B118" s="157">
        <f>B24+B25</f>
        <v>7</v>
      </c>
      <c r="C118" s="158">
        <v>1.5</v>
      </c>
      <c r="D118" s="159">
        <f>C118*B118</f>
        <v>10.5</v>
      </c>
    </row>
    <row r="119" spans="1:9" s="133" customFormat="1" x14ac:dyDescent="0.25">
      <c r="A119" s="142" t="s">
        <v>65</v>
      </c>
      <c r="B119" s="143">
        <f>+B109</f>
        <v>3471.114920551197</v>
      </c>
      <c r="C119" s="144">
        <v>1.7999999999999999E-2</v>
      </c>
      <c r="D119" s="159">
        <f>C119*B119</f>
        <v>62.480068569921542</v>
      </c>
    </row>
    <row r="120" spans="1:9" s="133" customFormat="1" ht="15.75" customHeight="1" x14ac:dyDescent="0.25">
      <c r="A120" s="142" t="s">
        <v>66</v>
      </c>
      <c r="B120" s="143">
        <f>B119</f>
        <v>3471.114920551197</v>
      </c>
      <c r="C120" s="144">
        <v>0.06</v>
      </c>
      <c r="D120" s="159">
        <f>C120*B120</f>
        <v>208.26689523307181</v>
      </c>
    </row>
    <row r="121" spans="1:9" s="133" customFormat="1" ht="15.75" customHeight="1" thickBot="1" x14ac:dyDescent="0.3">
      <c r="A121" s="150" t="s">
        <v>67</v>
      </c>
      <c r="B121" s="160"/>
      <c r="C121" s="160"/>
      <c r="D121" s="161">
        <f>SUM(D117:D120)</f>
        <v>281.24696380299338</v>
      </c>
    </row>
    <row r="122" spans="1:9" s="133" customFormat="1" ht="15.75" customHeight="1" x14ac:dyDescent="0.25">
      <c r="A122" s="29"/>
      <c r="B122" s="29"/>
      <c r="C122" s="29"/>
      <c r="D122" s="29"/>
      <c r="H122" s="29"/>
      <c r="I122" s="29"/>
    </row>
  </sheetData>
  <mergeCells count="8">
    <mergeCell ref="A116:D116"/>
    <mergeCell ref="B17:C17"/>
    <mergeCell ref="E17:F17"/>
    <mergeCell ref="A95:B95"/>
    <mergeCell ref="B96:B102"/>
    <mergeCell ref="C96:C102"/>
    <mergeCell ref="D96:D102"/>
    <mergeCell ref="A108:D108"/>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212EF0-2A10-416B-8E72-04487901BB99}">
  <dimension ref="A3:O122"/>
  <sheetViews>
    <sheetView zoomScale="75" zoomScaleNormal="75" workbookViewId="0">
      <selection activeCell="D7" sqref="D7"/>
    </sheetView>
  </sheetViews>
  <sheetFormatPr baseColWidth="10" defaultRowHeight="16.5" x14ac:dyDescent="0.25"/>
  <cols>
    <col min="1" max="1" width="95.5703125" style="29" customWidth="1"/>
    <col min="2" max="2" width="18.85546875" style="29" bestFit="1" customWidth="1"/>
    <col min="3" max="3" width="17.140625" style="29" bestFit="1" customWidth="1"/>
    <col min="4" max="4" width="34.140625" style="29" customWidth="1"/>
    <col min="5" max="5" width="12.5703125" style="29" customWidth="1"/>
    <col min="6" max="6" width="18.28515625" style="29" customWidth="1"/>
    <col min="7" max="7" width="11.42578125" style="29"/>
    <col min="8" max="8" width="51.85546875" style="29" bestFit="1" customWidth="1"/>
    <col min="9" max="9" width="13" style="29" bestFit="1" customWidth="1"/>
    <col min="10" max="10" width="12" style="29" bestFit="1" customWidth="1"/>
    <col min="11" max="11" width="11.42578125" style="29"/>
    <col min="12" max="12" width="12.140625" style="29" bestFit="1" customWidth="1"/>
    <col min="13" max="14" width="12" style="29" bestFit="1" customWidth="1"/>
    <col min="15" max="16384" width="11.42578125" style="29"/>
  </cols>
  <sheetData>
    <row r="3" spans="1:1" ht="36" x14ac:dyDescent="0.25">
      <c r="A3" s="384" t="s">
        <v>333</v>
      </c>
    </row>
    <row r="18" spans="1:15" ht="20.25" customHeight="1" x14ac:dyDescent="0.25"/>
    <row r="19" spans="1:15" ht="24" customHeight="1" x14ac:dyDescent="0.25"/>
    <row r="20" spans="1:15" s="50" customFormat="1" x14ac:dyDescent="0.25">
      <c r="A20" s="29"/>
      <c r="B20" s="29"/>
      <c r="C20" s="29"/>
      <c r="D20" s="29"/>
      <c r="E20" s="29"/>
      <c r="F20" s="29"/>
      <c r="G20" s="29"/>
      <c r="H20" s="29"/>
      <c r="I20" s="29"/>
      <c r="J20" s="29"/>
      <c r="K20" s="29"/>
      <c r="L20" s="29"/>
      <c r="M20" s="29"/>
      <c r="N20" s="29"/>
      <c r="O20" s="29"/>
    </row>
    <row r="21" spans="1:15" s="50" customFormat="1" x14ac:dyDescent="0.25">
      <c r="A21" s="29"/>
      <c r="B21" s="29"/>
      <c r="C21" s="29"/>
      <c r="D21" s="29"/>
      <c r="E21" s="29"/>
      <c r="F21" s="29"/>
      <c r="G21" s="29"/>
      <c r="H21" s="29"/>
      <c r="I21" s="29"/>
      <c r="J21" s="29"/>
      <c r="K21" s="29"/>
      <c r="L21" s="29"/>
      <c r="M21" s="29"/>
      <c r="N21" s="29"/>
      <c r="O21" s="29"/>
    </row>
    <row r="22" spans="1:15" s="50" customFormat="1" x14ac:dyDescent="0.25">
      <c r="A22" s="29"/>
      <c r="B22" s="29"/>
      <c r="C22" s="29"/>
      <c r="D22" s="29"/>
      <c r="E22" s="29"/>
      <c r="F22" s="29"/>
      <c r="G22" s="29"/>
      <c r="H22" s="29"/>
      <c r="I22" s="29"/>
      <c r="J22" s="29"/>
      <c r="K22" s="29"/>
      <c r="L22" s="29"/>
      <c r="M22" s="29"/>
      <c r="N22" s="29"/>
      <c r="O22" s="29"/>
    </row>
    <row r="23" spans="1:15" s="50" customFormat="1" x14ac:dyDescent="0.25">
      <c r="A23" s="29"/>
      <c r="B23" s="29"/>
      <c r="C23" s="29"/>
      <c r="D23" s="29"/>
      <c r="E23" s="29"/>
      <c r="F23" s="29"/>
      <c r="G23" s="29"/>
      <c r="H23" s="29"/>
      <c r="I23" s="29"/>
      <c r="J23" s="29"/>
      <c r="K23" s="29"/>
      <c r="L23" s="29"/>
      <c r="M23" s="29"/>
      <c r="N23" s="29"/>
      <c r="O23" s="29"/>
    </row>
    <row r="45" ht="21.75" customHeight="1" x14ac:dyDescent="0.25"/>
    <row r="79" ht="15.75" customHeight="1" x14ac:dyDescent="0.25"/>
    <row r="98" spans="1:9" s="133" customFormat="1" x14ac:dyDescent="0.25">
      <c r="A98" s="29"/>
      <c r="B98" s="29"/>
      <c r="C98" s="29"/>
      <c r="D98" s="29"/>
      <c r="E98" s="29"/>
      <c r="F98" s="29"/>
      <c r="G98" s="29"/>
      <c r="H98" s="29"/>
      <c r="I98" s="29"/>
    </row>
    <row r="99" spans="1:9" s="133" customFormat="1" ht="15" customHeight="1" x14ac:dyDescent="0.25">
      <c r="A99" s="29"/>
      <c r="B99" s="29"/>
      <c r="C99" s="29"/>
      <c r="D99" s="29"/>
      <c r="E99" s="29"/>
      <c r="F99" s="29"/>
      <c r="G99" s="29"/>
      <c r="H99" s="29"/>
      <c r="I99" s="29"/>
    </row>
    <row r="100" spans="1:9" s="133" customFormat="1" ht="15" customHeight="1" x14ac:dyDescent="0.25">
      <c r="A100" s="29"/>
      <c r="B100" s="29"/>
      <c r="C100" s="29"/>
      <c r="D100" s="29"/>
      <c r="E100" s="29"/>
      <c r="F100" s="29"/>
      <c r="G100" s="29"/>
      <c r="H100" s="29"/>
      <c r="I100" s="29"/>
    </row>
    <row r="101" spans="1:9" s="133" customFormat="1" ht="15" customHeight="1" x14ac:dyDescent="0.25">
      <c r="A101" s="29"/>
      <c r="B101" s="29"/>
      <c r="C101" s="29"/>
      <c r="D101" s="29"/>
      <c r="E101" s="29"/>
      <c r="F101" s="29"/>
      <c r="G101" s="29"/>
      <c r="H101" s="29"/>
      <c r="I101" s="29"/>
    </row>
    <row r="102" spans="1:9" s="133" customFormat="1" ht="15.75" customHeight="1" x14ac:dyDescent="0.25">
      <c r="A102" s="29"/>
      <c r="B102" s="29"/>
      <c r="C102" s="29"/>
      <c r="D102" s="29"/>
      <c r="E102" s="29"/>
      <c r="F102" s="29"/>
      <c r="G102" s="29"/>
      <c r="H102" s="29"/>
      <c r="I102" s="29"/>
    </row>
    <row r="103" spans="1:9" s="133" customFormat="1" x14ac:dyDescent="0.25">
      <c r="A103" s="29"/>
      <c r="B103" s="29"/>
      <c r="C103" s="29"/>
      <c r="D103" s="29"/>
      <c r="E103" s="29"/>
      <c r="F103" s="29"/>
      <c r="G103" s="29"/>
      <c r="H103" s="29"/>
      <c r="I103" s="29"/>
    </row>
    <row r="104" spans="1:9" s="133" customFormat="1" x14ac:dyDescent="0.25">
      <c r="A104" s="29"/>
      <c r="B104" s="29"/>
      <c r="C104" s="29"/>
      <c r="D104" s="29"/>
      <c r="E104" s="29"/>
      <c r="F104" s="29"/>
      <c r="G104" s="29"/>
      <c r="H104" s="29"/>
      <c r="I104" s="29"/>
    </row>
    <row r="105" spans="1:9" s="133" customFormat="1" x14ac:dyDescent="0.25">
      <c r="A105" s="29"/>
      <c r="B105" s="29"/>
      <c r="C105" s="29"/>
      <c r="D105" s="29"/>
      <c r="E105" s="29"/>
      <c r="F105" s="29"/>
      <c r="G105" s="29"/>
      <c r="H105" s="29"/>
      <c r="I105" s="29"/>
    </row>
    <row r="106" spans="1:9" s="133" customFormat="1" x14ac:dyDescent="0.25">
      <c r="A106" s="29"/>
      <c r="B106" s="29"/>
      <c r="C106" s="29"/>
      <c r="D106" s="29"/>
      <c r="E106" s="29"/>
      <c r="F106" s="29"/>
      <c r="G106" s="29"/>
      <c r="H106" s="29"/>
      <c r="I106" s="29"/>
    </row>
    <row r="107" spans="1:9" s="133" customFormat="1" x14ac:dyDescent="0.25">
      <c r="A107" s="29"/>
      <c r="B107" s="29"/>
      <c r="C107" s="29"/>
      <c r="D107" s="29"/>
      <c r="E107" s="29"/>
      <c r="F107" s="29"/>
      <c r="G107" s="29"/>
      <c r="H107" s="29"/>
      <c r="I107" s="29"/>
    </row>
    <row r="108" spans="1:9" s="133" customFormat="1" x14ac:dyDescent="0.25">
      <c r="A108" s="29"/>
      <c r="B108" s="29"/>
      <c r="C108" s="29"/>
      <c r="D108" s="29"/>
      <c r="E108" s="29"/>
      <c r="F108" s="29"/>
      <c r="G108" s="29"/>
      <c r="H108" s="29"/>
      <c r="I108" s="29"/>
    </row>
    <row r="109" spans="1:9" s="133" customFormat="1" x14ac:dyDescent="0.25">
      <c r="A109" s="29"/>
      <c r="B109" s="29"/>
      <c r="C109" s="29"/>
      <c r="D109" s="29"/>
      <c r="E109" s="29"/>
      <c r="F109" s="29"/>
      <c r="G109" s="29"/>
      <c r="H109" s="29"/>
      <c r="I109" s="29"/>
    </row>
    <row r="110" spans="1:9" s="133" customFormat="1" x14ac:dyDescent="0.25">
      <c r="A110" s="29"/>
      <c r="B110" s="29"/>
      <c r="C110" s="29"/>
      <c r="D110" s="29"/>
      <c r="E110" s="29"/>
      <c r="F110" s="29"/>
      <c r="G110" s="29"/>
      <c r="H110" s="29"/>
      <c r="I110" s="29"/>
    </row>
    <row r="111" spans="1:9" s="133" customFormat="1" x14ac:dyDescent="0.25">
      <c r="A111" s="29"/>
      <c r="B111" s="29"/>
      <c r="C111" s="29"/>
      <c r="D111" s="29"/>
      <c r="E111" s="29"/>
      <c r="F111" s="29"/>
      <c r="G111" s="29"/>
      <c r="H111" s="29"/>
      <c r="I111" s="29"/>
    </row>
    <row r="112" spans="1:9" s="133" customFormat="1" x14ac:dyDescent="0.25">
      <c r="A112" s="29"/>
      <c r="B112" s="29"/>
      <c r="C112" s="29"/>
      <c r="D112" s="29"/>
      <c r="E112" s="29"/>
      <c r="F112" s="29"/>
      <c r="G112" s="29"/>
      <c r="H112" s="29"/>
      <c r="I112" s="29"/>
    </row>
    <row r="113" spans="1:9" s="133" customFormat="1" x14ac:dyDescent="0.25">
      <c r="A113" s="29"/>
      <c r="B113" s="29"/>
      <c r="C113" s="29"/>
      <c r="D113" s="29"/>
      <c r="E113" s="29"/>
      <c r="F113" s="29"/>
      <c r="G113" s="29"/>
      <c r="H113" s="29"/>
      <c r="I113" s="29"/>
    </row>
    <row r="114" spans="1:9" s="133" customFormat="1" x14ac:dyDescent="0.25">
      <c r="A114" s="29"/>
      <c r="B114" s="29"/>
      <c r="C114" s="29"/>
      <c r="D114" s="29"/>
      <c r="E114" s="29"/>
      <c r="F114" s="29"/>
      <c r="G114" s="29"/>
      <c r="H114" s="29"/>
      <c r="I114" s="29"/>
    </row>
    <row r="115" spans="1:9" s="133" customFormat="1" x14ac:dyDescent="0.25">
      <c r="A115" s="29"/>
      <c r="B115" s="29"/>
      <c r="C115" s="29"/>
      <c r="D115" s="29"/>
      <c r="E115" s="29"/>
      <c r="F115" s="29"/>
      <c r="G115" s="29"/>
      <c r="H115" s="29"/>
      <c r="I115" s="29"/>
    </row>
    <row r="116" spans="1:9" s="133" customFormat="1" x14ac:dyDescent="0.25">
      <c r="A116" s="29"/>
      <c r="B116" s="29"/>
      <c r="C116" s="29"/>
      <c r="D116" s="29"/>
      <c r="E116" s="29"/>
      <c r="F116" s="29"/>
      <c r="G116" s="29"/>
      <c r="H116" s="29"/>
      <c r="I116" s="29"/>
    </row>
    <row r="117" spans="1:9" s="133" customFormat="1" x14ac:dyDescent="0.25">
      <c r="A117" s="29"/>
      <c r="B117" s="29"/>
      <c r="C117" s="29"/>
      <c r="D117" s="29"/>
      <c r="E117" s="29"/>
      <c r="F117" s="29"/>
      <c r="G117" s="29"/>
      <c r="H117" s="29"/>
      <c r="I117" s="29"/>
    </row>
    <row r="118" spans="1:9" s="133" customFormat="1" x14ac:dyDescent="0.25">
      <c r="A118" s="29"/>
      <c r="B118" s="29"/>
      <c r="C118" s="29"/>
      <c r="D118" s="29"/>
      <c r="E118" s="29"/>
      <c r="F118" s="29"/>
      <c r="G118" s="29"/>
      <c r="H118" s="29"/>
      <c r="I118" s="29"/>
    </row>
    <row r="119" spans="1:9" s="133" customFormat="1" x14ac:dyDescent="0.25">
      <c r="A119" s="29"/>
      <c r="B119" s="29"/>
      <c r="C119" s="29"/>
      <c r="D119" s="29"/>
      <c r="E119" s="29"/>
      <c r="F119" s="29"/>
      <c r="G119" s="29"/>
      <c r="H119" s="29"/>
      <c r="I119" s="29"/>
    </row>
    <row r="120" spans="1:9" s="133" customFormat="1" ht="15.75" customHeight="1" x14ac:dyDescent="0.25">
      <c r="A120" s="29"/>
      <c r="B120" s="29"/>
      <c r="C120" s="29"/>
      <c r="D120" s="29"/>
      <c r="E120" s="29"/>
      <c r="F120" s="29"/>
      <c r="G120" s="29"/>
      <c r="H120" s="29"/>
      <c r="I120" s="29"/>
    </row>
    <row r="121" spans="1:9" s="133" customFormat="1" ht="15.75" customHeight="1" x14ac:dyDescent="0.25">
      <c r="A121" s="29"/>
      <c r="B121" s="29"/>
      <c r="C121" s="29"/>
      <c r="D121" s="29"/>
      <c r="E121" s="29"/>
      <c r="F121" s="29"/>
      <c r="G121" s="29"/>
      <c r="H121" s="29"/>
    </row>
    <row r="122" spans="1:9" s="133" customFormat="1" ht="15.75" customHeight="1" x14ac:dyDescent="0.25">
      <c r="A122" s="29"/>
      <c r="B122" s="29"/>
      <c r="C122" s="29"/>
      <c r="D122" s="29"/>
      <c r="E122" s="29"/>
      <c r="F122" s="29"/>
      <c r="G122" s="29"/>
      <c r="H122" s="29"/>
      <c r="I122" s="29"/>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BF0C6-082F-420D-B103-93FF9CF8FA4A}">
  <dimension ref="A1:O123"/>
  <sheetViews>
    <sheetView zoomScale="75" zoomScaleNormal="75" workbookViewId="0">
      <selection activeCell="F11" sqref="F11"/>
    </sheetView>
  </sheetViews>
  <sheetFormatPr baseColWidth="10" defaultRowHeight="16.5" x14ac:dyDescent="0.25"/>
  <cols>
    <col min="1" max="1" width="91" style="29" customWidth="1"/>
    <col min="2" max="2" width="22.85546875" style="29" bestFit="1" customWidth="1"/>
    <col min="3" max="3" width="30.5703125" style="29" customWidth="1"/>
    <col min="4" max="4" width="34.140625" style="29" customWidth="1"/>
    <col min="5" max="5" width="12.5703125" style="29" customWidth="1"/>
    <col min="6" max="6" width="18.28515625" style="29" customWidth="1"/>
    <col min="7" max="7" width="12.85546875" style="29" bestFit="1" customWidth="1"/>
    <col min="8" max="8" width="58.28515625" style="29" bestFit="1" customWidth="1"/>
    <col min="9" max="9" width="20" style="29" bestFit="1" customWidth="1"/>
    <col min="10" max="10" width="12.85546875" style="29" bestFit="1" customWidth="1"/>
    <col min="11" max="11" width="11.42578125" style="29"/>
    <col min="12" max="13" width="13" style="29" bestFit="1" customWidth="1"/>
    <col min="14" max="14" width="12" style="29" bestFit="1" customWidth="1"/>
    <col min="15" max="16384" width="11.42578125" style="29"/>
  </cols>
  <sheetData>
    <row r="1" spans="1:11" x14ac:dyDescent="0.25">
      <c r="A1" s="26" t="s">
        <v>78</v>
      </c>
      <c r="B1" s="27"/>
      <c r="C1" s="27"/>
      <c r="D1" s="27"/>
      <c r="E1" s="27"/>
      <c r="F1" s="28"/>
    </row>
    <row r="2" spans="1:11" x14ac:dyDescent="0.25">
      <c r="A2" s="30" t="s">
        <v>79</v>
      </c>
      <c r="B2" s="31"/>
      <c r="C2" s="31"/>
      <c r="D2" s="31" t="s">
        <v>80</v>
      </c>
      <c r="E2" s="31"/>
      <c r="F2" s="32" t="s">
        <v>339</v>
      </c>
    </row>
    <row r="3" spans="1:11" x14ac:dyDescent="0.25">
      <c r="A3" s="33" t="s">
        <v>81</v>
      </c>
      <c r="B3" s="31"/>
      <c r="C3" s="31"/>
      <c r="D3" s="31" t="s">
        <v>81</v>
      </c>
      <c r="E3" s="31"/>
      <c r="F3" s="32"/>
    </row>
    <row r="4" spans="1:11" x14ac:dyDescent="0.25">
      <c r="A4" s="33" t="s">
        <v>82</v>
      </c>
      <c r="B4" s="31"/>
      <c r="C4" s="31"/>
      <c r="D4" s="31" t="s">
        <v>234</v>
      </c>
      <c r="E4" s="31"/>
      <c r="F4" s="32"/>
    </row>
    <row r="5" spans="1:11" x14ac:dyDescent="0.25">
      <c r="A5" s="33" t="s">
        <v>83</v>
      </c>
      <c r="B5" s="31"/>
      <c r="C5" s="31"/>
      <c r="D5" s="31" t="s">
        <v>84</v>
      </c>
      <c r="E5" s="31"/>
      <c r="F5" s="32"/>
    </row>
    <row r="6" spans="1:11" x14ac:dyDescent="0.25">
      <c r="A6" s="33" t="s">
        <v>83</v>
      </c>
      <c r="B6" s="31"/>
      <c r="C6" s="31"/>
      <c r="D6" s="31" t="s">
        <v>85</v>
      </c>
      <c r="E6" s="31"/>
      <c r="F6" s="32"/>
    </row>
    <row r="7" spans="1:11" x14ac:dyDescent="0.25">
      <c r="A7" s="33" t="s">
        <v>86</v>
      </c>
      <c r="B7" s="31"/>
      <c r="C7" s="31"/>
      <c r="D7" s="31"/>
      <c r="E7" s="31"/>
      <c r="F7" s="32"/>
    </row>
    <row r="8" spans="1:11" x14ac:dyDescent="0.25">
      <c r="A8" s="33" t="s">
        <v>87</v>
      </c>
      <c r="B8" s="31"/>
      <c r="C8" s="31"/>
      <c r="D8" s="31" t="s">
        <v>88</v>
      </c>
      <c r="E8" s="31"/>
      <c r="F8" s="32"/>
    </row>
    <row r="9" spans="1:11" x14ac:dyDescent="0.25">
      <c r="A9" s="33" t="s">
        <v>89</v>
      </c>
      <c r="B9" s="31"/>
      <c r="C9" s="31"/>
      <c r="D9" s="31" t="s">
        <v>90</v>
      </c>
      <c r="E9" s="31"/>
      <c r="F9" s="32"/>
    </row>
    <row r="10" spans="1:11" x14ac:dyDescent="0.25">
      <c r="A10" s="33" t="s">
        <v>91</v>
      </c>
      <c r="B10" s="31"/>
      <c r="C10" s="31"/>
      <c r="D10" s="31" t="s">
        <v>92</v>
      </c>
      <c r="E10" s="31"/>
      <c r="F10" s="32"/>
    </row>
    <row r="11" spans="1:11" x14ac:dyDescent="0.25">
      <c r="A11" s="33" t="s">
        <v>93</v>
      </c>
      <c r="B11" s="31"/>
      <c r="C11" s="31"/>
      <c r="D11" s="31" t="s">
        <v>94</v>
      </c>
      <c r="E11" s="31"/>
      <c r="F11" s="32"/>
      <c r="I11" s="400"/>
    </row>
    <row r="12" spans="1:11" x14ac:dyDescent="0.25">
      <c r="A12" s="33" t="s">
        <v>95</v>
      </c>
      <c r="B12" s="31"/>
      <c r="C12" s="31"/>
      <c r="D12" s="31" t="s">
        <v>96</v>
      </c>
      <c r="E12" s="31"/>
      <c r="F12" s="32"/>
      <c r="I12" s="295"/>
    </row>
    <row r="13" spans="1:11" x14ac:dyDescent="0.25">
      <c r="A13" s="33" t="s">
        <v>97</v>
      </c>
      <c r="B13" s="31"/>
      <c r="C13" s="31"/>
      <c r="D13" s="31" t="s">
        <v>98</v>
      </c>
      <c r="E13" s="31"/>
      <c r="F13" s="32"/>
      <c r="I13" s="295"/>
      <c r="K13" s="295"/>
    </row>
    <row r="14" spans="1:11" x14ac:dyDescent="0.25">
      <c r="A14" s="33"/>
      <c r="B14" s="31"/>
      <c r="C14" s="31"/>
      <c r="D14" s="31" t="s">
        <v>99</v>
      </c>
      <c r="E14" s="31"/>
      <c r="F14" s="32"/>
    </row>
    <row r="15" spans="1:11" x14ac:dyDescent="0.25">
      <c r="A15" s="34"/>
      <c r="B15" s="31"/>
      <c r="C15" s="31"/>
      <c r="D15" s="31"/>
      <c r="E15" s="31"/>
      <c r="F15" s="32"/>
    </row>
    <row r="16" spans="1:11" x14ac:dyDescent="0.25">
      <c r="A16" s="34"/>
      <c r="B16" s="31"/>
      <c r="C16" s="31"/>
      <c r="D16" s="31"/>
      <c r="E16" s="31"/>
      <c r="F16" s="32"/>
    </row>
    <row r="17" spans="1:15" x14ac:dyDescent="0.25">
      <c r="A17" s="35" t="s">
        <v>100</v>
      </c>
      <c r="B17" s="328"/>
      <c r="C17" s="329"/>
      <c r="D17" s="36" t="s">
        <v>234</v>
      </c>
      <c r="E17" s="328"/>
      <c r="F17" s="330"/>
    </row>
    <row r="18" spans="1:15" ht="20.25" customHeight="1" thickBot="1" x14ac:dyDescent="0.3">
      <c r="A18" s="37" t="s">
        <v>101</v>
      </c>
      <c r="B18" s="38"/>
      <c r="C18" s="38"/>
      <c r="D18" s="38"/>
      <c r="E18" s="38"/>
      <c r="F18" s="39"/>
    </row>
    <row r="19" spans="1:15" ht="24" customHeight="1" x14ac:dyDescent="0.25">
      <c r="A19" s="40" t="s">
        <v>101</v>
      </c>
      <c r="B19" s="41" t="s">
        <v>102</v>
      </c>
      <c r="C19" s="41" t="s">
        <v>103</v>
      </c>
      <c r="D19" s="41" t="s">
        <v>104</v>
      </c>
      <c r="E19" s="42"/>
      <c r="F19" s="43"/>
      <c r="H19" s="44" t="s">
        <v>105</v>
      </c>
      <c r="I19" s="45">
        <v>7.0000000000000007E-2</v>
      </c>
    </row>
    <row r="20" spans="1:15" s="50" customFormat="1" x14ac:dyDescent="0.25">
      <c r="A20" s="34" t="s">
        <v>7</v>
      </c>
      <c r="B20" s="46">
        <f>25*52/12</f>
        <v>108.33333333333333</v>
      </c>
      <c r="C20" s="47">
        <f>I52</f>
        <v>20.307754793091672</v>
      </c>
      <c r="D20" s="48">
        <v>2200</v>
      </c>
      <c r="E20" s="42"/>
      <c r="F20" s="49"/>
      <c r="H20" s="51" t="s">
        <v>106</v>
      </c>
      <c r="I20" s="52">
        <v>3.4500000000000003E-2</v>
      </c>
      <c r="J20" s="29"/>
      <c r="K20" s="29"/>
      <c r="L20" s="29"/>
      <c r="M20" s="29"/>
      <c r="N20" s="29"/>
      <c r="O20" s="29"/>
    </row>
    <row r="21" spans="1:15" s="50" customFormat="1" x14ac:dyDescent="0.25">
      <c r="A21" s="34" t="s">
        <v>107</v>
      </c>
      <c r="B21" s="46"/>
      <c r="C21" s="47"/>
      <c r="D21" s="53">
        <f>I31</f>
        <v>0</v>
      </c>
      <c r="E21" s="42"/>
      <c r="F21" s="49"/>
      <c r="H21" s="54" t="s">
        <v>108</v>
      </c>
      <c r="I21" s="55">
        <v>2.7E-2</v>
      </c>
      <c r="J21" s="29"/>
      <c r="K21" s="29"/>
      <c r="L21" s="29"/>
      <c r="M21" s="29"/>
      <c r="N21" s="29"/>
      <c r="O21" s="29"/>
    </row>
    <row r="22" spans="1:15" s="50" customFormat="1" x14ac:dyDescent="0.25">
      <c r="A22" s="34" t="s">
        <v>23</v>
      </c>
      <c r="B22" s="56">
        <f>-I48</f>
        <v>-33.33</v>
      </c>
      <c r="C22" s="57">
        <f>D20/105</f>
        <v>20.952380952380953</v>
      </c>
      <c r="D22" s="48">
        <f>C22*B22</f>
        <v>-698.34285714285716</v>
      </c>
      <c r="E22" s="42"/>
      <c r="F22" s="49"/>
      <c r="H22" s="34" t="s">
        <v>109</v>
      </c>
      <c r="I22" s="58">
        <f>D41</f>
        <v>1714.8885681846054</v>
      </c>
      <c r="J22" s="29"/>
      <c r="K22" s="29"/>
      <c r="L22" s="29"/>
      <c r="M22" s="29"/>
      <c r="N22" s="29"/>
      <c r="O22" s="29"/>
    </row>
    <row r="23" spans="1:15" s="50" customFormat="1" x14ac:dyDescent="0.25">
      <c r="A23" s="34"/>
      <c r="B23" s="46"/>
      <c r="C23" s="47"/>
      <c r="D23" s="31"/>
      <c r="E23" s="42"/>
      <c r="F23" s="49"/>
      <c r="H23" s="34" t="s">
        <v>110</v>
      </c>
      <c r="I23" s="58">
        <f>D41-I22</f>
        <v>0</v>
      </c>
      <c r="J23" s="29"/>
      <c r="K23" s="29"/>
      <c r="L23" s="29"/>
      <c r="M23" s="29"/>
      <c r="N23" s="29"/>
      <c r="O23" s="29"/>
    </row>
    <row r="24" spans="1:15" x14ac:dyDescent="0.25">
      <c r="A24" s="34" t="s">
        <v>336</v>
      </c>
      <c r="B24" s="59">
        <f>+K43</f>
        <v>5</v>
      </c>
      <c r="C24" s="60">
        <f>C20*1.1</f>
        <v>22.338530272400842</v>
      </c>
      <c r="D24" s="61">
        <f>C24*B24</f>
        <v>111.69265136200421</v>
      </c>
      <c r="E24" s="42"/>
      <c r="F24" s="62"/>
      <c r="H24" s="34" t="s">
        <v>112</v>
      </c>
      <c r="I24" s="58"/>
    </row>
    <row r="25" spans="1:15" x14ac:dyDescent="0.25">
      <c r="A25" s="34" t="s">
        <v>337</v>
      </c>
      <c r="B25" s="59">
        <f>+L43</f>
        <v>4</v>
      </c>
      <c r="C25" s="61">
        <f>C20*1.25</f>
        <v>25.38469349136459</v>
      </c>
      <c r="D25" s="61">
        <f>C25*B25</f>
        <v>101.53877396545836</v>
      </c>
      <c r="E25" s="42"/>
      <c r="F25" s="43"/>
      <c r="H25" s="34" t="s">
        <v>113</v>
      </c>
      <c r="I25" s="58"/>
    </row>
    <row r="26" spans="1:15" x14ac:dyDescent="0.25">
      <c r="A26" s="34"/>
      <c r="B26" s="31"/>
      <c r="C26" s="31"/>
      <c r="D26" s="31"/>
      <c r="E26" s="42"/>
      <c r="F26" s="43"/>
      <c r="H26" s="34" t="s">
        <v>114</v>
      </c>
      <c r="I26" s="58"/>
    </row>
    <row r="27" spans="1:15" x14ac:dyDescent="0.25">
      <c r="A27" s="34" t="s">
        <v>115</v>
      </c>
      <c r="B27" s="59"/>
      <c r="C27" s="63"/>
      <c r="D27" s="64"/>
      <c r="E27" s="42"/>
      <c r="F27" s="43"/>
      <c r="H27" s="34" t="s">
        <v>116</v>
      </c>
      <c r="I27" s="58"/>
    </row>
    <row r="28" spans="1:15" x14ac:dyDescent="0.25">
      <c r="A28" s="34"/>
      <c r="B28" s="31"/>
      <c r="C28" s="31"/>
      <c r="D28" s="31"/>
      <c r="E28" s="42"/>
      <c r="F28" s="43"/>
      <c r="H28" s="34" t="s">
        <v>117</v>
      </c>
      <c r="I28" s="65"/>
    </row>
    <row r="29" spans="1:15" x14ac:dyDescent="0.25">
      <c r="A29" s="34"/>
      <c r="B29" s="66"/>
      <c r="C29" s="67"/>
      <c r="D29" s="68"/>
      <c r="E29" s="69"/>
      <c r="F29" s="70"/>
      <c r="H29" s="34" t="s">
        <v>40</v>
      </c>
      <c r="I29" s="58">
        <v>20</v>
      </c>
    </row>
    <row r="30" spans="1:15" x14ac:dyDescent="0.25">
      <c r="A30" s="34" t="s">
        <v>118</v>
      </c>
      <c r="B30" s="71"/>
      <c r="C30" s="72"/>
      <c r="D30" s="72"/>
      <c r="E30" s="69"/>
      <c r="F30" s="70"/>
      <c r="H30" s="34" t="s">
        <v>41</v>
      </c>
      <c r="I30" s="58">
        <v>24</v>
      </c>
    </row>
    <row r="31" spans="1:15" x14ac:dyDescent="0.25">
      <c r="A31" s="34" t="s">
        <v>119</v>
      </c>
      <c r="B31" s="71"/>
      <c r="C31" s="72"/>
      <c r="D31" s="72"/>
      <c r="E31" s="69"/>
      <c r="F31" s="70"/>
      <c r="H31" s="34" t="s">
        <v>107</v>
      </c>
      <c r="I31" s="58"/>
    </row>
    <row r="32" spans="1:15" x14ac:dyDescent="0.25">
      <c r="A32" s="34"/>
      <c r="B32" s="71"/>
      <c r="C32" s="31"/>
      <c r="D32" s="31"/>
      <c r="E32" s="69"/>
      <c r="F32" s="70"/>
      <c r="H32" s="34" t="s">
        <v>120</v>
      </c>
      <c r="I32" s="32"/>
    </row>
    <row r="33" spans="1:12" x14ac:dyDescent="0.25">
      <c r="A33" s="34" t="s">
        <v>121</v>
      </c>
      <c r="B33" s="76"/>
      <c r="C33" s="75"/>
      <c r="D33" s="75">
        <f>-C33*B33</f>
        <v>0</v>
      </c>
      <c r="E33" s="69"/>
      <c r="F33" s="70"/>
      <c r="H33" s="34" t="s">
        <v>122</v>
      </c>
      <c r="I33" s="58"/>
    </row>
    <row r="34" spans="1:12" x14ac:dyDescent="0.25">
      <c r="A34" s="34" t="s">
        <v>123</v>
      </c>
      <c r="B34" s="76"/>
      <c r="C34" s="209"/>
      <c r="D34" s="75">
        <f>-C34*B34</f>
        <v>0</v>
      </c>
      <c r="E34" s="69"/>
      <c r="F34" s="70"/>
      <c r="H34" s="34"/>
      <c r="I34" s="32"/>
    </row>
    <row r="35" spans="1:12" ht="17.25" thickBot="1" x14ac:dyDescent="0.3">
      <c r="A35" s="34" t="s">
        <v>124</v>
      </c>
      <c r="B35" s="76"/>
      <c r="C35" s="75"/>
      <c r="E35" s="77"/>
      <c r="F35" s="49"/>
      <c r="G35" s="295"/>
      <c r="H35" s="78" t="s">
        <v>43</v>
      </c>
      <c r="I35" s="79">
        <v>0.13</v>
      </c>
    </row>
    <row r="36" spans="1:12" x14ac:dyDescent="0.25">
      <c r="A36" s="80"/>
      <c r="B36" s="81"/>
      <c r="C36" s="81"/>
      <c r="D36" s="83"/>
      <c r="E36" s="77"/>
      <c r="F36" s="49"/>
    </row>
    <row r="37" spans="1:12" x14ac:dyDescent="0.25">
      <c r="A37" s="34" t="s">
        <v>11</v>
      </c>
      <c r="B37" s="81"/>
      <c r="C37" s="81"/>
      <c r="E37" s="77"/>
      <c r="F37" s="49"/>
    </row>
    <row r="38" spans="1:12" ht="17.25" thickBot="1" x14ac:dyDescent="0.3">
      <c r="A38" s="80" t="s">
        <v>175</v>
      </c>
      <c r="B38" s="81"/>
      <c r="C38" s="82"/>
      <c r="D38" s="61"/>
      <c r="E38" s="77"/>
      <c r="F38" s="49"/>
    </row>
    <row r="39" spans="1:12" x14ac:dyDescent="0.25">
      <c r="A39" s="34" t="s">
        <v>125</v>
      </c>
      <c r="B39" s="66"/>
      <c r="C39" s="67"/>
      <c r="D39" s="72"/>
      <c r="E39" s="77"/>
      <c r="F39" s="49"/>
      <c r="H39" s="380" t="s">
        <v>340</v>
      </c>
      <c r="I39" s="366"/>
      <c r="J39" s="366"/>
      <c r="K39" s="366"/>
      <c r="L39" s="371"/>
    </row>
    <row r="40" spans="1:12" x14ac:dyDescent="0.25">
      <c r="A40" s="34" t="s">
        <v>46</v>
      </c>
      <c r="B40" s="66"/>
      <c r="C40" s="67"/>
      <c r="D40" s="72"/>
      <c r="E40" s="77"/>
      <c r="F40" s="49"/>
      <c r="H40" s="34"/>
      <c r="I40" s="41" t="s">
        <v>345</v>
      </c>
      <c r="J40" s="41" t="s">
        <v>342</v>
      </c>
      <c r="K40" s="41" t="s">
        <v>343</v>
      </c>
      <c r="L40" s="393" t="s">
        <v>344</v>
      </c>
    </row>
    <row r="41" spans="1:12" x14ac:dyDescent="0.25">
      <c r="A41" s="84" t="s">
        <v>25</v>
      </c>
      <c r="B41" s="31"/>
      <c r="C41" s="31"/>
      <c r="D41" s="48">
        <f>SUM(D20:D40)</f>
        <v>1714.8885681846054</v>
      </c>
      <c r="E41" s="77"/>
      <c r="F41" s="49"/>
      <c r="H41" s="34" t="s">
        <v>341</v>
      </c>
      <c r="I41" s="66">
        <v>28</v>
      </c>
      <c r="J41" s="66">
        <f>+I41-25</f>
        <v>3</v>
      </c>
      <c r="K41" s="66">
        <v>2.5</v>
      </c>
      <c r="L41" s="394">
        <f>+J41-K41</f>
        <v>0.5</v>
      </c>
    </row>
    <row r="42" spans="1:12" x14ac:dyDescent="0.25">
      <c r="A42" s="34"/>
      <c r="B42" s="85"/>
      <c r="C42" s="86"/>
      <c r="D42" s="86"/>
      <c r="E42" s="77"/>
      <c r="F42" s="49"/>
      <c r="H42" s="34" t="s">
        <v>341</v>
      </c>
      <c r="I42" s="66">
        <v>31</v>
      </c>
      <c r="J42" s="66">
        <f>+I42-25</f>
        <v>6</v>
      </c>
      <c r="K42" s="66">
        <v>2.5</v>
      </c>
      <c r="L42" s="394">
        <f>+J42-K42</f>
        <v>3.5</v>
      </c>
    </row>
    <row r="43" spans="1:12" ht="33.75" thickBot="1" x14ac:dyDescent="0.3">
      <c r="A43" s="87" t="s">
        <v>126</v>
      </c>
      <c r="B43" s="88" t="s">
        <v>35</v>
      </c>
      <c r="C43" s="88" t="s">
        <v>15</v>
      </c>
      <c r="D43" s="88" t="s">
        <v>36</v>
      </c>
      <c r="E43" s="88" t="s">
        <v>15</v>
      </c>
      <c r="F43" s="89" t="s">
        <v>37</v>
      </c>
      <c r="H43" s="78" t="s">
        <v>346</v>
      </c>
      <c r="I43" s="395"/>
      <c r="J43" s="396">
        <f>SUM(J41:J42)</f>
        <v>9</v>
      </c>
      <c r="K43" s="396">
        <f>SUM(K41:K42)</f>
        <v>5</v>
      </c>
      <c r="L43" s="397">
        <f>SUM(L41:L42)</f>
        <v>4</v>
      </c>
    </row>
    <row r="44" spans="1:12" ht="17.25" thickBot="1" x14ac:dyDescent="0.3">
      <c r="A44" s="90" t="s">
        <v>26</v>
      </c>
      <c r="B44" s="91"/>
      <c r="C44" s="92"/>
      <c r="D44" s="92"/>
      <c r="E44" s="92"/>
      <c r="F44" s="93"/>
    </row>
    <row r="45" spans="1:12" ht="21.75" customHeight="1" x14ac:dyDescent="0.25">
      <c r="A45" s="94" t="s">
        <v>127</v>
      </c>
      <c r="B45" s="257">
        <f>$D$41</f>
        <v>1714.8885681846054</v>
      </c>
      <c r="C45" s="258"/>
      <c r="D45" s="259"/>
      <c r="E45" s="260">
        <v>7.0000000000000007E-2</v>
      </c>
      <c r="F45" s="261">
        <f>+E45*B45</f>
        <v>120.04219977292239</v>
      </c>
      <c r="H45" s="380" t="s">
        <v>374</v>
      </c>
      <c r="I45" s="371"/>
    </row>
    <row r="46" spans="1:12" x14ac:dyDescent="0.25">
      <c r="A46" s="99" t="s">
        <v>128</v>
      </c>
      <c r="B46" s="81"/>
      <c r="C46" s="262"/>
      <c r="D46" s="263"/>
      <c r="E46" s="264">
        <v>1.4999999999999999E-2</v>
      </c>
      <c r="F46" s="261">
        <f>+E46*B46</f>
        <v>0</v>
      </c>
      <c r="H46" s="34" t="s">
        <v>373</v>
      </c>
      <c r="I46" s="444">
        <f>25*52/12</f>
        <v>108.33333333333333</v>
      </c>
    </row>
    <row r="47" spans="1:12" x14ac:dyDescent="0.25">
      <c r="A47" s="99" t="s">
        <v>129</v>
      </c>
      <c r="B47" s="81">
        <f>$I$23</f>
        <v>0</v>
      </c>
      <c r="C47" s="262"/>
      <c r="D47" s="263"/>
      <c r="E47" s="265"/>
      <c r="F47" s="266"/>
      <c r="H47" s="34" t="s">
        <v>371</v>
      </c>
      <c r="I47" s="444">
        <f>3*25</f>
        <v>75</v>
      </c>
    </row>
    <row r="48" spans="1:12" x14ac:dyDescent="0.25">
      <c r="A48" s="99" t="s">
        <v>27</v>
      </c>
      <c r="B48" s="81">
        <f>D41</f>
        <v>1714.8885681846054</v>
      </c>
      <c r="C48" s="262">
        <v>0.01</v>
      </c>
      <c r="D48" s="263">
        <f>C48*B48</f>
        <v>17.148885681846053</v>
      </c>
      <c r="E48" s="398">
        <v>0.01</v>
      </c>
      <c r="F48" s="104">
        <f>E48*B48</f>
        <v>17.148885681846053</v>
      </c>
      <c r="H48" s="34" t="s">
        <v>372</v>
      </c>
      <c r="I48" s="443">
        <f>108.33-75</f>
        <v>33.33</v>
      </c>
    </row>
    <row r="49" spans="1:9" ht="17.25" thickBot="1" x14ac:dyDescent="0.3">
      <c r="A49" s="84" t="s">
        <v>28</v>
      </c>
      <c r="B49" s="81">
        <f>$D$41</f>
        <v>1714.8885681846054</v>
      </c>
      <c r="C49" s="265"/>
      <c r="D49" s="81"/>
      <c r="E49" s="267">
        <f>I21</f>
        <v>2.7E-2</v>
      </c>
      <c r="F49" s="104">
        <f>+E49*B49</f>
        <v>46.301991340984344</v>
      </c>
      <c r="H49" s="78" t="s">
        <v>375</v>
      </c>
      <c r="I49" s="445">
        <v>105</v>
      </c>
    </row>
    <row r="50" spans="1:9" ht="17.25" thickBot="1" x14ac:dyDescent="0.3">
      <c r="A50" s="90" t="s">
        <v>29</v>
      </c>
      <c r="B50" s="91"/>
      <c r="C50" s="268"/>
      <c r="D50" s="268"/>
      <c r="E50" s="268"/>
      <c r="F50" s="269"/>
    </row>
    <row r="51" spans="1:9" x14ac:dyDescent="0.25">
      <c r="A51" s="99" t="s">
        <v>48</v>
      </c>
      <c r="B51" s="81">
        <f>$I$22</f>
        <v>1714.8885681846054</v>
      </c>
      <c r="C51" s="262">
        <v>6.9000000000000006E-2</v>
      </c>
      <c r="D51" s="263">
        <f>C51*B51</f>
        <v>118.32731120473778</v>
      </c>
      <c r="E51" s="267">
        <v>8.5500000000000007E-2</v>
      </c>
      <c r="F51" s="104">
        <f>E51*B51</f>
        <v>146.62297257978378</v>
      </c>
      <c r="H51" s="380" t="s">
        <v>376</v>
      </c>
      <c r="I51" s="371"/>
    </row>
    <row r="52" spans="1:9" x14ac:dyDescent="0.25">
      <c r="A52" s="99" t="s">
        <v>50</v>
      </c>
      <c r="B52" s="257">
        <f>$D$41</f>
        <v>1714.8885681846054</v>
      </c>
      <c r="C52" s="262">
        <v>4.0000000000000001E-3</v>
      </c>
      <c r="D52" s="263">
        <f t="shared" ref="D52:D55" si="0">C52*B52</f>
        <v>6.8595542727384222</v>
      </c>
      <c r="E52" s="267">
        <v>1.9E-2</v>
      </c>
      <c r="F52" s="104">
        <f t="shared" ref="F52:F54" si="1">E52*B52</f>
        <v>32.582882795507501</v>
      </c>
      <c r="H52" s="34" t="s">
        <v>377</v>
      </c>
      <c r="I52" s="162">
        <f xml:space="preserve"> 2200/108.333</f>
        <v>20.307754793091672</v>
      </c>
    </row>
    <row r="53" spans="1:9" ht="17.25" thickBot="1" x14ac:dyDescent="0.3">
      <c r="A53" s="99" t="s">
        <v>51</v>
      </c>
      <c r="B53" s="81">
        <f>$I$22</f>
        <v>1714.8885681846054</v>
      </c>
      <c r="C53" s="262">
        <v>4.0099999999999997E-2</v>
      </c>
      <c r="D53" s="263">
        <f t="shared" si="0"/>
        <v>68.76703158420267</v>
      </c>
      <c r="E53" s="267">
        <v>6.0100000000000001E-2</v>
      </c>
      <c r="F53" s="104">
        <f t="shared" si="1"/>
        <v>103.06480294789479</v>
      </c>
      <c r="H53" s="78" t="s">
        <v>378</v>
      </c>
      <c r="I53" s="369">
        <f>2200 /I49</f>
        <v>20.952380952380953</v>
      </c>
    </row>
    <row r="54" spans="1:9" ht="17.25" thickBot="1" x14ac:dyDescent="0.3">
      <c r="A54" s="99" t="s">
        <v>130</v>
      </c>
      <c r="B54" s="81">
        <f>$I$23</f>
        <v>0</v>
      </c>
      <c r="C54" s="262">
        <v>9.7199999999999995E-2</v>
      </c>
      <c r="D54" s="263">
        <f t="shared" si="0"/>
        <v>0</v>
      </c>
      <c r="E54" s="267">
        <v>0.1457</v>
      </c>
      <c r="F54" s="104">
        <f t="shared" si="1"/>
        <v>0</v>
      </c>
    </row>
    <row r="55" spans="1:9" x14ac:dyDescent="0.25">
      <c r="A55" s="99" t="s">
        <v>131</v>
      </c>
      <c r="B55" s="81">
        <f>I24</f>
        <v>0</v>
      </c>
      <c r="C55" s="262">
        <v>1.4E-3</v>
      </c>
      <c r="D55" s="263">
        <f t="shared" si="0"/>
        <v>0</v>
      </c>
      <c r="E55" s="267">
        <v>2.0999999999999999E-3</v>
      </c>
      <c r="F55" s="104">
        <f>E55*B55</f>
        <v>0</v>
      </c>
      <c r="H55" s="380" t="s">
        <v>379</v>
      </c>
      <c r="I55" s="371"/>
    </row>
    <row r="56" spans="1:9" x14ac:dyDescent="0.25">
      <c r="A56" s="99" t="s">
        <v>132</v>
      </c>
      <c r="B56" s="81"/>
      <c r="C56" s="262"/>
      <c r="D56" s="263"/>
      <c r="E56" s="265"/>
      <c r="F56" s="104">
        <f>E56*B56</f>
        <v>0</v>
      </c>
      <c r="H56" s="34" t="s">
        <v>380</v>
      </c>
      <c r="I56" s="162">
        <f>D20+D22</f>
        <v>1501.6571428571428</v>
      </c>
    </row>
    <row r="57" spans="1:9" x14ac:dyDescent="0.25">
      <c r="A57" s="106" t="s">
        <v>133</v>
      </c>
      <c r="B57" s="257">
        <f>$D$41</f>
        <v>1714.8885681846054</v>
      </c>
      <c r="C57" s="270"/>
      <c r="D57" s="81"/>
      <c r="E57" s="108">
        <f>+I20</f>
        <v>3.4500000000000003E-2</v>
      </c>
      <c r="F57" s="104">
        <f>E57*B57</f>
        <v>59.163655602368891</v>
      </c>
      <c r="H57" s="34" t="s">
        <v>381</v>
      </c>
      <c r="I57" s="162">
        <f>I56*0.9825</f>
        <v>1475.3781428571428</v>
      </c>
    </row>
    <row r="58" spans="1:9" x14ac:dyDescent="0.25">
      <c r="A58" s="90" t="s">
        <v>49</v>
      </c>
      <c r="B58" s="271"/>
      <c r="C58" s="271"/>
      <c r="D58" s="271"/>
      <c r="E58" s="271"/>
      <c r="F58" s="272"/>
      <c r="H58" s="34" t="s">
        <v>347</v>
      </c>
      <c r="I58" s="162">
        <f>F48</f>
        <v>17.148885681846053</v>
      </c>
    </row>
    <row r="59" spans="1:9" ht="17.25" thickBot="1" x14ac:dyDescent="0.3">
      <c r="A59" s="99" t="s">
        <v>134</v>
      </c>
      <c r="B59" s="257">
        <f>$D$41</f>
        <v>1714.8885681846054</v>
      </c>
      <c r="C59" s="270"/>
      <c r="D59" s="81"/>
      <c r="E59" s="108">
        <v>4.2000000000000003E-2</v>
      </c>
      <c r="F59" s="104">
        <f t="shared" ref="F59:F60" si="2">E59*B59</f>
        <v>72.025319863753438</v>
      </c>
      <c r="H59" s="78" t="s">
        <v>382</v>
      </c>
      <c r="I59" s="399">
        <f>I57+I58</f>
        <v>1492.5270285389888</v>
      </c>
    </row>
    <row r="60" spans="1:9" x14ac:dyDescent="0.25">
      <c r="A60" s="99" t="s">
        <v>135</v>
      </c>
      <c r="B60" s="81">
        <f>I25</f>
        <v>0</v>
      </c>
      <c r="C60" s="273">
        <v>2.4000000000000001E-4</v>
      </c>
      <c r="D60" s="81">
        <f>+C60*B60</f>
        <v>0</v>
      </c>
      <c r="E60" s="108">
        <v>3.6000000000000002E-4</v>
      </c>
      <c r="F60" s="104">
        <f t="shared" si="2"/>
        <v>0</v>
      </c>
    </row>
    <row r="61" spans="1:9" x14ac:dyDescent="0.25">
      <c r="A61" s="90" t="s">
        <v>47</v>
      </c>
      <c r="B61" s="81"/>
      <c r="C61" s="107"/>
      <c r="D61" s="81"/>
      <c r="E61" s="108"/>
      <c r="F61" s="112">
        <f>D104</f>
        <v>28.227065832318608</v>
      </c>
    </row>
    <row r="62" spans="1:9" x14ac:dyDescent="0.25">
      <c r="A62" s="84"/>
      <c r="B62" s="81"/>
      <c r="C62" s="81"/>
      <c r="D62" s="81"/>
      <c r="E62" s="31"/>
      <c r="F62" s="32"/>
    </row>
    <row r="63" spans="1:9" x14ac:dyDescent="0.25">
      <c r="A63" s="113" t="s">
        <v>136</v>
      </c>
      <c r="B63" s="81"/>
      <c r="C63" s="81"/>
      <c r="D63" s="81"/>
      <c r="E63" s="31"/>
      <c r="F63" s="32"/>
    </row>
    <row r="64" spans="1:9" x14ac:dyDescent="0.25">
      <c r="A64" s="84"/>
      <c r="B64" s="81"/>
      <c r="C64" s="111"/>
      <c r="D64" s="81"/>
      <c r="E64" s="81"/>
      <c r="F64" s="112"/>
    </row>
    <row r="65" spans="1:6" x14ac:dyDescent="0.25">
      <c r="A65" s="84" t="s">
        <v>137</v>
      </c>
      <c r="B65" s="81">
        <f>+I59</f>
        <v>1492.5270285389888</v>
      </c>
      <c r="C65" s="100">
        <v>6.8000000000000005E-2</v>
      </c>
      <c r="D65" s="101">
        <f>C65*B65</f>
        <v>101.49183794065125</v>
      </c>
      <c r="E65" s="81"/>
      <c r="F65" s="112"/>
    </row>
    <row r="66" spans="1:6" x14ac:dyDescent="0.25">
      <c r="A66" s="84" t="s">
        <v>138</v>
      </c>
      <c r="B66" s="81">
        <f>B65</f>
        <v>1492.5270285389888</v>
      </c>
      <c r="C66" s="100">
        <v>2.9000000000000001E-2</v>
      </c>
      <c r="D66" s="101">
        <f>C66*B66</f>
        <v>43.283283827630676</v>
      </c>
      <c r="E66" s="114"/>
      <c r="F66" s="104"/>
    </row>
    <row r="67" spans="1:6" x14ac:dyDescent="0.25">
      <c r="A67" s="115" t="s">
        <v>139</v>
      </c>
      <c r="B67" s="81">
        <f>(D24+D25)*0.9825</f>
        <v>209.49987538423198</v>
      </c>
      <c r="C67" s="100">
        <v>9.7000000000000003E-2</v>
      </c>
      <c r="D67" s="101">
        <f>C67*B67</f>
        <v>20.321487912270502</v>
      </c>
      <c r="E67" s="105"/>
      <c r="F67" s="104"/>
    </row>
    <row r="68" spans="1:6" x14ac:dyDescent="0.25">
      <c r="A68" s="115" t="s">
        <v>140</v>
      </c>
      <c r="B68" s="81">
        <f>D24+D25</f>
        <v>213.23142532746257</v>
      </c>
      <c r="C68" s="100">
        <v>-0.11310000000000001</v>
      </c>
      <c r="D68" s="101">
        <f>C68*B68</f>
        <v>-24.116474204536019</v>
      </c>
      <c r="E68" s="105"/>
      <c r="F68" s="104"/>
    </row>
    <row r="69" spans="1:6" x14ac:dyDescent="0.25">
      <c r="A69" s="115" t="s">
        <v>141</v>
      </c>
      <c r="B69" s="81"/>
      <c r="C69" s="100"/>
      <c r="D69" s="101"/>
      <c r="E69" s="105"/>
      <c r="F69" s="104"/>
    </row>
    <row r="70" spans="1:6" x14ac:dyDescent="0.25">
      <c r="A70" s="84" t="s">
        <v>142</v>
      </c>
      <c r="B70" s="116"/>
      <c r="C70" s="31"/>
      <c r="D70" s="101"/>
      <c r="E70" s="101">
        <v>-1.5</v>
      </c>
      <c r="F70" s="112">
        <f>E70*B70</f>
        <v>0</v>
      </c>
    </row>
    <row r="71" spans="1:6" x14ac:dyDescent="0.25">
      <c r="A71" s="84" t="s">
        <v>30</v>
      </c>
      <c r="B71" s="101"/>
      <c r="C71" s="117"/>
      <c r="D71" s="118">
        <f>SUM(D45:D70)</f>
        <v>352.08291821954134</v>
      </c>
      <c r="E71" s="105"/>
      <c r="F71" s="119">
        <f>SUM(F45:F70)</f>
        <v>625.1797764173798</v>
      </c>
    </row>
    <row r="72" spans="1:6" x14ac:dyDescent="0.25">
      <c r="A72" s="84"/>
      <c r="B72" s="101"/>
      <c r="C72" s="117"/>
      <c r="D72" s="118"/>
      <c r="E72" s="31"/>
      <c r="F72" s="32"/>
    </row>
    <row r="73" spans="1:6" x14ac:dyDescent="0.25">
      <c r="A73" s="99" t="s">
        <v>143</v>
      </c>
      <c r="B73" s="101"/>
      <c r="C73" s="117"/>
      <c r="D73" s="120"/>
      <c r="E73" s="118"/>
      <c r="F73" s="119"/>
    </row>
    <row r="74" spans="1:6" x14ac:dyDescent="0.25">
      <c r="A74" s="99" t="s">
        <v>107</v>
      </c>
      <c r="B74" s="101"/>
      <c r="C74" s="117"/>
      <c r="D74" s="120"/>
      <c r="E74" s="118"/>
      <c r="F74" s="119"/>
    </row>
    <row r="75" spans="1:6" x14ac:dyDescent="0.25">
      <c r="A75" s="99" t="s">
        <v>144</v>
      </c>
      <c r="B75" s="101"/>
      <c r="C75" s="117"/>
      <c r="D75" s="120"/>
      <c r="E75" s="118"/>
      <c r="F75" s="119"/>
    </row>
    <row r="76" spans="1:6" x14ac:dyDescent="0.25">
      <c r="A76" s="99" t="s">
        <v>145</v>
      </c>
      <c r="B76" s="101"/>
      <c r="C76" s="117"/>
      <c r="D76" s="120"/>
      <c r="E76" s="118"/>
      <c r="F76" s="119"/>
    </row>
    <row r="77" spans="1:6" x14ac:dyDescent="0.25">
      <c r="A77" s="99" t="s">
        <v>300</v>
      </c>
      <c r="B77" s="101"/>
      <c r="C77" s="117"/>
      <c r="D77" s="120"/>
      <c r="E77" s="118"/>
      <c r="F77" s="119"/>
    </row>
    <row r="78" spans="1:6" x14ac:dyDescent="0.25">
      <c r="A78" s="99"/>
      <c r="B78" s="101"/>
      <c r="C78" s="117"/>
      <c r="D78" s="120"/>
      <c r="E78" s="118"/>
      <c r="F78" s="119"/>
    </row>
    <row r="79" spans="1:6" ht="15.75" customHeight="1" x14ac:dyDescent="0.25">
      <c r="A79" s="84"/>
      <c r="B79" s="101"/>
      <c r="C79" s="117"/>
      <c r="D79" s="118"/>
      <c r="E79" s="118"/>
      <c r="F79" s="119"/>
    </row>
    <row r="80" spans="1:6" x14ac:dyDescent="0.25">
      <c r="A80" s="121" t="s">
        <v>31</v>
      </c>
      <c r="B80" s="101"/>
      <c r="C80" s="117"/>
      <c r="D80" s="118"/>
      <c r="E80" s="118"/>
      <c r="F80" s="122">
        <f>D41-D71+D73+D74+D75+D76+D77+D78+D79</f>
        <v>1362.805649965064</v>
      </c>
    </row>
    <row r="81" spans="1:9" ht="33" x14ac:dyDescent="0.25">
      <c r="A81" s="84" t="s">
        <v>32</v>
      </c>
      <c r="B81" s="123"/>
      <c r="C81" s="124"/>
      <c r="D81" s="120"/>
      <c r="E81" s="120"/>
      <c r="F81" s="125">
        <f>D111</f>
        <v>25.08453253112032</v>
      </c>
    </row>
    <row r="82" spans="1:9" x14ac:dyDescent="0.25">
      <c r="A82" s="278" t="s">
        <v>33</v>
      </c>
      <c r="B82" s="278" t="s">
        <v>34</v>
      </c>
      <c r="C82" s="278" t="s">
        <v>15</v>
      </c>
      <c r="D82" s="279" t="s">
        <v>146</v>
      </c>
      <c r="E82" s="279"/>
      <c r="F82" s="280" t="s">
        <v>244</v>
      </c>
    </row>
    <row r="83" spans="1:9" x14ac:dyDescent="0.25">
      <c r="A83" s="281" t="s">
        <v>238</v>
      </c>
      <c r="B83" s="282"/>
      <c r="C83" s="283"/>
      <c r="D83" s="284">
        <f>+D41+F48+D66-D71+D67</f>
        <v>1443.559307386811</v>
      </c>
      <c r="E83" s="285"/>
      <c r="F83" s="286"/>
    </row>
    <row r="84" spans="1:9" x14ac:dyDescent="0.25">
      <c r="A84" s="281" t="s">
        <v>239</v>
      </c>
      <c r="B84" s="284">
        <f>D83</f>
        <v>1443.559307386811</v>
      </c>
      <c r="C84" s="287">
        <v>7.0000000000000007E-2</v>
      </c>
      <c r="D84" s="284">
        <f>B84*C84</f>
        <v>101.04915151707678</v>
      </c>
      <c r="E84" s="285"/>
      <c r="F84" s="286"/>
    </row>
    <row r="85" spans="1:9" x14ac:dyDescent="0.25">
      <c r="A85" s="281" t="s">
        <v>240</v>
      </c>
      <c r="B85" s="282"/>
      <c r="C85" s="284"/>
      <c r="D85" s="283"/>
      <c r="E85" s="285"/>
      <c r="F85" s="286"/>
    </row>
    <row r="86" spans="1:9" x14ac:dyDescent="0.25">
      <c r="A86" s="281"/>
      <c r="B86" s="282"/>
      <c r="C86" s="283"/>
      <c r="D86" s="283"/>
      <c r="E86" s="285"/>
      <c r="F86" s="288"/>
    </row>
    <row r="87" spans="1:9" x14ac:dyDescent="0.25">
      <c r="A87" s="289" t="s">
        <v>241</v>
      </c>
      <c r="B87" s="283"/>
      <c r="C87" s="283"/>
      <c r="D87" s="284">
        <f>+F80-D84</f>
        <v>1261.7564984479873</v>
      </c>
      <c r="E87" s="285"/>
      <c r="F87" s="286"/>
    </row>
    <row r="88" spans="1:9" x14ac:dyDescent="0.25">
      <c r="A88" s="281" t="s">
        <v>242</v>
      </c>
      <c r="B88" s="283"/>
      <c r="C88" s="283"/>
      <c r="D88" s="284">
        <f>+D119</f>
        <v>133.76130831839922</v>
      </c>
      <c r="E88" s="285"/>
      <c r="F88" s="286"/>
    </row>
    <row r="89" spans="1:9" x14ac:dyDescent="0.25">
      <c r="A89" s="281" t="s">
        <v>243</v>
      </c>
      <c r="B89" s="290"/>
      <c r="C89" s="283"/>
      <c r="D89" s="284">
        <f>+F71+D41</f>
        <v>2340.0683446019852</v>
      </c>
      <c r="E89" s="285"/>
      <c r="F89" s="286"/>
    </row>
    <row r="90" spans="1:9" ht="17.25" thickBot="1" x14ac:dyDescent="0.3">
      <c r="A90" s="291" t="s">
        <v>149</v>
      </c>
      <c r="B90" s="292"/>
      <c r="C90" s="292"/>
      <c r="D90" s="292"/>
      <c r="E90" s="293"/>
      <c r="F90" s="294"/>
    </row>
    <row r="93" spans="1:9" ht="17.25" thickBot="1" x14ac:dyDescent="0.3">
      <c r="A93" s="311" t="s">
        <v>47</v>
      </c>
      <c r="B93" s="312"/>
      <c r="I93" s="133"/>
    </row>
    <row r="94" spans="1:9" x14ac:dyDescent="0.25">
      <c r="A94" s="23"/>
      <c r="B94" s="331">
        <f>+D41</f>
        <v>1714.8885681846054</v>
      </c>
      <c r="C94" s="316">
        <f>0.016%+0.3%+0.68%+0.55%</f>
        <v>1.5460000000000002E-2</v>
      </c>
      <c r="D94" s="334">
        <f>C94*B94</f>
        <v>26.512177264134003</v>
      </c>
      <c r="I94" s="133"/>
    </row>
    <row r="95" spans="1:9" x14ac:dyDescent="0.25">
      <c r="A95" s="24" t="s">
        <v>150</v>
      </c>
      <c r="B95" s="332"/>
      <c r="C95" s="317"/>
      <c r="D95" s="335"/>
      <c r="E95" s="133"/>
      <c r="F95" s="133"/>
      <c r="G95" s="133"/>
      <c r="I95" s="133"/>
    </row>
    <row r="96" spans="1:9" s="133" customFormat="1" x14ac:dyDescent="0.25">
      <c r="A96" s="24" t="s">
        <v>53</v>
      </c>
      <c r="B96" s="332"/>
      <c r="C96" s="317"/>
      <c r="D96" s="335"/>
      <c r="H96" s="29"/>
    </row>
    <row r="97" spans="1:4" s="133" customFormat="1" ht="15" x14ac:dyDescent="0.25">
      <c r="A97" s="24" t="s">
        <v>54</v>
      </c>
      <c r="B97" s="332"/>
      <c r="C97" s="317"/>
      <c r="D97" s="335"/>
    </row>
    <row r="98" spans="1:4" s="133" customFormat="1" ht="15" x14ac:dyDescent="0.25">
      <c r="A98" s="24" t="s">
        <v>55</v>
      </c>
      <c r="B98" s="332"/>
      <c r="C98" s="317"/>
      <c r="D98" s="335"/>
    </row>
    <row r="99" spans="1:4" s="133" customFormat="1" ht="15" x14ac:dyDescent="0.25">
      <c r="A99" s="24" t="s">
        <v>151</v>
      </c>
      <c r="B99" s="332"/>
      <c r="C99" s="317"/>
      <c r="D99" s="335"/>
    </row>
    <row r="100" spans="1:4" s="133" customFormat="1" ht="15.75" thickBot="1" x14ac:dyDescent="0.3">
      <c r="A100" s="25"/>
      <c r="B100" s="333"/>
      <c r="C100" s="318"/>
      <c r="D100" s="336"/>
    </row>
    <row r="101" spans="1:4" s="133" customFormat="1" ht="17.25" thickBot="1" x14ac:dyDescent="0.3">
      <c r="A101" s="29"/>
      <c r="B101" s="134"/>
      <c r="C101" s="134"/>
      <c r="D101" s="134"/>
    </row>
    <row r="102" spans="1:4" s="133" customFormat="1" ht="17.25" thickBot="1" x14ac:dyDescent="0.3">
      <c r="A102" s="135" t="s">
        <v>56</v>
      </c>
      <c r="B102" s="136">
        <f>I22</f>
        <v>1714.8885681846054</v>
      </c>
      <c r="C102" s="137">
        <v>1E-3</v>
      </c>
      <c r="D102" s="138">
        <f>C102*B102</f>
        <v>1.7148885681846056</v>
      </c>
    </row>
    <row r="103" spans="1:4" s="133" customFormat="1" ht="17.25" thickBot="1" x14ac:dyDescent="0.3">
      <c r="A103" s="29"/>
      <c r="B103" s="29"/>
      <c r="C103" s="29"/>
      <c r="D103" s="29"/>
    </row>
    <row r="104" spans="1:4" s="133" customFormat="1" ht="17.25" thickBot="1" x14ac:dyDescent="0.3">
      <c r="A104" s="139" t="s">
        <v>57</v>
      </c>
      <c r="B104" s="140"/>
      <c r="C104" s="140"/>
      <c r="D104" s="141">
        <f>D94+D102</f>
        <v>28.227065832318608</v>
      </c>
    </row>
    <row r="105" spans="1:4" s="133" customFormat="1" ht="17.25" thickBot="1" x14ac:dyDescent="0.3">
      <c r="A105" s="29"/>
      <c r="B105" s="29"/>
      <c r="C105" s="29"/>
      <c r="D105" s="29"/>
    </row>
    <row r="106" spans="1:4" s="133" customFormat="1" x14ac:dyDescent="0.25">
      <c r="A106" s="322" t="s">
        <v>58</v>
      </c>
      <c r="B106" s="323"/>
      <c r="C106" s="323"/>
      <c r="D106" s="324"/>
    </row>
    <row r="107" spans="1:4" s="133" customFormat="1" x14ac:dyDescent="0.25">
      <c r="A107" s="142" t="s">
        <v>59</v>
      </c>
      <c r="B107" s="143">
        <f>+D41</f>
        <v>1714.8885681846054</v>
      </c>
      <c r="C107" s="144">
        <v>2.4E-2</v>
      </c>
      <c r="D107" s="145">
        <f>C107*B107</f>
        <v>41.157325636430535</v>
      </c>
    </row>
    <row r="108" spans="1:4" s="133" customFormat="1" x14ac:dyDescent="0.25">
      <c r="A108" s="142" t="s">
        <v>60</v>
      </c>
      <c r="B108" s="143">
        <f>+B107</f>
        <v>1714.8885681846054</v>
      </c>
      <c r="C108" s="144">
        <v>7.4999999999999997E-3</v>
      </c>
      <c r="D108" s="145">
        <f t="shared" ref="D108:D109" si="3">C108*B108</f>
        <v>12.86166426138454</v>
      </c>
    </row>
    <row r="109" spans="1:4" s="133" customFormat="1" x14ac:dyDescent="0.25">
      <c r="A109" s="142" t="s">
        <v>61</v>
      </c>
      <c r="B109" s="143">
        <f>B66+B67</f>
        <v>1702.0269039232207</v>
      </c>
      <c r="C109" s="144">
        <v>-1.7000000000000001E-2</v>
      </c>
      <c r="D109" s="145">
        <f t="shared" si="3"/>
        <v>-28.934457366694755</v>
      </c>
    </row>
    <row r="110" spans="1:4" s="133" customFormat="1" x14ac:dyDescent="0.25">
      <c r="A110" s="146"/>
      <c r="B110" s="147"/>
      <c r="C110" s="148"/>
      <c r="D110" s="149"/>
    </row>
    <row r="111" spans="1:4" s="133" customFormat="1" ht="17.25" thickBot="1" x14ac:dyDescent="0.3">
      <c r="A111" s="150" t="s">
        <v>62</v>
      </c>
      <c r="B111" s="151"/>
      <c r="C111" s="152"/>
      <c r="D111" s="153">
        <f>SUM(D107:D110)</f>
        <v>25.08453253112032</v>
      </c>
    </row>
    <row r="112" spans="1:4" s="133" customFormat="1" ht="15" x14ac:dyDescent="0.25"/>
    <row r="113" spans="1:4" s="133" customFormat="1" ht="15.75" thickBot="1" x14ac:dyDescent="0.3"/>
    <row r="114" spans="1:4" s="133" customFormat="1" ht="17.25" thickBot="1" x14ac:dyDescent="0.3">
      <c r="A114" s="325" t="s">
        <v>68</v>
      </c>
      <c r="B114" s="326"/>
      <c r="C114" s="326"/>
      <c r="D114" s="327"/>
    </row>
    <row r="115" spans="1:4" s="133" customFormat="1" x14ac:dyDescent="0.25">
      <c r="A115" s="154" t="s">
        <v>63</v>
      </c>
      <c r="B115" s="155"/>
      <c r="C115" s="155"/>
      <c r="D115" s="156"/>
    </row>
    <row r="116" spans="1:4" s="133" customFormat="1" x14ac:dyDescent="0.25">
      <c r="A116" s="142" t="s">
        <v>64</v>
      </c>
      <c r="B116" s="157"/>
      <c r="C116" s="158">
        <v>1.5</v>
      </c>
      <c r="D116" s="159">
        <f>C116*B116</f>
        <v>0</v>
      </c>
    </row>
    <row r="117" spans="1:4" s="133" customFormat="1" x14ac:dyDescent="0.25">
      <c r="A117" s="142" t="s">
        <v>65</v>
      </c>
      <c r="B117" s="143">
        <f>+D41</f>
        <v>1714.8885681846054</v>
      </c>
      <c r="C117" s="144">
        <v>1.7999999999999999E-2</v>
      </c>
      <c r="D117" s="159">
        <f>C117*B117</f>
        <v>30.867994227322896</v>
      </c>
    </row>
    <row r="118" spans="1:4" s="133" customFormat="1" ht="15.75" customHeight="1" x14ac:dyDescent="0.25">
      <c r="A118" s="142" t="s">
        <v>66</v>
      </c>
      <c r="B118" s="143">
        <f>B117</f>
        <v>1714.8885681846054</v>
      </c>
      <c r="C118" s="144">
        <v>0.06</v>
      </c>
      <c r="D118" s="159">
        <f>C118*B118</f>
        <v>102.89331409107632</v>
      </c>
    </row>
    <row r="119" spans="1:4" s="133" customFormat="1" ht="15.75" customHeight="1" thickBot="1" x14ac:dyDescent="0.3">
      <c r="A119" s="150" t="s">
        <v>67</v>
      </c>
      <c r="B119" s="160"/>
      <c r="C119" s="160"/>
      <c r="D119" s="161">
        <f>SUM(D115:D118)</f>
        <v>133.76130831839922</v>
      </c>
    </row>
    <row r="120" spans="1:4" s="133" customFormat="1" ht="15.75" customHeight="1" x14ac:dyDescent="0.25">
      <c r="A120" s="29"/>
      <c r="B120" s="29"/>
      <c r="C120" s="29"/>
      <c r="D120" s="29"/>
    </row>
    <row r="122" spans="1:4" x14ac:dyDescent="0.25">
      <c r="D122" s="295"/>
    </row>
    <row r="123" spans="1:4" x14ac:dyDescent="0.25">
      <c r="D123" s="295"/>
    </row>
  </sheetData>
  <mergeCells count="8">
    <mergeCell ref="A106:D106"/>
    <mergeCell ref="A114:D114"/>
    <mergeCell ref="B17:C17"/>
    <mergeCell ref="E17:F17"/>
    <mergeCell ref="A93:B93"/>
    <mergeCell ref="B94:B100"/>
    <mergeCell ref="C94:C100"/>
    <mergeCell ref="D94:D10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C2C37-1C3C-4719-9CF2-A9C78F0059CA}">
  <dimension ref="A4:G36"/>
  <sheetViews>
    <sheetView topLeftCell="A4" workbookViewId="0">
      <selection activeCell="G28" sqref="G28"/>
    </sheetView>
  </sheetViews>
  <sheetFormatPr baseColWidth="10" defaultRowHeight="15" x14ac:dyDescent="0.25"/>
  <cols>
    <col min="1" max="1" width="51" style="1" bestFit="1" customWidth="1"/>
    <col min="2" max="2" width="18.5703125" style="1" bestFit="1" customWidth="1"/>
    <col min="3" max="4" width="11.42578125" style="1"/>
    <col min="5" max="5" width="13.42578125" style="1" customWidth="1"/>
    <col min="6" max="6" width="17.5703125" style="1" bestFit="1" customWidth="1"/>
    <col min="7" max="16384" width="11.42578125" style="1"/>
  </cols>
  <sheetData>
    <row r="4" spans="1:6" x14ac:dyDescent="0.25">
      <c r="D4" s="1" t="s">
        <v>234</v>
      </c>
    </row>
    <row r="15" spans="1:6" ht="23.25" x14ac:dyDescent="0.25">
      <c r="A15" s="298" t="s">
        <v>9</v>
      </c>
      <c r="B15" s="298"/>
      <c r="C15" s="298"/>
      <c r="D15" s="298"/>
      <c r="E15" s="299"/>
      <c r="F15" s="299"/>
    </row>
    <row r="16" spans="1:6" ht="24.75" customHeight="1" thickBot="1" x14ac:dyDescent="0.3"/>
    <row r="17" spans="1:7" ht="26.25" customHeight="1" x14ac:dyDescent="0.25">
      <c r="A17" s="6"/>
      <c r="B17" s="4" t="s">
        <v>232</v>
      </c>
      <c r="C17" s="4" t="s">
        <v>233</v>
      </c>
      <c r="D17" s="4" t="s">
        <v>234</v>
      </c>
      <c r="E17" s="4" t="s">
        <v>224</v>
      </c>
      <c r="F17" s="4" t="s">
        <v>235</v>
      </c>
      <c r="G17" s="5" t="s">
        <v>334</v>
      </c>
    </row>
    <row r="18" spans="1:7" ht="26.25" customHeight="1" x14ac:dyDescent="0.25">
      <c r="A18" s="7" t="s">
        <v>0</v>
      </c>
      <c r="B18" s="20">
        <v>44075</v>
      </c>
      <c r="C18" s="20">
        <v>43709</v>
      </c>
      <c r="D18" s="20">
        <v>44927</v>
      </c>
      <c r="E18" s="255">
        <v>43344</v>
      </c>
      <c r="F18" s="255">
        <v>36526</v>
      </c>
      <c r="G18" s="253">
        <v>45057</v>
      </c>
    </row>
    <row r="19" spans="1:7" ht="26.25" customHeight="1" x14ac:dyDescent="0.25">
      <c r="A19" s="7" t="s">
        <v>1</v>
      </c>
      <c r="B19" s="21" t="s">
        <v>2</v>
      </c>
      <c r="C19" s="21" t="s">
        <v>2</v>
      </c>
      <c r="D19" s="337" t="s">
        <v>246</v>
      </c>
      <c r="E19" s="21" t="s">
        <v>2</v>
      </c>
      <c r="F19" s="177"/>
      <c r="G19" s="22" t="s">
        <v>2</v>
      </c>
    </row>
    <row r="20" spans="1:7" ht="26.25" customHeight="1" x14ac:dyDescent="0.25">
      <c r="A20" s="7" t="s">
        <v>3</v>
      </c>
      <c r="B20" s="21">
        <v>35</v>
      </c>
      <c r="C20" s="21">
        <v>35</v>
      </c>
      <c r="D20" s="21">
        <v>35</v>
      </c>
      <c r="E20" s="21">
        <v>35</v>
      </c>
      <c r="F20" s="177"/>
      <c r="G20" s="22">
        <v>25</v>
      </c>
    </row>
    <row r="21" spans="1:7" x14ac:dyDescent="0.25">
      <c r="A21" s="7" t="s">
        <v>4</v>
      </c>
      <c r="B21" s="21" t="s">
        <v>5</v>
      </c>
      <c r="C21" s="21" t="s">
        <v>5</v>
      </c>
      <c r="D21" s="21" t="s">
        <v>5</v>
      </c>
      <c r="E21" s="21" t="s">
        <v>5</v>
      </c>
      <c r="F21" s="385" t="s">
        <v>252</v>
      </c>
      <c r="G21" s="22" t="s">
        <v>5</v>
      </c>
    </row>
    <row r="22" spans="1:7" ht="26.25" customHeight="1" x14ac:dyDescent="0.25">
      <c r="A22" s="7" t="s">
        <v>8</v>
      </c>
      <c r="B22" s="21"/>
      <c r="C22" s="21"/>
      <c r="D22" s="242">
        <v>44347</v>
      </c>
      <c r="E22" s="177"/>
      <c r="F22" s="177"/>
      <c r="G22" s="14"/>
    </row>
    <row r="23" spans="1:7" ht="26.25" customHeight="1" x14ac:dyDescent="0.25">
      <c r="A23" s="7" t="s">
        <v>7</v>
      </c>
      <c r="B23" s="8">
        <v>2000</v>
      </c>
      <c r="C23" s="186">
        <v>2600</v>
      </c>
      <c r="D23" s="8">
        <v>2500</v>
      </c>
      <c r="E23" s="8">
        <v>3000</v>
      </c>
      <c r="F23" s="175">
        <v>6000</v>
      </c>
      <c r="G23" s="256">
        <v>2200</v>
      </c>
    </row>
    <row r="24" spans="1:7" ht="26.25" customHeight="1" x14ac:dyDescent="0.25">
      <c r="A24" s="7" t="s">
        <v>43</v>
      </c>
      <c r="B24" s="184">
        <v>4.4999999999999998E-2</v>
      </c>
      <c r="C24" s="184">
        <v>0.13</v>
      </c>
      <c r="D24" s="184">
        <v>3.5000000000000003E-2</v>
      </c>
      <c r="E24" s="449">
        <v>0.06</v>
      </c>
      <c r="F24" s="449">
        <v>0.18</v>
      </c>
      <c r="G24" s="15">
        <v>7.0000000000000007E-2</v>
      </c>
    </row>
    <row r="25" spans="1:7" ht="26.25" customHeight="1" x14ac:dyDescent="0.25">
      <c r="A25" s="7" t="s">
        <v>18</v>
      </c>
      <c r="B25" s="8">
        <v>1800</v>
      </c>
      <c r="C25" s="8">
        <v>2500</v>
      </c>
      <c r="D25" s="8">
        <v>2000</v>
      </c>
      <c r="E25" s="8">
        <v>2800</v>
      </c>
      <c r="F25" s="177"/>
      <c r="G25" s="14"/>
    </row>
    <row r="26" spans="1:7" ht="30" customHeight="1" x14ac:dyDescent="0.25">
      <c r="A26" s="7" t="s">
        <v>19</v>
      </c>
      <c r="B26" s="296" t="s">
        <v>20</v>
      </c>
      <c r="C26" s="297"/>
      <c r="D26" s="297"/>
      <c r="E26" s="177"/>
      <c r="F26" s="177"/>
      <c r="G26" s="22" t="s">
        <v>335</v>
      </c>
    </row>
    <row r="27" spans="1:7" ht="21" customHeight="1" x14ac:dyDescent="0.25">
      <c r="A27" s="7" t="s">
        <v>177</v>
      </c>
      <c r="B27" s="191" t="s">
        <v>228</v>
      </c>
      <c r="C27" s="177"/>
      <c r="D27" s="177"/>
      <c r="E27" s="177"/>
      <c r="F27" s="177"/>
      <c r="G27" s="14"/>
    </row>
    <row r="28" spans="1:7" ht="21" customHeight="1" thickBot="1" x14ac:dyDescent="0.3">
      <c r="A28" s="10" t="s">
        <v>44</v>
      </c>
      <c r="B28" s="171">
        <v>1</v>
      </c>
      <c r="C28" s="171">
        <v>1</v>
      </c>
      <c r="D28" s="171">
        <v>1</v>
      </c>
      <c r="E28" s="171">
        <v>1</v>
      </c>
      <c r="F28" s="171" t="s">
        <v>236</v>
      </c>
      <c r="G28" s="254">
        <v>1</v>
      </c>
    </row>
    <row r="29" spans="1:7" ht="15.75" thickBot="1" x14ac:dyDescent="0.3"/>
    <row r="30" spans="1:7" ht="21" customHeight="1" x14ac:dyDescent="0.25">
      <c r="A30" s="193" t="s">
        <v>199</v>
      </c>
      <c r="B30" s="194">
        <v>1850</v>
      </c>
    </row>
    <row r="31" spans="1:7" ht="21" customHeight="1" x14ac:dyDescent="0.25">
      <c r="A31" s="220" t="s">
        <v>200</v>
      </c>
      <c r="B31" s="221">
        <v>800</v>
      </c>
    </row>
    <row r="32" spans="1:7" ht="21" customHeight="1" x14ac:dyDescent="0.25">
      <c r="A32" s="195" t="s">
        <v>201</v>
      </c>
      <c r="B32" s="9">
        <v>1950</v>
      </c>
    </row>
    <row r="33" spans="1:2" ht="21" customHeight="1" x14ac:dyDescent="0.25">
      <c r="A33" s="1" t="s">
        <v>202</v>
      </c>
      <c r="B33" s="9">
        <v>500</v>
      </c>
    </row>
    <row r="34" spans="1:2" ht="21" customHeight="1" thickBot="1" x14ac:dyDescent="0.3">
      <c r="A34" s="10" t="s">
        <v>203</v>
      </c>
      <c r="B34" s="196" t="s">
        <v>197</v>
      </c>
    </row>
    <row r="35" spans="1:2" ht="15.75" thickBot="1" x14ac:dyDescent="0.3"/>
    <row r="36" spans="1:2" ht="15.75" thickBot="1" x14ac:dyDescent="0.3">
      <c r="A36" s="342" t="s">
        <v>250</v>
      </c>
      <c r="B36" s="343">
        <v>3500</v>
      </c>
    </row>
  </sheetData>
  <mergeCells count="2">
    <mergeCell ref="B26:D26"/>
    <mergeCell ref="A15:F15"/>
  </mergeCells>
  <phoneticPr fontId="6" type="noConversion"/>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C3371-B9B1-4FB4-977F-E6D028FFE2F6}">
  <dimension ref="A1:G34"/>
  <sheetViews>
    <sheetView topLeftCell="A15" zoomScaleNormal="100" workbookViewId="0">
      <selection activeCell="D34" sqref="D34"/>
    </sheetView>
  </sheetViews>
  <sheetFormatPr baseColWidth="10" defaultRowHeight="15" x14ac:dyDescent="0.25"/>
  <cols>
    <col min="1" max="1" width="35.140625" style="1" customWidth="1"/>
    <col min="2" max="2" width="131.140625" style="1" bestFit="1" customWidth="1"/>
    <col min="3" max="16384" width="11.42578125" style="1"/>
  </cols>
  <sheetData>
    <row r="1" spans="1:7" ht="23.25" x14ac:dyDescent="0.25">
      <c r="A1" s="12" t="s">
        <v>10</v>
      </c>
    </row>
    <row r="3" spans="1:7" ht="24" customHeight="1" thickBot="1" x14ac:dyDescent="0.3">
      <c r="A3" s="13" t="s">
        <v>11</v>
      </c>
    </row>
    <row r="4" spans="1:7" ht="24" customHeight="1" x14ac:dyDescent="0.25">
      <c r="A4" s="6" t="s">
        <v>12</v>
      </c>
      <c r="B4" s="19" t="s">
        <v>45</v>
      </c>
      <c r="E4" s="2"/>
    </row>
    <row r="5" spans="1:7" ht="24" customHeight="1" x14ac:dyDescent="0.25">
      <c r="A5" s="7" t="s">
        <v>13</v>
      </c>
      <c r="B5" s="22" t="s">
        <v>14</v>
      </c>
      <c r="E5" s="3"/>
      <c r="F5" s="3"/>
      <c r="G5" s="3"/>
    </row>
    <row r="6" spans="1:7" ht="24" customHeight="1" x14ac:dyDescent="0.25">
      <c r="A6" s="300" t="s">
        <v>15</v>
      </c>
      <c r="B6" s="301"/>
      <c r="E6" s="3"/>
      <c r="F6" s="3"/>
      <c r="G6" s="3"/>
    </row>
    <row r="7" spans="1:7" ht="24" customHeight="1" x14ac:dyDescent="0.25">
      <c r="A7" s="7" t="s">
        <v>70</v>
      </c>
      <c r="B7" s="22" t="s">
        <v>16</v>
      </c>
      <c r="E7" s="3"/>
      <c r="F7" s="3"/>
      <c r="G7" s="3"/>
    </row>
    <row r="8" spans="1:7" ht="24" customHeight="1" x14ac:dyDescent="0.25">
      <c r="A8" s="7" t="s">
        <v>69</v>
      </c>
      <c r="B8" s="15">
        <v>0.05</v>
      </c>
      <c r="E8" s="3"/>
      <c r="F8" s="3"/>
      <c r="G8" s="3"/>
    </row>
    <row r="9" spans="1:7" ht="24" customHeight="1" thickBot="1" x14ac:dyDescent="0.3">
      <c r="A9" s="10" t="s">
        <v>17</v>
      </c>
      <c r="B9" s="16">
        <v>0.1</v>
      </c>
      <c r="E9" s="3"/>
      <c r="F9" s="3"/>
      <c r="G9" s="3"/>
    </row>
    <row r="10" spans="1:7" ht="24" customHeight="1" thickBot="1" x14ac:dyDescent="0.3">
      <c r="E10" s="3"/>
      <c r="F10" s="3"/>
      <c r="G10" s="3"/>
    </row>
    <row r="11" spans="1:7" ht="24" customHeight="1" thickBot="1" x14ac:dyDescent="0.3">
      <c r="A11" s="17" t="s">
        <v>21</v>
      </c>
      <c r="B11" s="18" t="s">
        <v>22</v>
      </c>
    </row>
    <row r="13" spans="1:7" ht="24" customHeight="1" thickBot="1" x14ac:dyDescent="0.3">
      <c r="A13" s="13" t="s">
        <v>42</v>
      </c>
    </row>
    <row r="14" spans="1:7" ht="21.75" customHeight="1" x14ac:dyDescent="0.25">
      <c r="A14" s="6" t="s">
        <v>39</v>
      </c>
      <c r="B14" s="185" t="s">
        <v>38</v>
      </c>
    </row>
    <row r="15" spans="1:7" ht="21.75" customHeight="1" x14ac:dyDescent="0.25">
      <c r="A15" s="7" t="s">
        <v>40</v>
      </c>
      <c r="B15" s="14" t="s">
        <v>288</v>
      </c>
    </row>
    <row r="16" spans="1:7" ht="21.75" customHeight="1" thickBot="1" x14ac:dyDescent="0.3">
      <c r="A16" s="10" t="s">
        <v>41</v>
      </c>
      <c r="B16" s="14" t="s">
        <v>288</v>
      </c>
    </row>
    <row r="17" spans="1:2" ht="15.75" thickBot="1" x14ac:dyDescent="0.3"/>
    <row r="18" spans="1:2" x14ac:dyDescent="0.25">
      <c r="A18" s="212" t="s">
        <v>176</v>
      </c>
      <c r="B18" s="213">
        <v>2.7E-2</v>
      </c>
    </row>
    <row r="19" spans="1:2" ht="15.75" thickBot="1" x14ac:dyDescent="0.3">
      <c r="A19" s="214" t="s">
        <v>195</v>
      </c>
      <c r="B19" s="215">
        <v>0.01</v>
      </c>
    </row>
    <row r="20" spans="1:2" ht="15.75" thickBot="1" x14ac:dyDescent="0.3"/>
    <row r="21" spans="1:2" ht="30.75" thickBot="1" x14ac:dyDescent="0.3">
      <c r="A21" s="173" t="s">
        <v>178</v>
      </c>
      <c r="B21" s="344" t="s">
        <v>251</v>
      </c>
    </row>
    <row r="22" spans="1:2" ht="15.75" thickBot="1" x14ac:dyDescent="0.3"/>
    <row r="23" spans="1:2" x14ac:dyDescent="0.25">
      <c r="A23" s="302" t="s">
        <v>60</v>
      </c>
      <c r="B23" s="185" t="s">
        <v>215</v>
      </c>
    </row>
    <row r="24" spans="1:2" x14ac:dyDescent="0.25">
      <c r="A24" s="303"/>
      <c r="B24" s="339" t="s">
        <v>247</v>
      </c>
    </row>
    <row r="25" spans="1:2" ht="15.75" thickBot="1" x14ac:dyDescent="0.3">
      <c r="A25" s="304"/>
      <c r="B25" s="338" t="s">
        <v>248</v>
      </c>
    </row>
    <row r="26" spans="1:2" ht="15.75" thickBot="1" x14ac:dyDescent="0.3"/>
    <row r="27" spans="1:2" ht="18.75" customHeight="1" x14ac:dyDescent="0.25">
      <c r="A27" s="6" t="s">
        <v>213</v>
      </c>
      <c r="B27" s="230">
        <v>1709.28</v>
      </c>
    </row>
    <row r="28" spans="1:2" ht="18.75" customHeight="1" thickBot="1" x14ac:dyDescent="0.3">
      <c r="A28" s="10" t="s">
        <v>214</v>
      </c>
      <c r="B28" s="231">
        <v>1747.2</v>
      </c>
    </row>
    <row r="29" spans="1:2" ht="15.75" thickBot="1" x14ac:dyDescent="0.3"/>
    <row r="30" spans="1:2" x14ac:dyDescent="0.25">
      <c r="A30" s="212" t="s">
        <v>369</v>
      </c>
      <c r="B30" s="230"/>
    </row>
    <row r="31" spans="1:2" ht="15.75" thickBot="1" x14ac:dyDescent="0.3">
      <c r="A31" s="447" t="s">
        <v>370</v>
      </c>
      <c r="B31" s="446"/>
    </row>
    <row r="32" spans="1:2" ht="15.75" thickBot="1" x14ac:dyDescent="0.3"/>
    <row r="33" spans="1:2" x14ac:dyDescent="0.25">
      <c r="A33" s="212" t="s">
        <v>383</v>
      </c>
      <c r="B33" s="230"/>
    </row>
    <row r="34" spans="1:2" ht="15.75" thickBot="1" x14ac:dyDescent="0.3">
      <c r="A34" s="447" t="s">
        <v>384</v>
      </c>
      <c r="B34" s="448"/>
    </row>
  </sheetData>
  <mergeCells count="2">
    <mergeCell ref="A6:B6"/>
    <mergeCell ref="A23:A25"/>
  </mergeCells>
  <phoneticPr fontId="6"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C8ACBD-986B-4896-830E-6CF6FBDBF52D}">
  <dimension ref="A1:H39"/>
  <sheetViews>
    <sheetView topLeftCell="A9" workbookViewId="0">
      <selection activeCell="H37" sqref="H37"/>
    </sheetView>
  </sheetViews>
  <sheetFormatPr baseColWidth="10" defaultRowHeight="15" x14ac:dyDescent="0.25"/>
  <cols>
    <col min="1" max="1" width="20.42578125" style="188" bestFit="1" customWidth="1"/>
    <col min="2" max="3" width="11.42578125" style="1"/>
    <col min="4" max="4" width="13" style="1" bestFit="1" customWidth="1"/>
    <col min="5" max="10" width="11.42578125" style="1"/>
    <col min="11" max="11" width="18.5703125" style="1" bestFit="1" customWidth="1"/>
    <col min="12" max="16384" width="11.42578125" style="1"/>
  </cols>
  <sheetData>
    <row r="1" spans="1:7" ht="18.75" x14ac:dyDescent="0.25">
      <c r="A1" s="308" t="s">
        <v>77</v>
      </c>
      <c r="B1" s="308"/>
      <c r="C1" s="308"/>
      <c r="D1" s="308"/>
    </row>
    <row r="2" spans="1:7" ht="18.75" x14ac:dyDescent="0.25">
      <c r="A2" s="187"/>
      <c r="B2" s="187"/>
      <c r="C2" s="187"/>
      <c r="D2" s="187"/>
    </row>
    <row r="3" spans="1:7" ht="15.75" thickBot="1" x14ac:dyDescent="0.3"/>
    <row r="4" spans="1:7" x14ac:dyDescent="0.25">
      <c r="A4" s="189"/>
      <c r="B4" s="4" t="s">
        <v>232</v>
      </c>
      <c r="C4" s="4" t="s">
        <v>233</v>
      </c>
      <c r="D4" s="4" t="s">
        <v>234</v>
      </c>
      <c r="E4" s="252" t="s">
        <v>224</v>
      </c>
      <c r="F4" s="5" t="s">
        <v>235</v>
      </c>
      <c r="G4" s="388" t="s">
        <v>339</v>
      </c>
    </row>
    <row r="5" spans="1:7" x14ac:dyDescent="0.25">
      <c r="A5" s="190">
        <v>43948</v>
      </c>
      <c r="B5" s="21">
        <v>7</v>
      </c>
      <c r="C5" s="21">
        <v>7</v>
      </c>
      <c r="D5" s="21">
        <v>7</v>
      </c>
      <c r="E5" s="21">
        <v>9</v>
      </c>
      <c r="F5" s="22">
        <v>10</v>
      </c>
      <c r="G5" s="387"/>
    </row>
    <row r="6" spans="1:7" x14ac:dyDescent="0.25">
      <c r="A6" s="190">
        <v>43949</v>
      </c>
      <c r="B6" s="21">
        <v>7</v>
      </c>
      <c r="C6" s="21">
        <v>7</v>
      </c>
      <c r="D6" s="21">
        <v>7</v>
      </c>
      <c r="E6" s="21">
        <v>8</v>
      </c>
      <c r="F6" s="22">
        <v>10</v>
      </c>
      <c r="G6" s="387"/>
    </row>
    <row r="7" spans="1:7" x14ac:dyDescent="0.25">
      <c r="A7" s="190">
        <v>43950</v>
      </c>
      <c r="B7" s="21">
        <v>7</v>
      </c>
      <c r="C7" s="21">
        <v>7</v>
      </c>
      <c r="D7" s="21">
        <v>7</v>
      </c>
      <c r="E7" s="21">
        <v>8</v>
      </c>
      <c r="F7" s="22">
        <v>10</v>
      </c>
      <c r="G7" s="387"/>
    </row>
    <row r="8" spans="1:7" x14ac:dyDescent="0.25">
      <c r="A8" s="190">
        <v>43951</v>
      </c>
      <c r="B8" s="21">
        <v>7</v>
      </c>
      <c r="C8" s="21">
        <v>7</v>
      </c>
      <c r="D8" s="21">
        <v>7</v>
      </c>
      <c r="E8" s="21">
        <v>7</v>
      </c>
      <c r="F8" s="22">
        <v>10</v>
      </c>
      <c r="G8" s="387"/>
    </row>
    <row r="9" spans="1:7" x14ac:dyDescent="0.25">
      <c r="A9" s="190">
        <v>43952</v>
      </c>
      <c r="B9" s="306" t="s">
        <v>52</v>
      </c>
      <c r="C9" s="307"/>
      <c r="D9" s="307"/>
      <c r="E9" s="307"/>
      <c r="F9" s="22">
        <v>10</v>
      </c>
      <c r="G9" s="387"/>
    </row>
    <row r="10" spans="1:7" x14ac:dyDescent="0.25">
      <c r="A10" s="190">
        <v>43953</v>
      </c>
      <c r="B10" s="21"/>
      <c r="C10" s="21"/>
      <c r="D10" s="21"/>
      <c r="E10" s="21"/>
      <c r="F10" s="22"/>
      <c r="G10" s="387"/>
    </row>
    <row r="11" spans="1:7" x14ac:dyDescent="0.25">
      <c r="A11" s="190">
        <v>43954</v>
      </c>
      <c r="B11" s="21"/>
      <c r="C11" s="21"/>
      <c r="D11" s="21"/>
      <c r="E11" s="21"/>
      <c r="F11" s="22"/>
      <c r="G11" s="387"/>
    </row>
    <row r="12" spans="1:7" x14ac:dyDescent="0.25">
      <c r="A12" s="190">
        <v>43955</v>
      </c>
      <c r="B12" s="21">
        <v>7</v>
      </c>
      <c r="C12" s="21">
        <v>7</v>
      </c>
      <c r="D12" s="21">
        <v>7</v>
      </c>
      <c r="E12" s="21">
        <v>7</v>
      </c>
      <c r="F12" s="22">
        <v>2</v>
      </c>
      <c r="G12" s="387"/>
    </row>
    <row r="13" spans="1:7" x14ac:dyDescent="0.25">
      <c r="A13" s="190">
        <v>43956</v>
      </c>
      <c r="B13" s="21">
        <v>7</v>
      </c>
      <c r="C13" s="21">
        <v>7</v>
      </c>
      <c r="D13" s="21">
        <v>7</v>
      </c>
      <c r="E13" s="21">
        <v>7</v>
      </c>
      <c r="F13" s="22">
        <v>5</v>
      </c>
      <c r="G13" s="387"/>
    </row>
    <row r="14" spans="1:7" x14ac:dyDescent="0.25">
      <c r="A14" s="190">
        <v>43957</v>
      </c>
      <c r="B14" s="21">
        <v>7</v>
      </c>
      <c r="C14" s="21">
        <v>7</v>
      </c>
      <c r="D14" s="21">
        <v>7</v>
      </c>
      <c r="E14" s="21">
        <v>7</v>
      </c>
      <c r="F14" s="22">
        <v>7</v>
      </c>
      <c r="G14" s="387"/>
    </row>
    <row r="15" spans="1:7" x14ac:dyDescent="0.25">
      <c r="A15" s="190">
        <v>43958</v>
      </c>
      <c r="B15" s="21">
        <v>7</v>
      </c>
      <c r="C15" s="21">
        <v>7</v>
      </c>
      <c r="D15" s="21">
        <v>7</v>
      </c>
      <c r="E15" s="21">
        <v>7</v>
      </c>
      <c r="F15" s="22">
        <v>8</v>
      </c>
      <c r="G15" s="387"/>
    </row>
    <row r="16" spans="1:7" x14ac:dyDescent="0.25">
      <c r="A16" s="190">
        <v>43959</v>
      </c>
      <c r="B16" s="306" t="s">
        <v>52</v>
      </c>
      <c r="C16" s="307"/>
      <c r="D16" s="307"/>
      <c r="E16" s="307"/>
      <c r="F16" s="22">
        <v>4</v>
      </c>
      <c r="G16" s="387"/>
    </row>
    <row r="17" spans="1:8" x14ac:dyDescent="0.25">
      <c r="A17" s="190">
        <v>43960</v>
      </c>
      <c r="B17" s="21"/>
      <c r="C17" s="21"/>
      <c r="D17" s="21"/>
      <c r="E17" s="21"/>
      <c r="F17" s="22"/>
      <c r="G17" s="387"/>
    </row>
    <row r="18" spans="1:8" ht="15.75" thickBot="1" x14ac:dyDescent="0.3">
      <c r="A18" s="190">
        <v>43961</v>
      </c>
      <c r="B18" s="21"/>
      <c r="C18" s="21"/>
      <c r="D18" s="21"/>
      <c r="E18" s="21"/>
      <c r="F18" s="22"/>
      <c r="G18" s="387"/>
    </row>
    <row r="19" spans="1:8" ht="15" customHeight="1" x14ac:dyDescent="0.25">
      <c r="A19" s="237">
        <v>43962</v>
      </c>
      <c r="B19" s="306" t="s">
        <v>196</v>
      </c>
      <c r="C19" s="340" t="s">
        <v>249</v>
      </c>
      <c r="D19" s="21">
        <v>7</v>
      </c>
      <c r="E19" s="21">
        <v>9</v>
      </c>
      <c r="F19" s="22">
        <v>7</v>
      </c>
      <c r="G19" s="389">
        <v>5</v>
      </c>
    </row>
    <row r="20" spans="1:8" x14ac:dyDescent="0.25">
      <c r="A20" s="237">
        <v>43963</v>
      </c>
      <c r="B20" s="306"/>
      <c r="C20" s="341"/>
      <c r="D20" s="21">
        <v>7</v>
      </c>
      <c r="E20" s="21">
        <v>8</v>
      </c>
      <c r="F20" s="22">
        <v>7</v>
      </c>
      <c r="G20" s="390">
        <v>7</v>
      </c>
    </row>
    <row r="21" spans="1:8" x14ac:dyDescent="0.25">
      <c r="A21" s="237">
        <v>43964</v>
      </c>
      <c r="B21" s="306"/>
      <c r="C21" s="341"/>
      <c r="D21" s="21">
        <v>7</v>
      </c>
      <c r="E21" s="21">
        <v>8</v>
      </c>
      <c r="F21" s="22">
        <v>7</v>
      </c>
      <c r="G21" s="390">
        <v>6</v>
      </c>
    </row>
    <row r="22" spans="1:8" x14ac:dyDescent="0.25">
      <c r="A22" s="238">
        <v>43965</v>
      </c>
      <c r="B22" s="306"/>
      <c r="C22" s="341"/>
      <c r="D22" s="21">
        <v>7</v>
      </c>
      <c r="E22" s="21">
        <v>9</v>
      </c>
      <c r="F22" s="22">
        <v>7</v>
      </c>
      <c r="G22" s="390">
        <v>5</v>
      </c>
    </row>
    <row r="23" spans="1:8" x14ac:dyDescent="0.25">
      <c r="A23" s="238">
        <v>43966</v>
      </c>
      <c r="B23" s="306"/>
      <c r="C23" s="341"/>
      <c r="D23" s="21">
        <v>7</v>
      </c>
      <c r="E23" s="21">
        <v>7</v>
      </c>
      <c r="F23" s="22">
        <v>7</v>
      </c>
      <c r="G23" s="390">
        <v>5</v>
      </c>
      <c r="H23" s="1">
        <f>SUM(G19:G23)</f>
        <v>28</v>
      </c>
    </row>
    <row r="24" spans="1:8" x14ac:dyDescent="0.25">
      <c r="A24" s="190">
        <v>43967</v>
      </c>
      <c r="B24" s="177"/>
      <c r="C24" s="341"/>
      <c r="D24" s="21"/>
      <c r="E24" s="21"/>
      <c r="F24" s="22"/>
      <c r="G24" s="390"/>
    </row>
    <row r="25" spans="1:8" x14ac:dyDescent="0.25">
      <c r="A25" s="190">
        <v>43968</v>
      </c>
      <c r="B25" s="177"/>
      <c r="C25" s="341"/>
      <c r="D25" s="21"/>
      <c r="E25" s="21"/>
      <c r="F25" s="22"/>
      <c r="G25" s="386"/>
    </row>
    <row r="26" spans="1:8" x14ac:dyDescent="0.25">
      <c r="A26" s="238">
        <v>43969</v>
      </c>
      <c r="B26" s="21">
        <v>7</v>
      </c>
      <c r="C26" s="341"/>
      <c r="D26" s="21">
        <v>7</v>
      </c>
      <c r="E26" s="21">
        <v>7</v>
      </c>
      <c r="F26" s="22">
        <v>7</v>
      </c>
      <c r="G26" s="390">
        <v>5</v>
      </c>
    </row>
    <row r="27" spans="1:8" x14ac:dyDescent="0.25">
      <c r="A27" s="238">
        <v>43970</v>
      </c>
      <c r="B27" s="21">
        <v>7</v>
      </c>
      <c r="C27" s="341"/>
      <c r="D27" s="21">
        <v>7</v>
      </c>
      <c r="E27" s="21">
        <v>7</v>
      </c>
      <c r="F27" s="22">
        <v>7</v>
      </c>
      <c r="G27" s="390">
        <v>5</v>
      </c>
    </row>
    <row r="28" spans="1:8" x14ac:dyDescent="0.25">
      <c r="A28" s="190">
        <v>43971</v>
      </c>
      <c r="B28" s="21">
        <v>7</v>
      </c>
      <c r="C28" s="21">
        <v>7</v>
      </c>
      <c r="D28" s="21">
        <v>7</v>
      </c>
      <c r="E28" s="21">
        <v>7</v>
      </c>
      <c r="F28" s="22">
        <v>7</v>
      </c>
      <c r="G28" s="390">
        <v>5</v>
      </c>
    </row>
    <row r="29" spans="1:8" x14ac:dyDescent="0.25">
      <c r="A29" s="190">
        <v>43972</v>
      </c>
      <c r="B29" s="306" t="s">
        <v>52</v>
      </c>
      <c r="C29" s="307"/>
      <c r="D29" s="307"/>
      <c r="E29" s="307"/>
      <c r="F29" s="22">
        <v>10</v>
      </c>
      <c r="G29" s="391" t="s">
        <v>338</v>
      </c>
    </row>
    <row r="30" spans="1:8" x14ac:dyDescent="0.25">
      <c r="A30" s="190">
        <v>43973</v>
      </c>
      <c r="B30" s="21">
        <v>7</v>
      </c>
      <c r="C30" s="21">
        <v>7</v>
      </c>
      <c r="D30" s="21">
        <v>7</v>
      </c>
      <c r="E30" s="21">
        <v>7</v>
      </c>
      <c r="F30" s="22">
        <v>7</v>
      </c>
      <c r="G30" s="390">
        <v>5</v>
      </c>
    </row>
    <row r="31" spans="1:8" x14ac:dyDescent="0.25">
      <c r="A31" s="190">
        <v>43974</v>
      </c>
      <c r="B31" s="21"/>
      <c r="C31" s="21"/>
      <c r="D31" s="21"/>
      <c r="E31" s="21"/>
      <c r="F31" s="22"/>
      <c r="G31" s="440"/>
    </row>
    <row r="32" spans="1:8" x14ac:dyDescent="0.25">
      <c r="A32" s="190">
        <v>43975</v>
      </c>
      <c r="B32" s="21"/>
      <c r="C32" s="21"/>
      <c r="D32" s="21"/>
      <c r="E32" s="21"/>
      <c r="F32" s="22"/>
      <c r="G32" s="440"/>
    </row>
    <row r="33" spans="1:8" x14ac:dyDescent="0.25">
      <c r="A33" s="190">
        <v>43976</v>
      </c>
      <c r="B33" s="21">
        <v>7</v>
      </c>
      <c r="C33" s="21">
        <v>7</v>
      </c>
      <c r="D33" s="21">
        <v>7</v>
      </c>
      <c r="E33" s="21">
        <v>7</v>
      </c>
      <c r="F33" s="22">
        <v>7</v>
      </c>
      <c r="G33" s="442">
        <v>5</v>
      </c>
    </row>
    <row r="34" spans="1:8" x14ac:dyDescent="0.25">
      <c r="A34" s="190">
        <v>43977</v>
      </c>
      <c r="B34" s="21">
        <v>7</v>
      </c>
      <c r="C34" s="21">
        <v>7</v>
      </c>
      <c r="D34" s="21">
        <v>7</v>
      </c>
      <c r="E34" s="21">
        <v>8</v>
      </c>
      <c r="F34" s="22">
        <v>7</v>
      </c>
      <c r="G34" s="442">
        <v>7</v>
      </c>
    </row>
    <row r="35" spans="1:8" x14ac:dyDescent="0.25">
      <c r="A35" s="190">
        <v>43978</v>
      </c>
      <c r="B35" s="21">
        <v>7</v>
      </c>
      <c r="C35" s="21">
        <v>7</v>
      </c>
      <c r="D35" s="21">
        <v>7</v>
      </c>
      <c r="E35" s="21">
        <v>7</v>
      </c>
      <c r="F35" s="305" t="s">
        <v>237</v>
      </c>
      <c r="G35" s="442">
        <v>7</v>
      </c>
    </row>
    <row r="36" spans="1:8" x14ac:dyDescent="0.25">
      <c r="A36" s="190">
        <v>43979</v>
      </c>
      <c r="B36" s="21">
        <v>7</v>
      </c>
      <c r="C36" s="21">
        <v>7</v>
      </c>
      <c r="D36" s="21">
        <v>7</v>
      </c>
      <c r="E36" s="21">
        <v>7</v>
      </c>
      <c r="F36" s="305"/>
      <c r="G36" s="442">
        <v>6</v>
      </c>
    </row>
    <row r="37" spans="1:8" x14ac:dyDescent="0.25">
      <c r="A37" s="190">
        <v>43980</v>
      </c>
      <c r="B37" s="21">
        <v>7</v>
      </c>
      <c r="C37" s="21">
        <v>7</v>
      </c>
      <c r="D37" s="21">
        <v>7</v>
      </c>
      <c r="E37" s="21">
        <v>7</v>
      </c>
      <c r="F37" s="305"/>
      <c r="G37" s="442">
        <v>6</v>
      </c>
      <c r="H37" s="1">
        <f>SUM(G33:G37)</f>
        <v>31</v>
      </c>
    </row>
    <row r="38" spans="1:8" x14ac:dyDescent="0.25">
      <c r="A38" s="190">
        <v>43981</v>
      </c>
      <c r="B38" s="21"/>
      <c r="C38" s="21"/>
      <c r="D38" s="21"/>
      <c r="E38" s="21"/>
      <c r="F38" s="22"/>
      <c r="G38" s="440"/>
    </row>
    <row r="39" spans="1:8" ht="15.75" thickBot="1" x14ac:dyDescent="0.3">
      <c r="A39" s="192">
        <v>43982</v>
      </c>
      <c r="B39" s="183"/>
      <c r="C39" s="183"/>
      <c r="D39" s="183"/>
      <c r="E39" s="183"/>
      <c r="F39" s="254">
        <v>14</v>
      </c>
      <c r="G39" s="441"/>
    </row>
  </sheetData>
  <mergeCells count="7">
    <mergeCell ref="F35:F37"/>
    <mergeCell ref="B29:E29"/>
    <mergeCell ref="B16:E16"/>
    <mergeCell ref="B9:E9"/>
    <mergeCell ref="A1:D1"/>
    <mergeCell ref="B19:B23"/>
    <mergeCell ref="C19:C2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8D5E4-46CE-46E7-B643-0773E1474069}">
  <dimension ref="A1:O169"/>
  <sheetViews>
    <sheetView tabSelected="1" zoomScale="75" zoomScaleNormal="75" workbookViewId="0">
      <selection activeCell="E169" sqref="E169"/>
    </sheetView>
  </sheetViews>
  <sheetFormatPr baseColWidth="10" defaultRowHeight="16.5" x14ac:dyDescent="0.25"/>
  <cols>
    <col min="1" max="1" width="95.5703125" style="29" customWidth="1"/>
    <col min="2" max="2" width="18.85546875" style="29" bestFit="1" customWidth="1"/>
    <col min="3" max="3" width="17.140625" style="29" bestFit="1" customWidth="1"/>
    <col min="4" max="4" width="34.140625" style="29" customWidth="1"/>
    <col min="5" max="5" width="12.5703125" style="29" customWidth="1"/>
    <col min="6" max="6" width="18.28515625" style="29" customWidth="1"/>
    <col min="7" max="7" width="13" style="29" bestFit="1" customWidth="1"/>
    <col min="8" max="8" width="58.28515625" style="29" bestFit="1" customWidth="1"/>
    <col min="9" max="9" width="13" style="29" bestFit="1" customWidth="1"/>
    <col min="10" max="10" width="12" style="29" bestFit="1" customWidth="1"/>
    <col min="11" max="11" width="11.42578125" style="29"/>
    <col min="12" max="12" width="12.140625" style="29" bestFit="1" customWidth="1"/>
    <col min="13" max="14" width="12" style="29" bestFit="1" customWidth="1"/>
    <col min="15" max="16384" width="11.42578125" style="29"/>
  </cols>
  <sheetData>
    <row r="1" spans="1:6" x14ac:dyDescent="0.25">
      <c r="A1" s="26" t="s">
        <v>78</v>
      </c>
      <c r="B1" s="27"/>
      <c r="C1" s="27"/>
      <c r="D1" s="27"/>
      <c r="E1" s="27"/>
      <c r="F1" s="28"/>
    </row>
    <row r="2" spans="1:6" x14ac:dyDescent="0.25">
      <c r="A2" s="30" t="s">
        <v>79</v>
      </c>
      <c r="B2" s="31"/>
      <c r="C2" s="31"/>
      <c r="D2" s="31" t="s">
        <v>80</v>
      </c>
      <c r="E2" s="31"/>
      <c r="F2" s="32" t="s">
        <v>232</v>
      </c>
    </row>
    <row r="3" spans="1:6" x14ac:dyDescent="0.25">
      <c r="A3" s="33" t="s">
        <v>81</v>
      </c>
      <c r="B3" s="31"/>
      <c r="C3" s="31"/>
      <c r="D3" s="31" t="s">
        <v>81</v>
      </c>
      <c r="E3" s="31"/>
      <c r="F3" s="32"/>
    </row>
    <row r="4" spans="1:6" x14ac:dyDescent="0.25">
      <c r="A4" s="33" t="s">
        <v>82</v>
      </c>
      <c r="B4" s="31"/>
      <c r="C4" s="31"/>
      <c r="D4" s="31" t="s">
        <v>234</v>
      </c>
      <c r="E4" s="31"/>
      <c r="F4" s="32"/>
    </row>
    <row r="5" spans="1:6" x14ac:dyDescent="0.25">
      <c r="A5" s="33" t="s">
        <v>83</v>
      </c>
      <c r="B5" s="31"/>
      <c r="C5" s="31"/>
      <c r="D5" s="31" t="s">
        <v>84</v>
      </c>
      <c r="E5" s="31"/>
      <c r="F5" s="32"/>
    </row>
    <row r="6" spans="1:6" x14ac:dyDescent="0.25">
      <c r="A6" s="33" t="s">
        <v>83</v>
      </c>
      <c r="B6" s="31"/>
      <c r="C6" s="31"/>
      <c r="D6" s="31" t="s">
        <v>85</v>
      </c>
      <c r="E6" s="31"/>
      <c r="F6" s="32"/>
    </row>
    <row r="7" spans="1:6" x14ac:dyDescent="0.25">
      <c r="A7" s="33" t="s">
        <v>86</v>
      </c>
      <c r="B7" s="31"/>
      <c r="C7" s="31"/>
      <c r="D7" s="31"/>
      <c r="E7" s="31"/>
      <c r="F7" s="32"/>
    </row>
    <row r="8" spans="1:6" x14ac:dyDescent="0.25">
      <c r="A8" s="33" t="s">
        <v>87</v>
      </c>
      <c r="B8" s="31"/>
      <c r="C8" s="31"/>
      <c r="D8" s="31" t="s">
        <v>88</v>
      </c>
      <c r="E8" s="31"/>
      <c r="F8" s="32"/>
    </row>
    <row r="9" spans="1:6" x14ac:dyDescent="0.25">
      <c r="A9" s="33" t="s">
        <v>89</v>
      </c>
      <c r="B9" s="31"/>
      <c r="C9" s="31"/>
      <c r="D9" s="31" t="s">
        <v>90</v>
      </c>
      <c r="E9" s="31"/>
      <c r="F9" s="32"/>
    </row>
    <row r="10" spans="1:6" x14ac:dyDescent="0.25">
      <c r="A10" s="33" t="s">
        <v>91</v>
      </c>
      <c r="B10" s="31"/>
      <c r="C10" s="31"/>
      <c r="D10" s="31" t="s">
        <v>92</v>
      </c>
      <c r="E10" s="31"/>
      <c r="F10" s="32"/>
    </row>
    <row r="11" spans="1:6" x14ac:dyDescent="0.25">
      <c r="A11" s="33" t="s">
        <v>93</v>
      </c>
      <c r="B11" s="31"/>
      <c r="C11" s="31"/>
      <c r="D11" s="31" t="s">
        <v>94</v>
      </c>
      <c r="E11" s="31"/>
      <c r="F11" s="32" t="s">
        <v>5</v>
      </c>
    </row>
    <row r="12" spans="1:6" x14ac:dyDescent="0.25">
      <c r="A12" s="33" t="s">
        <v>95</v>
      </c>
      <c r="B12" s="31"/>
      <c r="C12" s="31"/>
      <c r="D12" s="31" t="s">
        <v>96</v>
      </c>
      <c r="E12" s="31"/>
      <c r="F12" s="32"/>
    </row>
    <row r="13" spans="1:6" x14ac:dyDescent="0.25">
      <c r="A13" s="33" t="s">
        <v>97</v>
      </c>
      <c r="B13" s="31"/>
      <c r="C13" s="31"/>
      <c r="D13" s="31" t="s">
        <v>98</v>
      </c>
      <c r="E13" s="31"/>
      <c r="F13" s="32"/>
    </row>
    <row r="14" spans="1:6" x14ac:dyDescent="0.25">
      <c r="A14" s="33"/>
      <c r="B14" s="31"/>
      <c r="C14" s="31"/>
      <c r="D14" s="31" t="s">
        <v>99</v>
      </c>
      <c r="E14" s="31"/>
      <c r="F14" s="32"/>
    </row>
    <row r="15" spans="1:6" x14ac:dyDescent="0.25">
      <c r="A15" s="34"/>
      <c r="B15" s="31"/>
      <c r="C15" s="31"/>
      <c r="D15" s="31"/>
      <c r="E15" s="31"/>
      <c r="F15" s="32"/>
    </row>
    <row r="16" spans="1:6" x14ac:dyDescent="0.25">
      <c r="A16" s="34"/>
      <c r="B16" s="31"/>
      <c r="C16" s="31"/>
      <c r="D16" s="31"/>
      <c r="E16" s="31"/>
      <c r="F16" s="32"/>
    </row>
    <row r="17" spans="1:15" x14ac:dyDescent="0.25">
      <c r="A17" s="35" t="s">
        <v>100</v>
      </c>
      <c r="B17" s="328"/>
      <c r="C17" s="329"/>
      <c r="D17" s="36" t="s">
        <v>234</v>
      </c>
      <c r="E17" s="328"/>
      <c r="F17" s="330"/>
    </row>
    <row r="18" spans="1:15" ht="20.25" customHeight="1" thickBot="1" x14ac:dyDescent="0.3">
      <c r="A18" s="37" t="s">
        <v>101</v>
      </c>
      <c r="B18" s="38"/>
      <c r="C18" s="38"/>
      <c r="D18" s="38"/>
      <c r="E18" s="38"/>
      <c r="F18" s="39"/>
    </row>
    <row r="19" spans="1:15" ht="24" customHeight="1" x14ac:dyDescent="0.25">
      <c r="A19" s="40" t="s">
        <v>101</v>
      </c>
      <c r="B19" s="41" t="s">
        <v>102</v>
      </c>
      <c r="C19" s="41" t="s">
        <v>103</v>
      </c>
      <c r="D19" s="41" t="s">
        <v>104</v>
      </c>
      <c r="E19" s="42"/>
      <c r="F19" s="43"/>
      <c r="H19" s="44" t="s">
        <v>105</v>
      </c>
      <c r="I19" s="45">
        <v>7.0000000000000007E-2</v>
      </c>
    </row>
    <row r="20" spans="1:15" s="50" customFormat="1" x14ac:dyDescent="0.25">
      <c r="A20" s="34" t="s">
        <v>7</v>
      </c>
      <c r="B20" s="46">
        <v>151.66999999999999</v>
      </c>
      <c r="C20" s="47">
        <f>D20/151.67</f>
        <v>13.18652337311268</v>
      </c>
      <c r="D20" s="48">
        <v>2000</v>
      </c>
      <c r="E20" s="42"/>
      <c r="F20" s="49"/>
      <c r="H20" s="51" t="s">
        <v>106</v>
      </c>
      <c r="I20" s="52">
        <v>3.4500000000000003E-2</v>
      </c>
      <c r="J20" s="29"/>
      <c r="K20" s="29"/>
      <c r="L20" s="29"/>
      <c r="M20" s="29"/>
      <c r="N20" s="29"/>
      <c r="O20" s="29"/>
    </row>
    <row r="21" spans="1:15" s="50" customFormat="1" x14ac:dyDescent="0.25">
      <c r="A21" s="34" t="s">
        <v>107</v>
      </c>
      <c r="B21" s="46"/>
      <c r="C21" s="47"/>
      <c r="D21" s="53">
        <f>I31</f>
        <v>0</v>
      </c>
      <c r="E21" s="42"/>
      <c r="F21" s="49"/>
      <c r="H21" s="54" t="s">
        <v>108</v>
      </c>
      <c r="I21" s="55">
        <v>2.7E-2</v>
      </c>
      <c r="J21" s="29"/>
      <c r="K21" s="29"/>
      <c r="L21" s="29"/>
      <c r="M21" s="29"/>
      <c r="N21" s="29"/>
      <c r="O21" s="29"/>
    </row>
    <row r="22" spans="1:15" s="50" customFormat="1" x14ac:dyDescent="0.25">
      <c r="A22" s="34" t="s">
        <v>23</v>
      </c>
      <c r="B22" s="56"/>
      <c r="C22" s="57"/>
      <c r="D22" s="48">
        <f>-C22*B22</f>
        <v>0</v>
      </c>
      <c r="E22" s="42"/>
      <c r="F22" s="49"/>
      <c r="H22" s="34" t="s">
        <v>109</v>
      </c>
      <c r="I22" s="58">
        <f>+D41</f>
        <v>2008.4615384615386</v>
      </c>
      <c r="J22" s="29"/>
      <c r="K22" s="29"/>
      <c r="L22" s="29"/>
      <c r="M22" s="29"/>
      <c r="N22" s="29"/>
      <c r="O22" s="29"/>
    </row>
    <row r="23" spans="1:15" s="50" customFormat="1" x14ac:dyDescent="0.25">
      <c r="A23" s="34"/>
      <c r="B23" s="46"/>
      <c r="C23" s="47"/>
      <c r="D23" s="31"/>
      <c r="E23" s="42"/>
      <c r="F23" s="49"/>
      <c r="H23" s="34" t="s">
        <v>110</v>
      </c>
      <c r="I23" s="58"/>
      <c r="J23" s="29"/>
      <c r="K23" s="29"/>
      <c r="L23" s="29"/>
      <c r="M23" s="29"/>
      <c r="N23" s="29"/>
      <c r="O23" s="29"/>
    </row>
    <row r="24" spans="1:15" x14ac:dyDescent="0.25">
      <c r="A24" s="34" t="s">
        <v>111</v>
      </c>
      <c r="B24" s="59"/>
      <c r="C24" s="60">
        <f>D20/151.67*1.25</f>
        <v>16.483154216390851</v>
      </c>
      <c r="D24" s="61">
        <f>C24*B24</f>
        <v>0</v>
      </c>
      <c r="E24" s="42"/>
      <c r="F24" s="62"/>
      <c r="H24" s="34" t="s">
        <v>112</v>
      </c>
      <c r="I24" s="58"/>
    </row>
    <row r="25" spans="1:15" x14ac:dyDescent="0.25">
      <c r="A25" s="34" t="s">
        <v>24</v>
      </c>
      <c r="B25" s="59"/>
      <c r="C25" s="61">
        <f>D20/151.67*1.5</f>
        <v>19.77978505966902</v>
      </c>
      <c r="D25" s="61">
        <f>C25*B25</f>
        <v>0</v>
      </c>
      <c r="E25" s="42"/>
      <c r="F25" s="43"/>
      <c r="H25" s="34" t="s">
        <v>113</v>
      </c>
      <c r="I25" s="58"/>
    </row>
    <row r="26" spans="1:15" x14ac:dyDescent="0.25">
      <c r="A26" s="34"/>
      <c r="B26" s="31"/>
      <c r="C26" s="31"/>
      <c r="D26" s="31"/>
      <c r="E26" s="42"/>
      <c r="F26" s="43"/>
      <c r="H26" s="34" t="s">
        <v>114</v>
      </c>
      <c r="I26" s="58">
        <f>+H153</f>
        <v>418.47538461538511</v>
      </c>
    </row>
    <row r="27" spans="1:15" x14ac:dyDescent="0.25">
      <c r="A27" s="34" t="s">
        <v>115</v>
      </c>
      <c r="B27" s="59"/>
      <c r="C27" s="63"/>
      <c r="D27" s="64">
        <f>C27*B27</f>
        <v>0</v>
      </c>
      <c r="E27" s="42"/>
      <c r="F27" s="43"/>
      <c r="H27" s="34" t="s">
        <v>116</v>
      </c>
      <c r="I27" s="58"/>
    </row>
    <row r="28" spans="1:15" x14ac:dyDescent="0.25">
      <c r="A28" s="34"/>
      <c r="B28" s="31"/>
      <c r="C28" s="31"/>
      <c r="D28" s="31"/>
      <c r="E28" s="42"/>
      <c r="F28" s="43"/>
      <c r="H28" s="34" t="s">
        <v>117</v>
      </c>
      <c r="I28" s="65"/>
    </row>
    <row r="29" spans="1:15" x14ac:dyDescent="0.25">
      <c r="A29" s="34"/>
      <c r="B29" s="66"/>
      <c r="C29" s="67"/>
      <c r="D29" s="68"/>
      <c r="E29" s="69"/>
      <c r="F29" s="70"/>
      <c r="H29" s="34" t="s">
        <v>40</v>
      </c>
      <c r="I29" s="356">
        <v>0.01</v>
      </c>
    </row>
    <row r="30" spans="1:15" x14ac:dyDescent="0.25">
      <c r="A30" s="34" t="s">
        <v>118</v>
      </c>
      <c r="B30" s="71">
        <v>6</v>
      </c>
      <c r="C30" s="204">
        <f>D140</f>
        <v>78.333333333333329</v>
      </c>
      <c r="D30" s="72">
        <f>B30*C30</f>
        <v>470</v>
      </c>
      <c r="E30" s="69"/>
      <c r="F30" s="70"/>
      <c r="H30" s="34" t="s">
        <v>41</v>
      </c>
      <c r="I30" s="356">
        <v>0.01</v>
      </c>
    </row>
    <row r="31" spans="1:15" x14ac:dyDescent="0.25">
      <c r="A31" s="34" t="s">
        <v>119</v>
      </c>
      <c r="B31" s="71">
        <v>6</v>
      </c>
      <c r="C31" s="204">
        <f>D129</f>
        <v>76.92307692307692</v>
      </c>
      <c r="D31" s="72">
        <f>-C31*B31</f>
        <v>-461.53846153846155</v>
      </c>
      <c r="E31" s="69"/>
      <c r="F31" s="70"/>
      <c r="H31" s="34" t="s">
        <v>107</v>
      </c>
      <c r="I31" s="58"/>
    </row>
    <row r="32" spans="1:15" x14ac:dyDescent="0.25">
      <c r="A32" s="34" t="s">
        <v>211</v>
      </c>
      <c r="B32" s="66"/>
      <c r="C32" s="31"/>
      <c r="D32" s="61"/>
      <c r="E32" s="69"/>
      <c r="F32" s="70"/>
      <c r="H32" s="34" t="s">
        <v>120</v>
      </c>
      <c r="I32" s="32"/>
    </row>
    <row r="33" spans="1:9" x14ac:dyDescent="0.25">
      <c r="A33" s="34" t="s">
        <v>121</v>
      </c>
      <c r="B33" s="73"/>
      <c r="C33" s="74"/>
      <c r="D33" s="75"/>
      <c r="E33" s="69"/>
      <c r="F33" s="70"/>
      <c r="H33" s="34" t="s">
        <v>122</v>
      </c>
      <c r="I33" s="32"/>
    </row>
    <row r="34" spans="1:9" x14ac:dyDescent="0.25">
      <c r="A34" s="34" t="s">
        <v>123</v>
      </c>
      <c r="B34" s="76"/>
      <c r="C34" s="74"/>
      <c r="D34" s="75"/>
      <c r="E34" s="69"/>
      <c r="F34" s="70"/>
      <c r="H34" s="34"/>
      <c r="I34" s="32"/>
    </row>
    <row r="35" spans="1:9" ht="17.25" thickBot="1" x14ac:dyDescent="0.3">
      <c r="A35" s="34" t="s">
        <v>124</v>
      </c>
      <c r="B35" s="76"/>
      <c r="C35" s="74"/>
      <c r="D35" s="75"/>
      <c r="E35" s="77"/>
      <c r="F35" s="49"/>
      <c r="H35" s="78" t="s">
        <v>43</v>
      </c>
      <c r="I35" s="79">
        <v>4.4999999999999998E-2</v>
      </c>
    </row>
    <row r="36" spans="1:9" x14ac:dyDescent="0.25">
      <c r="A36" s="80"/>
      <c r="B36" s="81"/>
      <c r="C36" s="82"/>
      <c r="D36" s="83"/>
      <c r="E36" s="77"/>
      <c r="F36" s="49"/>
    </row>
    <row r="37" spans="1:9" x14ac:dyDescent="0.25">
      <c r="A37" s="34" t="s">
        <v>11</v>
      </c>
      <c r="B37" s="73">
        <f>I27</f>
        <v>0</v>
      </c>
      <c r="C37" s="74">
        <f>I28</f>
        <v>0</v>
      </c>
      <c r="D37" s="61">
        <f>C37*B37</f>
        <v>0</v>
      </c>
      <c r="E37" s="77"/>
      <c r="F37" s="49"/>
    </row>
    <row r="38" spans="1:9" x14ac:dyDescent="0.25">
      <c r="A38" s="80"/>
      <c r="B38" s="81"/>
      <c r="C38" s="82"/>
      <c r="D38" s="83"/>
      <c r="E38" s="77"/>
      <c r="F38" s="49"/>
    </row>
    <row r="39" spans="1:9" x14ac:dyDescent="0.25">
      <c r="A39" s="34" t="s">
        <v>125</v>
      </c>
      <c r="B39" s="66"/>
      <c r="C39" s="67"/>
      <c r="D39" s="72"/>
      <c r="E39" s="77"/>
      <c r="F39" s="49"/>
    </row>
    <row r="40" spans="1:9" x14ac:dyDescent="0.25">
      <c r="A40" s="34" t="s">
        <v>46</v>
      </c>
      <c r="B40" s="66"/>
      <c r="C40" s="67"/>
      <c r="D40" s="72"/>
      <c r="E40" s="77"/>
      <c r="F40" s="49"/>
    </row>
    <row r="41" spans="1:9" x14ac:dyDescent="0.25">
      <c r="A41" s="84" t="s">
        <v>25</v>
      </c>
      <c r="B41" s="31"/>
      <c r="C41" s="31"/>
      <c r="D41" s="48">
        <f>SUM(D20:D37)</f>
        <v>2008.4615384615386</v>
      </c>
      <c r="E41" s="77"/>
      <c r="F41" s="49"/>
    </row>
    <row r="42" spans="1:9" x14ac:dyDescent="0.25">
      <c r="A42" s="34"/>
      <c r="B42" s="85"/>
      <c r="C42" s="86"/>
      <c r="D42" s="86"/>
      <c r="E42" s="77"/>
      <c r="F42" s="49"/>
    </row>
    <row r="43" spans="1:9" ht="33" x14ac:dyDescent="0.25">
      <c r="A43" s="87" t="s">
        <v>126</v>
      </c>
      <c r="B43" s="88" t="s">
        <v>35</v>
      </c>
      <c r="C43" s="88" t="s">
        <v>15</v>
      </c>
      <c r="D43" s="88" t="s">
        <v>36</v>
      </c>
      <c r="E43" s="88" t="s">
        <v>15</v>
      </c>
      <c r="F43" s="89" t="s">
        <v>37</v>
      </c>
    </row>
    <row r="44" spans="1:9" x14ac:dyDescent="0.25">
      <c r="A44" s="90" t="s">
        <v>26</v>
      </c>
      <c r="B44" s="91"/>
      <c r="C44" s="92"/>
      <c r="D44" s="92"/>
      <c r="E44" s="92"/>
      <c r="F44" s="93"/>
    </row>
    <row r="45" spans="1:9" ht="21.75" customHeight="1" x14ac:dyDescent="0.25">
      <c r="A45" s="94" t="s">
        <v>127</v>
      </c>
      <c r="B45" s="95">
        <f>$D$41</f>
        <v>2008.4615384615386</v>
      </c>
      <c r="C45" s="96"/>
      <c r="D45" s="97"/>
      <c r="E45" s="98">
        <f>I19</f>
        <v>7.0000000000000007E-2</v>
      </c>
      <c r="F45" s="162">
        <f>+E45*B45</f>
        <v>140.59230769230771</v>
      </c>
    </row>
    <row r="46" spans="1:9" x14ac:dyDescent="0.25">
      <c r="A46" s="99" t="s">
        <v>128</v>
      </c>
      <c r="B46" s="81">
        <f>$I$22</f>
        <v>2008.4615384615386</v>
      </c>
      <c r="C46" s="100"/>
      <c r="D46" s="101"/>
      <c r="E46" s="102"/>
      <c r="F46" s="32"/>
    </row>
    <row r="47" spans="1:9" x14ac:dyDescent="0.25">
      <c r="A47" s="99" t="s">
        <v>129</v>
      </c>
      <c r="B47" s="81">
        <f>$I$23</f>
        <v>0</v>
      </c>
      <c r="C47" s="100"/>
      <c r="D47" s="101"/>
      <c r="E47" s="31"/>
      <c r="F47" s="103"/>
    </row>
    <row r="48" spans="1:9" x14ac:dyDescent="0.25">
      <c r="A48" s="99" t="s">
        <v>27</v>
      </c>
      <c r="B48" s="81">
        <f>D41</f>
        <v>2008.4615384615386</v>
      </c>
      <c r="C48" s="100">
        <f>I29</f>
        <v>0.01</v>
      </c>
      <c r="D48" s="101">
        <f>C48*B48</f>
        <v>20.084615384615386</v>
      </c>
      <c r="E48" s="357">
        <f>I30</f>
        <v>0.01</v>
      </c>
      <c r="F48" s="104">
        <f>E48*B48</f>
        <v>20.084615384615386</v>
      </c>
    </row>
    <row r="49" spans="1:7" x14ac:dyDescent="0.25">
      <c r="A49" s="84" t="s">
        <v>28</v>
      </c>
      <c r="B49" s="81">
        <f>$D$41</f>
        <v>2008.4615384615386</v>
      </c>
      <c r="C49" s="31"/>
      <c r="D49" s="81"/>
      <c r="E49" s="105">
        <f>I21</f>
        <v>2.7E-2</v>
      </c>
      <c r="F49" s="104">
        <f>+E49*B49</f>
        <v>54.228461538461538</v>
      </c>
    </row>
    <row r="50" spans="1:7" x14ac:dyDescent="0.25">
      <c r="A50" s="90" t="s">
        <v>29</v>
      </c>
      <c r="B50" s="91"/>
      <c r="C50" s="92"/>
      <c r="D50" s="92"/>
      <c r="E50" s="92"/>
      <c r="F50" s="93"/>
    </row>
    <row r="51" spans="1:7" x14ac:dyDescent="0.25">
      <c r="A51" s="99" t="s">
        <v>48</v>
      </c>
      <c r="B51" s="81">
        <f>$I$22</f>
        <v>2008.4615384615386</v>
      </c>
      <c r="C51" s="100">
        <v>6.9000000000000006E-2</v>
      </c>
      <c r="D51" s="101">
        <f>C51*B51</f>
        <v>138.58384615384617</v>
      </c>
      <c r="E51" s="105">
        <v>8.5500000000000007E-2</v>
      </c>
      <c r="F51" s="104">
        <f>E51*B51</f>
        <v>171.72346153846155</v>
      </c>
    </row>
    <row r="52" spans="1:7" x14ac:dyDescent="0.25">
      <c r="A52" s="99" t="s">
        <v>50</v>
      </c>
      <c r="B52" s="95">
        <f>$D$41</f>
        <v>2008.4615384615386</v>
      </c>
      <c r="C52" s="100">
        <v>4.0000000000000001E-3</v>
      </c>
      <c r="D52" s="101">
        <f t="shared" ref="D52:D55" si="0">C52*B52</f>
        <v>8.0338461538461541</v>
      </c>
      <c r="E52" s="105">
        <v>1.9E-2</v>
      </c>
      <c r="F52" s="104">
        <f t="shared" ref="F52:F54" si="1">E52*B52</f>
        <v>38.160769230769233</v>
      </c>
    </row>
    <row r="53" spans="1:7" x14ac:dyDescent="0.25">
      <c r="A53" s="99" t="s">
        <v>51</v>
      </c>
      <c r="B53" s="81">
        <f>$I$22</f>
        <v>2008.4615384615386</v>
      </c>
      <c r="C53" s="100">
        <v>4.0099999999999997E-2</v>
      </c>
      <c r="D53" s="101">
        <f t="shared" si="0"/>
        <v>80.539307692307688</v>
      </c>
      <c r="E53" s="105">
        <v>6.0100000000000001E-2</v>
      </c>
      <c r="F53" s="104">
        <f t="shared" si="1"/>
        <v>120.70853846153847</v>
      </c>
    </row>
    <row r="54" spans="1:7" x14ac:dyDescent="0.25">
      <c r="A54" s="99" t="s">
        <v>130</v>
      </c>
      <c r="B54" s="81">
        <f>$I$23</f>
        <v>0</v>
      </c>
      <c r="C54" s="100">
        <v>9.7199999999999995E-2</v>
      </c>
      <c r="D54" s="101">
        <f t="shared" si="0"/>
        <v>0</v>
      </c>
      <c r="E54" s="105">
        <v>0.1457</v>
      </c>
      <c r="F54" s="104">
        <f t="shared" si="1"/>
        <v>0</v>
      </c>
    </row>
    <row r="55" spans="1:7" x14ac:dyDescent="0.25">
      <c r="A55" s="99" t="s">
        <v>131</v>
      </c>
      <c r="B55" s="81">
        <f>I24</f>
        <v>0</v>
      </c>
      <c r="C55" s="100">
        <v>1.4E-3</v>
      </c>
      <c r="D55" s="101">
        <f t="shared" si="0"/>
        <v>0</v>
      </c>
      <c r="E55" s="105">
        <v>2.0999999999999999E-3</v>
      </c>
      <c r="F55" s="104">
        <f>E55*B55</f>
        <v>0</v>
      </c>
    </row>
    <row r="56" spans="1:7" x14ac:dyDescent="0.25">
      <c r="A56" s="99" t="s">
        <v>132</v>
      </c>
      <c r="B56" s="81"/>
      <c r="C56" s="100"/>
      <c r="D56" s="101"/>
      <c r="E56" s="31"/>
      <c r="F56" s="104">
        <f>E56*B56</f>
        <v>0</v>
      </c>
    </row>
    <row r="57" spans="1:7" x14ac:dyDescent="0.25">
      <c r="A57" s="106" t="s">
        <v>133</v>
      </c>
      <c r="B57" s="95">
        <f>$D$41</f>
        <v>2008.4615384615386</v>
      </c>
      <c r="C57" s="107"/>
      <c r="D57" s="81"/>
      <c r="E57" s="108">
        <f>+I20</f>
        <v>3.4500000000000003E-2</v>
      </c>
      <c r="F57" s="104">
        <f>E57*B57</f>
        <v>69.291923076923084</v>
      </c>
    </row>
    <row r="58" spans="1:7" x14ac:dyDescent="0.25">
      <c r="A58" s="90" t="s">
        <v>49</v>
      </c>
      <c r="B58" s="109"/>
      <c r="C58" s="109"/>
      <c r="D58" s="109"/>
      <c r="E58" s="109"/>
      <c r="F58" s="110"/>
      <c r="G58" s="295"/>
    </row>
    <row r="59" spans="1:7" x14ac:dyDescent="0.25">
      <c r="A59" s="99" t="s">
        <v>134</v>
      </c>
      <c r="B59" s="95">
        <f>$D$41</f>
        <v>2008.4615384615386</v>
      </c>
      <c r="C59" s="107"/>
      <c r="D59" s="81"/>
      <c r="E59" s="108">
        <v>4.2000000000000003E-2</v>
      </c>
      <c r="F59" s="104">
        <f t="shared" ref="F59:F60" si="2">E59*B59</f>
        <v>84.355384615384622</v>
      </c>
      <c r="G59" s="295"/>
    </row>
    <row r="60" spans="1:7" x14ac:dyDescent="0.25">
      <c r="A60" s="99" t="s">
        <v>135</v>
      </c>
      <c r="B60" s="81">
        <f>I25</f>
        <v>0</v>
      </c>
      <c r="C60" s="111">
        <v>2.4000000000000001E-4</v>
      </c>
      <c r="D60" s="81">
        <f>+C60*B60</f>
        <v>0</v>
      </c>
      <c r="E60" s="108">
        <v>3.6000000000000002E-4</v>
      </c>
      <c r="F60" s="104">
        <f t="shared" si="2"/>
        <v>0</v>
      </c>
      <c r="G60" s="295"/>
    </row>
    <row r="61" spans="1:7" x14ac:dyDescent="0.25">
      <c r="A61" s="90" t="s">
        <v>47</v>
      </c>
      <c r="B61" s="81"/>
      <c r="C61" s="107"/>
      <c r="D61" s="81"/>
      <c r="E61" s="108"/>
      <c r="F61" s="112">
        <f>D106</f>
        <v>33.059276923076929</v>
      </c>
    </row>
    <row r="62" spans="1:7" x14ac:dyDescent="0.25">
      <c r="A62" s="84"/>
      <c r="B62" s="81"/>
      <c r="C62" s="81"/>
      <c r="D62" s="81"/>
      <c r="E62" s="31"/>
      <c r="F62" s="32"/>
    </row>
    <row r="63" spans="1:7" x14ac:dyDescent="0.25">
      <c r="A63" s="113" t="s">
        <v>136</v>
      </c>
      <c r="B63" s="81"/>
      <c r="C63" s="81"/>
      <c r="D63" s="81"/>
      <c r="E63" s="31"/>
      <c r="F63" s="32"/>
    </row>
    <row r="64" spans="1:7" x14ac:dyDescent="0.25">
      <c r="A64" s="84"/>
      <c r="B64" s="81"/>
      <c r="C64" s="111"/>
      <c r="D64" s="81"/>
      <c r="E64" s="81"/>
      <c r="F64" s="112"/>
    </row>
    <row r="65" spans="1:6" x14ac:dyDescent="0.25">
      <c r="A65" s="84" t="s">
        <v>137</v>
      </c>
      <c r="B65" s="81">
        <f>($D$41*0.9825)+F46+F47+F48-D24-D25</f>
        <v>1993.398076923077</v>
      </c>
      <c r="C65" s="100">
        <v>6.8000000000000005E-2</v>
      </c>
      <c r="D65" s="101">
        <f>C65*B65</f>
        <v>135.55106923076926</v>
      </c>
      <c r="E65" s="81"/>
      <c r="F65" s="112"/>
    </row>
    <row r="66" spans="1:6" x14ac:dyDescent="0.25">
      <c r="A66" s="84" t="s">
        <v>138</v>
      </c>
      <c r="B66" s="81">
        <f>B65</f>
        <v>1993.398076923077</v>
      </c>
      <c r="C66" s="100">
        <v>2.9000000000000001E-2</v>
      </c>
      <c r="D66" s="101">
        <f>C66*B66</f>
        <v>57.808544230769236</v>
      </c>
      <c r="E66" s="114"/>
      <c r="F66" s="104"/>
    </row>
    <row r="67" spans="1:6" x14ac:dyDescent="0.25">
      <c r="A67" s="115" t="s">
        <v>139</v>
      </c>
      <c r="B67" s="81">
        <f>(D24+D25)*0.9825</f>
        <v>0</v>
      </c>
      <c r="C67" s="100">
        <v>9.7000000000000003E-2</v>
      </c>
      <c r="D67" s="101">
        <f>C67*B67</f>
        <v>0</v>
      </c>
      <c r="E67" s="105"/>
      <c r="F67" s="104"/>
    </row>
    <row r="68" spans="1:6" x14ac:dyDescent="0.25">
      <c r="A68" s="115" t="s">
        <v>140</v>
      </c>
      <c r="B68" s="81">
        <f>D24+D25</f>
        <v>0</v>
      </c>
      <c r="C68" s="100">
        <v>-0.11310000000000001</v>
      </c>
      <c r="D68" s="101">
        <f>C68*B68</f>
        <v>0</v>
      </c>
      <c r="E68" s="105"/>
      <c r="F68" s="104"/>
    </row>
    <row r="69" spans="1:6" x14ac:dyDescent="0.25">
      <c r="A69" s="115" t="s">
        <v>141</v>
      </c>
      <c r="B69" s="81"/>
      <c r="C69" s="100"/>
      <c r="D69" s="101"/>
      <c r="E69" s="105"/>
      <c r="F69" s="104">
        <f>-I26</f>
        <v>-418.47538461538511</v>
      </c>
    </row>
    <row r="70" spans="1:6" x14ac:dyDescent="0.25">
      <c r="A70" s="84" t="s">
        <v>142</v>
      </c>
      <c r="B70" s="116">
        <f>B24+B25</f>
        <v>0</v>
      </c>
      <c r="C70" s="31"/>
      <c r="D70" s="101"/>
      <c r="E70" s="101">
        <v>-1.5</v>
      </c>
      <c r="F70" s="112">
        <f>E70*B70</f>
        <v>0</v>
      </c>
    </row>
    <row r="71" spans="1:6" x14ac:dyDescent="0.25">
      <c r="A71" s="84" t="s">
        <v>30</v>
      </c>
      <c r="B71" s="101"/>
      <c r="C71" s="117"/>
      <c r="D71" s="118">
        <f>SUM(D45:D70)</f>
        <v>440.6012288461539</v>
      </c>
      <c r="E71" s="105"/>
      <c r="F71" s="119">
        <f>SUM(F45:F70)</f>
        <v>313.72935384615346</v>
      </c>
    </row>
    <row r="72" spans="1:6" x14ac:dyDescent="0.25">
      <c r="A72" s="84"/>
      <c r="B72" s="101"/>
      <c r="C72" s="117"/>
      <c r="D72" s="118"/>
      <c r="E72" s="31"/>
      <c r="F72" s="32"/>
    </row>
    <row r="73" spans="1:6" x14ac:dyDescent="0.25">
      <c r="A73" s="99" t="s">
        <v>143</v>
      </c>
      <c r="B73" s="101"/>
      <c r="C73" s="117"/>
      <c r="D73" s="120"/>
      <c r="E73" s="118"/>
      <c r="F73" s="119"/>
    </row>
    <row r="74" spans="1:6" x14ac:dyDescent="0.25">
      <c r="A74" s="99" t="s">
        <v>107</v>
      </c>
      <c r="B74" s="101"/>
      <c r="C74" s="117"/>
      <c r="D74" s="120"/>
      <c r="E74" s="118"/>
      <c r="F74" s="119"/>
    </row>
    <row r="75" spans="1:6" x14ac:dyDescent="0.25">
      <c r="A75" s="99" t="s">
        <v>144</v>
      </c>
      <c r="B75" s="101"/>
      <c r="C75" s="117"/>
      <c r="D75" s="120">
        <f>-E169</f>
        <v>-250.51713450000003</v>
      </c>
      <c r="E75" s="118"/>
      <c r="F75" s="119"/>
    </row>
    <row r="76" spans="1:6" x14ac:dyDescent="0.25">
      <c r="A76" s="99" t="s">
        <v>145</v>
      </c>
      <c r="B76" s="101"/>
      <c r="C76" s="117"/>
      <c r="D76" s="120"/>
      <c r="E76" s="118"/>
      <c r="F76" s="119"/>
    </row>
    <row r="77" spans="1:6" x14ac:dyDescent="0.25">
      <c r="A77" s="99"/>
      <c r="B77" s="101"/>
      <c r="C77" s="117"/>
      <c r="D77" s="120"/>
      <c r="E77" s="118"/>
      <c r="F77" s="119"/>
    </row>
    <row r="78" spans="1:6" x14ac:dyDescent="0.25">
      <c r="A78" s="99"/>
      <c r="B78" s="101"/>
      <c r="C78" s="117"/>
      <c r="D78" s="120"/>
      <c r="E78" s="118"/>
      <c r="F78" s="119"/>
    </row>
    <row r="79" spans="1:6" ht="15.75" customHeight="1" x14ac:dyDescent="0.25">
      <c r="A79" s="84"/>
      <c r="B79" s="101"/>
      <c r="C79" s="117"/>
      <c r="D79" s="118"/>
      <c r="E79" s="118"/>
      <c r="F79" s="119"/>
    </row>
    <row r="80" spans="1:6" x14ac:dyDescent="0.25">
      <c r="A80" s="121" t="s">
        <v>31</v>
      </c>
      <c r="B80" s="101"/>
      <c r="C80" s="117"/>
      <c r="D80" s="118"/>
      <c r="E80" s="118"/>
      <c r="F80" s="122">
        <f>+D41-D71+D75</f>
        <v>1317.3431751153846</v>
      </c>
    </row>
    <row r="81" spans="1:11" ht="33" x14ac:dyDescent="0.25">
      <c r="A81" s="84" t="s">
        <v>32</v>
      </c>
      <c r="B81" s="123"/>
      <c r="C81" s="124"/>
      <c r="D81" s="120"/>
      <c r="E81" s="120"/>
      <c r="F81" s="125">
        <f>D113</f>
        <v>29.378771153846152</v>
      </c>
    </row>
    <row r="82" spans="1:11" x14ac:dyDescent="0.25">
      <c r="A82" s="278" t="s">
        <v>33</v>
      </c>
      <c r="B82" s="278" t="s">
        <v>34</v>
      </c>
      <c r="C82" s="278" t="s">
        <v>15</v>
      </c>
      <c r="D82" s="279" t="s">
        <v>146</v>
      </c>
      <c r="E82" s="279"/>
      <c r="F82" s="280" t="s">
        <v>244</v>
      </c>
    </row>
    <row r="83" spans="1:11" x14ac:dyDescent="0.25">
      <c r="A83" s="281" t="s">
        <v>238</v>
      </c>
      <c r="B83" s="282"/>
      <c r="C83" s="283"/>
      <c r="D83" s="284">
        <f>+D41+F48+D66-D71</f>
        <v>1645.753469230769</v>
      </c>
      <c r="E83" s="285"/>
      <c r="F83" s="286"/>
      <c r="K83" s="276"/>
    </row>
    <row r="84" spans="1:11" x14ac:dyDescent="0.25">
      <c r="A84" s="281" t="s">
        <v>239</v>
      </c>
      <c r="B84" s="284">
        <f>+D83</f>
        <v>1645.753469230769</v>
      </c>
      <c r="C84" s="287">
        <f>+I35</f>
        <v>4.4999999999999998E-2</v>
      </c>
      <c r="D84" s="284">
        <f>B84*C84</f>
        <v>74.058906115384602</v>
      </c>
      <c r="E84" s="285"/>
      <c r="F84" s="286"/>
      <c r="I84" s="276"/>
      <c r="J84" s="277"/>
      <c r="K84" s="276"/>
    </row>
    <row r="85" spans="1:11" x14ac:dyDescent="0.25">
      <c r="A85" s="281" t="s">
        <v>240</v>
      </c>
      <c r="B85" s="282"/>
      <c r="C85" s="284"/>
      <c r="D85" s="283"/>
      <c r="E85" s="285"/>
      <c r="F85" s="286"/>
    </row>
    <row r="86" spans="1:11" x14ac:dyDescent="0.25">
      <c r="A86" s="281"/>
      <c r="B86" s="282"/>
      <c r="C86" s="283"/>
      <c r="D86" s="283"/>
      <c r="E86" s="285"/>
      <c r="F86" s="288"/>
    </row>
    <row r="87" spans="1:11" x14ac:dyDescent="0.25">
      <c r="A87" s="289" t="s">
        <v>241</v>
      </c>
      <c r="B87" s="283"/>
      <c r="C87" s="283"/>
      <c r="D87" s="284">
        <f>+F80-D84</f>
        <v>1243.284269</v>
      </c>
      <c r="E87" s="285"/>
      <c r="F87" s="286"/>
      <c r="K87" s="276"/>
    </row>
    <row r="88" spans="1:11" x14ac:dyDescent="0.25">
      <c r="A88" s="281" t="s">
        <v>242</v>
      </c>
      <c r="B88" s="283"/>
      <c r="C88" s="283"/>
      <c r="D88" s="284">
        <f>+D121</f>
        <v>575.13538461538519</v>
      </c>
      <c r="E88" s="285"/>
      <c r="F88" s="286"/>
    </row>
    <row r="89" spans="1:11" x14ac:dyDescent="0.25">
      <c r="A89" s="281" t="s">
        <v>243</v>
      </c>
      <c r="B89" s="290"/>
      <c r="C89" s="283"/>
      <c r="D89" s="284">
        <f>+F71+D41</f>
        <v>2322.1908923076921</v>
      </c>
      <c r="E89" s="285"/>
      <c r="F89" s="286"/>
    </row>
    <row r="90" spans="1:11" ht="17.25" thickBot="1" x14ac:dyDescent="0.3">
      <c r="A90" s="291" t="s">
        <v>149</v>
      </c>
      <c r="B90" s="292"/>
      <c r="C90" s="292"/>
      <c r="D90" s="292"/>
      <c r="E90" s="293"/>
      <c r="F90" s="294"/>
    </row>
    <row r="91" spans="1:11" x14ac:dyDescent="0.25">
      <c r="A91" s="99" t="s">
        <v>148</v>
      </c>
      <c r="B91" s="128">
        <f>D41-D24-D25+F48+D66+D67-D71</f>
        <v>1645.753469230769</v>
      </c>
      <c r="C91" s="129"/>
      <c r="D91" s="127"/>
      <c r="E91" s="127"/>
      <c r="F91" s="126"/>
    </row>
    <row r="92" spans="1:11" ht="17.25" thickBot="1" x14ac:dyDescent="0.3">
      <c r="A92" s="130" t="s">
        <v>149</v>
      </c>
      <c r="B92" s="131"/>
      <c r="C92" s="131"/>
      <c r="D92" s="131"/>
      <c r="E92" s="131"/>
      <c r="F92" s="132"/>
    </row>
    <row r="95" spans="1:11" ht="17.25" thickBot="1" x14ac:dyDescent="0.3">
      <c r="A95" s="311" t="s">
        <v>47</v>
      </c>
      <c r="B95" s="312"/>
      <c r="I95" s="133"/>
    </row>
    <row r="96" spans="1:11" x14ac:dyDescent="0.25">
      <c r="A96" s="23"/>
      <c r="B96" s="313">
        <f>+D41</f>
        <v>2008.4615384615386</v>
      </c>
      <c r="C96" s="316">
        <f>0.016%+0.3%+0.68%+0.55%</f>
        <v>1.5460000000000002E-2</v>
      </c>
      <c r="D96" s="319">
        <f>C96*B96</f>
        <v>31.05081538461539</v>
      </c>
      <c r="I96" s="133"/>
    </row>
    <row r="97" spans="1:9" x14ac:dyDescent="0.25">
      <c r="A97" s="24" t="s">
        <v>150</v>
      </c>
      <c r="B97" s="314"/>
      <c r="C97" s="317"/>
      <c r="D97" s="320"/>
      <c r="E97" s="133"/>
      <c r="F97" s="133"/>
      <c r="G97" s="133"/>
      <c r="I97" s="133"/>
    </row>
    <row r="98" spans="1:9" s="133" customFormat="1" x14ac:dyDescent="0.25">
      <c r="A98" s="24" t="s">
        <v>53</v>
      </c>
      <c r="B98" s="314"/>
      <c r="C98" s="317"/>
      <c r="D98" s="320"/>
      <c r="H98" s="29"/>
    </row>
    <row r="99" spans="1:9" s="133" customFormat="1" ht="15" x14ac:dyDescent="0.25">
      <c r="A99" s="24" t="s">
        <v>54</v>
      </c>
      <c r="B99" s="314"/>
      <c r="C99" s="317"/>
      <c r="D99" s="320"/>
    </row>
    <row r="100" spans="1:9" s="133" customFormat="1" ht="15" x14ac:dyDescent="0.25">
      <c r="A100" s="24" t="s">
        <v>55</v>
      </c>
      <c r="B100" s="314"/>
      <c r="C100" s="317"/>
      <c r="D100" s="320"/>
    </row>
    <row r="101" spans="1:9" s="133" customFormat="1" ht="15" x14ac:dyDescent="0.25">
      <c r="A101" s="24" t="s">
        <v>151</v>
      </c>
      <c r="B101" s="314"/>
      <c r="C101" s="317"/>
      <c r="D101" s="320"/>
    </row>
    <row r="102" spans="1:9" s="133" customFormat="1" ht="15.75" thickBot="1" x14ac:dyDescent="0.3">
      <c r="A102" s="25" t="s">
        <v>245</v>
      </c>
      <c r="B102" s="315"/>
      <c r="C102" s="318"/>
      <c r="D102" s="321"/>
    </row>
    <row r="103" spans="1:9" s="133" customFormat="1" ht="17.25" thickBot="1" x14ac:dyDescent="0.3">
      <c r="A103" s="29"/>
      <c r="B103" s="134"/>
      <c r="C103" s="134"/>
      <c r="D103" s="134"/>
    </row>
    <row r="104" spans="1:9" s="133" customFormat="1" ht="17.25" thickBot="1" x14ac:dyDescent="0.3">
      <c r="A104" s="135" t="s">
        <v>56</v>
      </c>
      <c r="B104" s="136">
        <f>I22</f>
        <v>2008.4615384615386</v>
      </c>
      <c r="C104" s="137">
        <v>1E-3</v>
      </c>
      <c r="D104" s="138">
        <f>C104*B104</f>
        <v>2.0084615384615385</v>
      </c>
    </row>
    <row r="105" spans="1:9" s="133" customFormat="1" ht="17.25" thickBot="1" x14ac:dyDescent="0.3">
      <c r="A105" s="29"/>
      <c r="B105" s="29"/>
      <c r="C105" s="29"/>
      <c r="D105" s="29"/>
    </row>
    <row r="106" spans="1:9" s="133" customFormat="1" ht="17.25" thickBot="1" x14ac:dyDescent="0.3">
      <c r="A106" s="139" t="s">
        <v>57</v>
      </c>
      <c r="B106" s="140"/>
      <c r="C106" s="140"/>
      <c r="D106" s="141">
        <f>D96+D104</f>
        <v>33.059276923076929</v>
      </c>
    </row>
    <row r="107" spans="1:9" s="133" customFormat="1" ht="17.25" thickBot="1" x14ac:dyDescent="0.3">
      <c r="A107" s="29"/>
      <c r="B107" s="29"/>
      <c r="C107" s="29"/>
      <c r="D107" s="29"/>
    </row>
    <row r="108" spans="1:9" s="133" customFormat="1" x14ac:dyDescent="0.25">
      <c r="A108" s="322" t="s">
        <v>58</v>
      </c>
      <c r="B108" s="323"/>
      <c r="C108" s="323"/>
      <c r="D108" s="324"/>
    </row>
    <row r="109" spans="1:9" s="133" customFormat="1" x14ac:dyDescent="0.25">
      <c r="A109" s="142" t="s">
        <v>59</v>
      </c>
      <c r="B109" s="143">
        <f>+D41</f>
        <v>2008.4615384615386</v>
      </c>
      <c r="C109" s="144">
        <v>2.4E-2</v>
      </c>
      <c r="D109" s="145">
        <f>C109*B109</f>
        <v>48.203076923076928</v>
      </c>
    </row>
    <row r="110" spans="1:9" s="133" customFormat="1" x14ac:dyDescent="0.25">
      <c r="A110" s="142" t="s">
        <v>60</v>
      </c>
      <c r="B110" s="143">
        <f>+B109</f>
        <v>2008.4615384615386</v>
      </c>
      <c r="C110" s="144">
        <v>7.4999999999999997E-3</v>
      </c>
      <c r="D110" s="145">
        <f t="shared" ref="D110:D111" si="3">C110*B110</f>
        <v>15.063461538461539</v>
      </c>
    </row>
    <row r="111" spans="1:9" s="133" customFormat="1" x14ac:dyDescent="0.25">
      <c r="A111" s="142" t="s">
        <v>61</v>
      </c>
      <c r="B111" s="143">
        <f>B66+B67</f>
        <v>1993.398076923077</v>
      </c>
      <c r="C111" s="144">
        <v>-1.7000000000000001E-2</v>
      </c>
      <c r="D111" s="145">
        <f t="shared" si="3"/>
        <v>-33.887767307692314</v>
      </c>
    </row>
    <row r="112" spans="1:9" s="133" customFormat="1" x14ac:dyDescent="0.25">
      <c r="A112" s="146"/>
      <c r="B112" s="147"/>
      <c r="C112" s="148"/>
      <c r="D112" s="149"/>
    </row>
    <row r="113" spans="1:9" s="133" customFormat="1" ht="17.25" thickBot="1" x14ac:dyDescent="0.3">
      <c r="A113" s="150" t="s">
        <v>62</v>
      </c>
      <c r="B113" s="151"/>
      <c r="C113" s="152"/>
      <c r="D113" s="153">
        <f>SUM(D109:D112)</f>
        <v>29.378771153846152</v>
      </c>
    </row>
    <row r="114" spans="1:9" s="133" customFormat="1" ht="15" x14ac:dyDescent="0.25"/>
    <row r="115" spans="1:9" s="133" customFormat="1" ht="15.75" thickBot="1" x14ac:dyDescent="0.3"/>
    <row r="116" spans="1:9" s="133" customFormat="1" ht="17.25" thickBot="1" x14ac:dyDescent="0.3">
      <c r="A116" s="325" t="s">
        <v>68</v>
      </c>
      <c r="B116" s="326"/>
      <c r="C116" s="326"/>
      <c r="D116" s="327"/>
    </row>
    <row r="117" spans="1:9" s="133" customFormat="1" x14ac:dyDescent="0.25">
      <c r="A117" s="154" t="s">
        <v>63</v>
      </c>
      <c r="B117" s="155"/>
      <c r="C117" s="155"/>
      <c r="D117" s="156">
        <f>I26</f>
        <v>418.47538461538511</v>
      </c>
    </row>
    <row r="118" spans="1:9" s="133" customFormat="1" x14ac:dyDescent="0.25">
      <c r="A118" s="142" t="s">
        <v>64</v>
      </c>
      <c r="B118" s="157">
        <f>B24+B25</f>
        <v>0</v>
      </c>
      <c r="C118" s="158">
        <v>1.5</v>
      </c>
      <c r="D118" s="159">
        <f>C118*B118</f>
        <v>0</v>
      </c>
    </row>
    <row r="119" spans="1:9" s="133" customFormat="1" x14ac:dyDescent="0.25">
      <c r="A119" s="142" t="s">
        <v>65</v>
      </c>
      <c r="B119" s="143">
        <f>+D41</f>
        <v>2008.4615384615386</v>
      </c>
      <c r="C119" s="144">
        <v>1.7999999999999999E-2</v>
      </c>
      <c r="D119" s="159">
        <f>C119*B119</f>
        <v>36.152307692307694</v>
      </c>
    </row>
    <row r="120" spans="1:9" s="133" customFormat="1" ht="15.75" customHeight="1" x14ac:dyDescent="0.25">
      <c r="A120" s="142" t="s">
        <v>66</v>
      </c>
      <c r="B120" s="143">
        <f>B119</f>
        <v>2008.4615384615386</v>
      </c>
      <c r="C120" s="144">
        <v>0.06</v>
      </c>
      <c r="D120" s="159">
        <f>C120*B120</f>
        <v>120.50769230769231</v>
      </c>
    </row>
    <row r="121" spans="1:9" s="133" customFormat="1" ht="15.75" customHeight="1" thickBot="1" x14ac:dyDescent="0.3">
      <c r="A121" s="150" t="s">
        <v>67</v>
      </c>
      <c r="B121" s="160"/>
      <c r="C121" s="160"/>
      <c r="D121" s="161">
        <f>SUM(D117:D120)</f>
        <v>575.13538461538519</v>
      </c>
    </row>
    <row r="122" spans="1:9" s="133" customFormat="1" ht="15.75" customHeight="1" x14ac:dyDescent="0.25">
      <c r="A122" s="29"/>
      <c r="B122" s="29"/>
      <c r="C122" s="29"/>
      <c r="D122" s="29"/>
      <c r="H122" s="29"/>
      <c r="I122" s="29"/>
    </row>
    <row r="123" spans="1:9" s="133" customFormat="1" ht="15.75" customHeight="1" x14ac:dyDescent="0.25">
      <c r="A123" s="29"/>
      <c r="B123" s="29"/>
      <c r="C123" s="29"/>
      <c r="D123" s="29"/>
      <c r="H123" s="29"/>
      <c r="I123" s="29"/>
    </row>
    <row r="124" spans="1:9" s="133" customFormat="1" ht="15.75" customHeight="1" x14ac:dyDescent="0.25">
      <c r="A124" s="227" t="s">
        <v>177</v>
      </c>
      <c r="B124" s="29"/>
      <c r="C124" s="29"/>
      <c r="D124" s="29"/>
      <c r="H124" s="29"/>
      <c r="I124" s="29"/>
    </row>
    <row r="125" spans="1:9" s="133" customFormat="1" ht="15.75" customHeight="1" thickBot="1" x14ac:dyDescent="0.3">
      <c r="A125" s="29"/>
      <c r="B125" s="29"/>
      <c r="C125" s="29"/>
      <c r="D125" s="29"/>
      <c r="H125" s="29"/>
      <c r="I125" s="29"/>
    </row>
    <row r="126" spans="1:9" s="133" customFormat="1" ht="15.75" customHeight="1" thickBot="1" x14ac:dyDescent="0.3">
      <c r="A126" s="325" t="s">
        <v>198</v>
      </c>
      <c r="B126" s="326"/>
      <c r="C126" s="326"/>
      <c r="D126" s="327"/>
      <c r="H126" s="29"/>
      <c r="I126" s="29"/>
    </row>
    <row r="127" spans="1:9" s="133" customFormat="1" ht="15.75" customHeight="1" x14ac:dyDescent="0.25">
      <c r="A127" s="154" t="s">
        <v>7</v>
      </c>
      <c r="B127" s="155"/>
      <c r="C127" s="155"/>
      <c r="D127" s="197">
        <v>2000</v>
      </c>
      <c r="H127" s="29"/>
      <c r="I127" s="29"/>
    </row>
    <row r="128" spans="1:9" s="133" customFormat="1" ht="15.75" customHeight="1" x14ac:dyDescent="0.25">
      <c r="A128" s="142" t="s">
        <v>179</v>
      </c>
      <c r="B128" s="157"/>
      <c r="C128" s="157"/>
      <c r="D128" s="198">
        <v>26</v>
      </c>
      <c r="H128" s="29"/>
      <c r="I128" s="29"/>
    </row>
    <row r="129" spans="1:9" s="133" customFormat="1" ht="15.75" customHeight="1" x14ac:dyDescent="0.25">
      <c r="A129" s="142" t="s">
        <v>180</v>
      </c>
      <c r="B129" s="157"/>
      <c r="C129" s="228" t="s">
        <v>181</v>
      </c>
      <c r="D129" s="203">
        <f>D127/D128</f>
        <v>76.92307692307692</v>
      </c>
      <c r="H129" s="29"/>
      <c r="I129" s="29"/>
    </row>
    <row r="130" spans="1:9" s="133" customFormat="1" ht="15.75" customHeight="1" thickBot="1" x14ac:dyDescent="0.3">
      <c r="A130" s="200" t="s">
        <v>182</v>
      </c>
      <c r="B130" s="160"/>
      <c r="C130" s="160"/>
      <c r="D130" s="201">
        <f>D129</f>
        <v>76.92307692307692</v>
      </c>
      <c r="H130" s="29"/>
      <c r="I130" s="29"/>
    </row>
    <row r="131" spans="1:9" s="133" customFormat="1" ht="15.75" customHeight="1" thickBot="1" x14ac:dyDescent="0.3">
      <c r="A131" s="29"/>
      <c r="B131" s="29"/>
      <c r="C131" s="29"/>
      <c r="D131" s="29"/>
      <c r="H131" s="29"/>
      <c r="I131" s="29"/>
    </row>
    <row r="132" spans="1:9" s="133" customFormat="1" ht="15.75" customHeight="1" thickBot="1" x14ac:dyDescent="0.3">
      <c r="A132" s="325" t="s">
        <v>183</v>
      </c>
      <c r="B132" s="326"/>
      <c r="C132" s="326"/>
      <c r="D132" s="327"/>
      <c r="H132" s="29"/>
      <c r="I132" s="29"/>
    </row>
    <row r="133" spans="1:9" s="133" customFormat="1" ht="15.75" customHeight="1" x14ac:dyDescent="0.25">
      <c r="A133" s="154" t="s">
        <v>206</v>
      </c>
      <c r="B133" s="155" t="s">
        <v>204</v>
      </c>
      <c r="C133" s="155"/>
      <c r="D133" s="223">
        <f>1850*7</f>
        <v>12950</v>
      </c>
      <c r="H133" s="29"/>
      <c r="I133" s="29"/>
    </row>
    <row r="134" spans="1:9" s="133" customFormat="1" ht="15.75" customHeight="1" x14ac:dyDescent="0.25">
      <c r="A134" s="142" t="s">
        <v>207</v>
      </c>
      <c r="B134" s="157" t="s">
        <v>205</v>
      </c>
      <c r="C134" s="157"/>
      <c r="D134" s="199">
        <f>1950*5</f>
        <v>9750</v>
      </c>
      <c r="H134" s="29"/>
      <c r="I134" s="29"/>
    </row>
    <row r="135" spans="1:9" s="133" customFormat="1" ht="15.75" customHeight="1" x14ac:dyDescent="0.25">
      <c r="A135" s="142" t="s">
        <v>208</v>
      </c>
      <c r="B135" s="157"/>
      <c r="C135" s="157"/>
      <c r="D135" s="199">
        <v>800</v>
      </c>
      <c r="H135" s="29"/>
      <c r="I135" s="29"/>
    </row>
    <row r="136" spans="1:9" s="133" customFormat="1" ht="15.75" customHeight="1" x14ac:dyDescent="0.25">
      <c r="A136" s="142" t="s">
        <v>184</v>
      </c>
      <c r="B136" s="157"/>
      <c r="C136" s="157"/>
      <c r="D136" s="199">
        <f>SUM(D133:D135)</f>
        <v>23500</v>
      </c>
      <c r="H136" s="29"/>
      <c r="I136" s="29"/>
    </row>
    <row r="137" spans="1:9" x14ac:dyDescent="0.25">
      <c r="A137" s="202" t="s">
        <v>188</v>
      </c>
      <c r="B137" s="157" t="s">
        <v>209</v>
      </c>
      <c r="C137" s="157"/>
      <c r="D137" s="199">
        <f>D136/10</f>
        <v>2350</v>
      </c>
    </row>
    <row r="138" spans="1:9" s="133" customFormat="1" ht="15.75" customHeight="1" x14ac:dyDescent="0.25">
      <c r="A138" s="142" t="s">
        <v>185</v>
      </c>
      <c r="B138" s="157"/>
      <c r="C138" s="157"/>
      <c r="D138" s="222" t="s">
        <v>186</v>
      </c>
      <c r="H138" s="29"/>
      <c r="I138" s="29"/>
    </row>
    <row r="139" spans="1:9" s="133" customFormat="1" ht="15.75" customHeight="1" x14ac:dyDescent="0.25">
      <c r="A139" s="142" t="s">
        <v>187</v>
      </c>
      <c r="B139" s="157"/>
      <c r="C139" s="228" t="s">
        <v>210</v>
      </c>
      <c r="D139" s="199">
        <f>D137/30</f>
        <v>78.333333333333329</v>
      </c>
      <c r="H139" s="29"/>
      <c r="I139" s="29"/>
    </row>
    <row r="140" spans="1:9" s="133" customFormat="1" ht="15.75" customHeight="1" thickBot="1" x14ac:dyDescent="0.3">
      <c r="A140" s="224" t="s">
        <v>212</v>
      </c>
      <c r="B140" s="225"/>
      <c r="C140" s="225"/>
      <c r="D140" s="226">
        <f>D139</f>
        <v>78.333333333333329</v>
      </c>
      <c r="H140" s="29"/>
      <c r="I140" s="29"/>
    </row>
    <row r="141" spans="1:9" s="133" customFormat="1" ht="15.75" customHeight="1" x14ac:dyDescent="0.25">
      <c r="A141" s="29"/>
      <c r="B141" s="29"/>
      <c r="C141" s="29"/>
      <c r="D141" s="29"/>
      <c r="H141" s="29"/>
      <c r="I141" s="29"/>
    </row>
    <row r="142" spans="1:9" s="133" customFormat="1" ht="15.75" customHeight="1" x14ac:dyDescent="0.25">
      <c r="A142" s="29"/>
      <c r="B142" s="29"/>
      <c r="C142" s="29"/>
      <c r="D142" s="29"/>
      <c r="H142" s="29"/>
      <c r="I142" s="29"/>
    </row>
    <row r="143" spans="1:9" s="133" customFormat="1" ht="15.75" customHeight="1" x14ac:dyDescent="0.25">
      <c r="A143" s="29"/>
      <c r="B143" s="29"/>
      <c r="C143" s="29"/>
      <c r="D143" s="29"/>
      <c r="H143" s="29"/>
      <c r="I143" s="29"/>
    </row>
    <row r="144" spans="1:9" s="133" customFormat="1" ht="15.75" customHeight="1" x14ac:dyDescent="0.25">
      <c r="A144" s="29"/>
      <c r="B144" s="29"/>
      <c r="C144" s="29"/>
      <c r="D144" s="29"/>
      <c r="H144" s="29"/>
      <c r="I144" s="29"/>
    </row>
    <row r="145" spans="1:9" s="133" customFormat="1" ht="15.75" customHeight="1" thickBot="1" x14ac:dyDescent="0.3">
      <c r="A145" s="309" t="s">
        <v>173</v>
      </c>
      <c r="B145" s="310"/>
      <c r="C145" s="310"/>
      <c r="D145" s="310"/>
      <c r="E145" s="310"/>
      <c r="F145" s="310"/>
      <c r="G145" s="310"/>
      <c r="H145" s="310"/>
      <c r="I145" s="29"/>
    </row>
    <row r="146" spans="1:9" s="133" customFormat="1" ht="15.75" customHeight="1" thickBot="1" x14ac:dyDescent="0.3">
      <c r="A146" s="173" t="s">
        <v>162</v>
      </c>
      <c r="B146" s="174">
        <v>0.31909999999999999</v>
      </c>
      <c r="C146" s="1"/>
      <c r="D146" s="1"/>
      <c r="E146" s="1"/>
      <c r="F146" s="1"/>
      <c r="G146" s="1"/>
      <c r="H146" s="1"/>
      <c r="I146" s="29"/>
    </row>
    <row r="147" spans="1:9" ht="17.25" thickBot="1" x14ac:dyDescent="0.3">
      <c r="A147" s="1"/>
      <c r="B147" s="1"/>
      <c r="C147" s="1"/>
      <c r="D147" s="1"/>
      <c r="E147" s="1"/>
      <c r="F147" s="1"/>
      <c r="G147" s="1"/>
      <c r="H147" s="1"/>
    </row>
    <row r="148" spans="1:9" ht="30" x14ac:dyDescent="0.25">
      <c r="A148" s="6" t="s">
        <v>76</v>
      </c>
      <c r="B148" s="4" t="s">
        <v>163</v>
      </c>
      <c r="C148" s="4" t="s">
        <v>164</v>
      </c>
      <c r="D148" s="170" t="s">
        <v>161</v>
      </c>
      <c r="E148" s="167" t="s">
        <v>165</v>
      </c>
      <c r="F148" s="167" t="s">
        <v>166</v>
      </c>
      <c r="G148" s="167" t="s">
        <v>167</v>
      </c>
      <c r="H148" s="168" t="s">
        <v>174</v>
      </c>
    </row>
    <row r="149" spans="1:9" x14ac:dyDescent="0.25">
      <c r="A149" s="7" t="s">
        <v>168</v>
      </c>
      <c r="B149" s="175">
        <v>2000</v>
      </c>
      <c r="C149" s="176">
        <f>B149</f>
        <v>2000</v>
      </c>
      <c r="D149" s="229">
        <f>1709.28</f>
        <v>1709.28</v>
      </c>
      <c r="E149" s="175">
        <f>+D149</f>
        <v>1709.28</v>
      </c>
      <c r="F149" s="177">
        <f>ROUND(($B$146/0.6)*((1.6*E149/C149)-1),4)</f>
        <v>0.19539999999999999</v>
      </c>
      <c r="G149" s="176">
        <f>IF(F149&gt;0,F149*C149,0)</f>
        <v>390.79999999999995</v>
      </c>
      <c r="H149" s="182">
        <f>G149</f>
        <v>390.79999999999995</v>
      </c>
    </row>
    <row r="150" spans="1:9" x14ac:dyDescent="0.25">
      <c r="A150" s="7" t="s">
        <v>169</v>
      </c>
      <c r="B150" s="175">
        <v>2000</v>
      </c>
      <c r="C150" s="176">
        <f>C149+B150</f>
        <v>4000</v>
      </c>
      <c r="D150" s="229">
        <f t="shared" ref="D150:D152" si="4">1709.28</f>
        <v>1709.28</v>
      </c>
      <c r="E150" s="175">
        <f>D150+E149</f>
        <v>3418.56</v>
      </c>
      <c r="F150" s="177">
        <f>ROUND(($B$146/0.6)*((1.6*E150/C150)-1),4)</f>
        <v>0.19539999999999999</v>
      </c>
      <c r="G150" s="176">
        <f t="shared" ref="G150:G153" si="5">IF(F150&gt;0,F150*C150,0)</f>
        <v>781.59999999999991</v>
      </c>
      <c r="H150" s="182">
        <f>G150-G149</f>
        <v>390.79999999999995</v>
      </c>
    </row>
    <row r="151" spans="1:9" x14ac:dyDescent="0.25">
      <c r="A151" s="7" t="s">
        <v>170</v>
      </c>
      <c r="B151" s="175">
        <v>2000</v>
      </c>
      <c r="C151" s="176">
        <f t="shared" ref="C151:C153" si="6">C150+B151</f>
        <v>6000</v>
      </c>
      <c r="D151" s="229">
        <f t="shared" si="4"/>
        <v>1709.28</v>
      </c>
      <c r="E151" s="175">
        <f t="shared" ref="E151:E153" si="7">D151+E150</f>
        <v>5127.84</v>
      </c>
      <c r="F151" s="177">
        <f>ROUND(($B$146/0.6)*((1.6*E151/C151)-1),4)</f>
        <v>0.19539999999999999</v>
      </c>
      <c r="G151" s="176">
        <f t="shared" si="5"/>
        <v>1172.3999999999999</v>
      </c>
      <c r="H151" s="182">
        <f t="shared" ref="H151:H153" si="8">G151-G150</f>
        <v>390.79999999999995</v>
      </c>
    </row>
    <row r="152" spans="1:9" x14ac:dyDescent="0.25">
      <c r="A152" s="7" t="s">
        <v>171</v>
      </c>
      <c r="B152" s="175">
        <v>2000</v>
      </c>
      <c r="C152" s="176">
        <f t="shared" si="6"/>
        <v>8000</v>
      </c>
      <c r="D152" s="229">
        <f t="shared" si="4"/>
        <v>1709.28</v>
      </c>
      <c r="E152" s="175">
        <f t="shared" si="7"/>
        <v>6837.12</v>
      </c>
      <c r="F152" s="177">
        <f>ROUND(($B$146/0.6)*((1.6*E152/C152)-1),4)</f>
        <v>0.19539999999999999</v>
      </c>
      <c r="G152" s="176">
        <f t="shared" si="5"/>
        <v>1563.1999999999998</v>
      </c>
      <c r="H152" s="182">
        <f t="shared" si="8"/>
        <v>390.79999999999995</v>
      </c>
    </row>
    <row r="153" spans="1:9" x14ac:dyDescent="0.25">
      <c r="A153" s="10" t="s">
        <v>172</v>
      </c>
      <c r="B153" s="178">
        <f>+D41</f>
        <v>2008.4615384615386</v>
      </c>
      <c r="C153" s="179">
        <f t="shared" si="6"/>
        <v>10008.461538461539</v>
      </c>
      <c r="D153" s="232">
        <v>1747.2</v>
      </c>
      <c r="E153" s="178">
        <f t="shared" si="7"/>
        <v>8584.32</v>
      </c>
      <c r="F153" s="177">
        <f>ROUND(($B$146/0.6)*((1.6*E153/C153)-1),4)</f>
        <v>0.19800000000000001</v>
      </c>
      <c r="G153" s="179">
        <f t="shared" si="5"/>
        <v>1981.6753846153849</v>
      </c>
      <c r="H153" s="205">
        <f t="shared" si="8"/>
        <v>418.47538461538511</v>
      </c>
    </row>
    <row r="156" spans="1:9" x14ac:dyDescent="0.25">
      <c r="A156" s="29" t="s">
        <v>253</v>
      </c>
    </row>
    <row r="157" spans="1:9" ht="17.25" thickBot="1" x14ac:dyDescent="0.3"/>
    <row r="158" spans="1:9" x14ac:dyDescent="0.25">
      <c r="A158" s="401" t="s">
        <v>348</v>
      </c>
      <c r="B158" s="371"/>
    </row>
    <row r="159" spans="1:9" x14ac:dyDescent="0.25">
      <c r="A159" s="34" t="s">
        <v>25</v>
      </c>
      <c r="B159" s="162">
        <f>D41</f>
        <v>2008.4615384615386</v>
      </c>
    </row>
    <row r="160" spans="1:9" x14ac:dyDescent="0.25">
      <c r="A160" s="34" t="s">
        <v>254</v>
      </c>
      <c r="B160" s="162">
        <f>D71</f>
        <v>440.6012288461539</v>
      </c>
    </row>
    <row r="161" spans="1:5" x14ac:dyDescent="0.25">
      <c r="A161" s="34" t="s">
        <v>255</v>
      </c>
      <c r="B161" s="162">
        <f>D84</f>
        <v>74.058906115384602</v>
      </c>
    </row>
    <row r="162" spans="1:5" ht="17.25" thickBot="1" x14ac:dyDescent="0.3">
      <c r="A162" s="78" t="s">
        <v>13</v>
      </c>
      <c r="B162" s="369">
        <f>B159-B160-B161</f>
        <v>1493.8014035000001</v>
      </c>
    </row>
    <row r="163" spans="1:5" ht="17.25" thickBot="1" x14ac:dyDescent="0.3"/>
    <row r="164" spans="1:5" ht="38.25" thickBot="1" x14ac:dyDescent="0.3">
      <c r="A164" s="345" t="s">
        <v>256</v>
      </c>
      <c r="B164" s="345" t="s">
        <v>257</v>
      </c>
      <c r="C164" s="345" t="s">
        <v>258</v>
      </c>
      <c r="D164" s="345" t="s">
        <v>259</v>
      </c>
      <c r="E164" s="345" t="s">
        <v>260</v>
      </c>
    </row>
    <row r="165" spans="1:5" ht="17.25" thickBot="1" x14ac:dyDescent="0.3">
      <c r="A165" s="346">
        <v>0</v>
      </c>
      <c r="B165" s="346" t="s">
        <v>261</v>
      </c>
      <c r="C165" s="348" t="s">
        <v>273</v>
      </c>
      <c r="D165" s="346" t="s">
        <v>262</v>
      </c>
      <c r="E165" s="347" t="s">
        <v>263</v>
      </c>
    </row>
    <row r="166" spans="1:5" ht="17.25" thickBot="1" x14ac:dyDescent="0.3">
      <c r="A166" s="346" t="s">
        <v>261</v>
      </c>
      <c r="B166" s="346" t="s">
        <v>264</v>
      </c>
      <c r="C166" s="349" t="s">
        <v>272</v>
      </c>
      <c r="D166" s="346" t="s">
        <v>265</v>
      </c>
      <c r="E166" s="347" t="s">
        <v>266</v>
      </c>
    </row>
    <row r="167" spans="1:5" ht="17.25" thickBot="1" x14ac:dyDescent="0.3">
      <c r="A167" s="346" t="s">
        <v>264</v>
      </c>
      <c r="B167" s="346" t="s">
        <v>267</v>
      </c>
      <c r="C167" s="349" t="s">
        <v>274</v>
      </c>
      <c r="D167" s="346" t="s">
        <v>268</v>
      </c>
      <c r="E167" s="347" t="s">
        <v>269</v>
      </c>
    </row>
    <row r="168" spans="1:5" ht="17.25" thickBot="1" x14ac:dyDescent="0.3">
      <c r="A168" s="346" t="s">
        <v>267</v>
      </c>
      <c r="B168" s="346" t="s">
        <v>270</v>
      </c>
      <c r="C168" s="349" t="s">
        <v>275</v>
      </c>
      <c r="D168" s="346" t="s">
        <v>271</v>
      </c>
      <c r="E168" s="353">
        <v>199.25</v>
      </c>
    </row>
    <row r="169" spans="1:5" ht="17.25" thickBot="1" x14ac:dyDescent="0.3">
      <c r="A169" s="351">
        <v>1340</v>
      </c>
      <c r="B169" s="350">
        <f>B162</f>
        <v>1493.8014035000001</v>
      </c>
      <c r="C169" s="349" t="s">
        <v>276</v>
      </c>
      <c r="D169" s="352">
        <f>(B169-A169)/3</f>
        <v>51.267134500000033</v>
      </c>
      <c r="E169" s="353">
        <f>D169+E168</f>
        <v>250.51713450000003</v>
      </c>
    </row>
  </sheetData>
  <mergeCells count="11">
    <mergeCell ref="B17:C17"/>
    <mergeCell ref="E17:F17"/>
    <mergeCell ref="A145:H145"/>
    <mergeCell ref="A95:B95"/>
    <mergeCell ref="B96:B102"/>
    <mergeCell ref="C96:C102"/>
    <mergeCell ref="D96:D102"/>
    <mergeCell ref="A108:D108"/>
    <mergeCell ref="A116:D116"/>
    <mergeCell ref="A126:D126"/>
    <mergeCell ref="A132:D132"/>
  </mergeCells>
  <phoneticPr fontId="6"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32DD1-0DD4-4075-8D7E-9A7B17175858}">
  <dimension ref="D1:E22"/>
  <sheetViews>
    <sheetView workbookViewId="0">
      <selection activeCell="D1" sqref="D1:E22"/>
    </sheetView>
  </sheetViews>
  <sheetFormatPr baseColWidth="10" defaultRowHeight="15" x14ac:dyDescent="0.25"/>
  <sheetData>
    <row r="1" spans="4:5" x14ac:dyDescent="0.25">
      <c r="D1" t="s">
        <v>71</v>
      </c>
      <c r="E1">
        <v>1</v>
      </c>
    </row>
    <row r="2" spans="4:5" x14ac:dyDescent="0.25">
      <c r="D2" t="s">
        <v>72</v>
      </c>
      <c r="E2">
        <v>2</v>
      </c>
    </row>
    <row r="3" spans="4:5" x14ac:dyDescent="0.25">
      <c r="D3" t="s">
        <v>73</v>
      </c>
      <c r="E3">
        <v>5</v>
      </c>
    </row>
    <row r="4" spans="4:5" x14ac:dyDescent="0.25">
      <c r="D4" t="s">
        <v>74</v>
      </c>
      <c r="E4">
        <v>6</v>
      </c>
    </row>
    <row r="5" spans="4:5" x14ac:dyDescent="0.25">
      <c r="D5" t="s">
        <v>75</v>
      </c>
      <c r="E5">
        <v>7</v>
      </c>
    </row>
    <row r="6" spans="4:5" x14ac:dyDescent="0.25">
      <c r="D6" t="s">
        <v>71</v>
      </c>
      <c r="E6">
        <v>8</v>
      </c>
    </row>
    <row r="7" spans="4:5" x14ac:dyDescent="0.25">
      <c r="D7" t="s">
        <v>72</v>
      </c>
      <c r="E7">
        <v>9</v>
      </c>
    </row>
    <row r="8" spans="4:5" x14ac:dyDescent="0.25">
      <c r="D8" t="s">
        <v>73</v>
      </c>
      <c r="E8">
        <v>12</v>
      </c>
    </row>
    <row r="9" spans="4:5" x14ac:dyDescent="0.25">
      <c r="D9" t="s">
        <v>74</v>
      </c>
      <c r="E9">
        <v>13</v>
      </c>
    </row>
    <row r="10" spans="4:5" x14ac:dyDescent="0.25">
      <c r="D10" t="s">
        <v>75</v>
      </c>
      <c r="E10">
        <v>14</v>
      </c>
    </row>
    <row r="11" spans="4:5" x14ac:dyDescent="0.25">
      <c r="D11" t="s">
        <v>71</v>
      </c>
      <c r="E11">
        <v>15</v>
      </c>
    </row>
    <row r="12" spans="4:5" x14ac:dyDescent="0.25">
      <c r="D12" t="s">
        <v>72</v>
      </c>
      <c r="E12">
        <v>16</v>
      </c>
    </row>
    <row r="13" spans="4:5" x14ac:dyDescent="0.25">
      <c r="D13" t="s">
        <v>73</v>
      </c>
      <c r="E13">
        <v>19</v>
      </c>
    </row>
    <row r="14" spans="4:5" x14ac:dyDescent="0.25">
      <c r="D14" t="s">
        <v>74</v>
      </c>
      <c r="E14">
        <v>20</v>
      </c>
    </row>
    <row r="15" spans="4:5" x14ac:dyDescent="0.25">
      <c r="D15" t="s">
        <v>75</v>
      </c>
      <c r="E15">
        <v>21</v>
      </c>
    </row>
    <row r="16" spans="4:5" x14ac:dyDescent="0.25">
      <c r="D16" t="s">
        <v>71</v>
      </c>
      <c r="E16">
        <v>22</v>
      </c>
    </row>
    <row r="17" spans="4:5" x14ac:dyDescent="0.25">
      <c r="D17" t="s">
        <v>72</v>
      </c>
      <c r="E17">
        <v>23</v>
      </c>
    </row>
    <row r="18" spans="4:5" x14ac:dyDescent="0.25">
      <c r="D18" t="s">
        <v>73</v>
      </c>
      <c r="E18">
        <v>26</v>
      </c>
    </row>
    <row r="19" spans="4:5" x14ac:dyDescent="0.25">
      <c r="D19" t="s">
        <v>74</v>
      </c>
      <c r="E19">
        <v>27</v>
      </c>
    </row>
    <row r="20" spans="4:5" x14ac:dyDescent="0.25">
      <c r="D20" t="s">
        <v>75</v>
      </c>
      <c r="E20">
        <v>28</v>
      </c>
    </row>
    <row r="21" spans="4:5" x14ac:dyDescent="0.25">
      <c r="D21" t="s">
        <v>71</v>
      </c>
      <c r="E21">
        <v>29</v>
      </c>
    </row>
    <row r="22" spans="4:5" x14ac:dyDescent="0.25">
      <c r="D22" t="s">
        <v>72</v>
      </c>
      <c r="E22">
        <v>30</v>
      </c>
    </row>
  </sheetData>
  <phoneticPr fontId="6"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2E597-E3E9-4AF3-AB10-8A45962AB606}">
  <dimension ref="A1:O141"/>
  <sheetViews>
    <sheetView topLeftCell="A46" zoomScale="75" zoomScaleNormal="75" workbookViewId="0">
      <selection activeCell="C141" sqref="C141"/>
    </sheetView>
  </sheetViews>
  <sheetFormatPr baseColWidth="10" defaultRowHeight="16.5" x14ac:dyDescent="0.25"/>
  <cols>
    <col min="1" max="1" width="91" style="29" customWidth="1"/>
    <col min="2" max="2" width="22.85546875" style="29" bestFit="1" customWidth="1"/>
    <col min="3" max="3" width="30.5703125" style="29" customWidth="1"/>
    <col min="4" max="4" width="34.140625" style="29" customWidth="1"/>
    <col min="5" max="5" width="12.5703125" style="29" customWidth="1"/>
    <col min="6" max="6" width="18.28515625" style="29" customWidth="1"/>
    <col min="7" max="7" width="12.85546875" style="29" bestFit="1" customWidth="1"/>
    <col min="8" max="8" width="58.28515625" style="29" bestFit="1" customWidth="1"/>
    <col min="9" max="9" width="13" style="29" bestFit="1" customWidth="1"/>
    <col min="10" max="10" width="12.85546875" style="29" bestFit="1" customWidth="1"/>
    <col min="11" max="11" width="11.42578125" style="29"/>
    <col min="12" max="12" width="12.140625" style="29" bestFit="1" customWidth="1"/>
    <col min="13" max="14" width="12" style="29" bestFit="1" customWidth="1"/>
    <col min="15" max="16384" width="11.42578125" style="29"/>
  </cols>
  <sheetData>
    <row r="1" spans="1:6" x14ac:dyDescent="0.25">
      <c r="A1" s="26" t="s">
        <v>78</v>
      </c>
      <c r="B1" s="27"/>
      <c r="C1" s="27"/>
      <c r="D1" s="27"/>
      <c r="E1" s="27"/>
      <c r="F1" s="28"/>
    </row>
    <row r="2" spans="1:6" x14ac:dyDescent="0.25">
      <c r="A2" s="30" t="s">
        <v>79</v>
      </c>
      <c r="B2" s="31"/>
      <c r="C2" s="31"/>
      <c r="D2" s="31" t="s">
        <v>80</v>
      </c>
      <c r="E2" s="31"/>
      <c r="F2" s="32" t="s">
        <v>233</v>
      </c>
    </row>
    <row r="3" spans="1:6" x14ac:dyDescent="0.25">
      <c r="A3" s="33" t="s">
        <v>81</v>
      </c>
      <c r="B3" s="31"/>
      <c r="C3" s="31"/>
      <c r="D3" s="31" t="s">
        <v>81</v>
      </c>
      <c r="E3" s="31"/>
      <c r="F3" s="32"/>
    </row>
    <row r="4" spans="1:6" x14ac:dyDescent="0.25">
      <c r="A4" s="33" t="s">
        <v>82</v>
      </c>
      <c r="B4" s="31"/>
      <c r="C4" s="31"/>
      <c r="D4" s="31" t="s">
        <v>234</v>
      </c>
      <c r="E4" s="31"/>
      <c r="F4" s="32"/>
    </row>
    <row r="5" spans="1:6" x14ac:dyDescent="0.25">
      <c r="A5" s="33" t="s">
        <v>83</v>
      </c>
      <c r="B5" s="31"/>
      <c r="C5" s="31"/>
      <c r="D5" s="31" t="s">
        <v>84</v>
      </c>
      <c r="E5" s="31"/>
      <c r="F5" s="32"/>
    </row>
    <row r="6" spans="1:6" x14ac:dyDescent="0.25">
      <c r="A6" s="33" t="s">
        <v>83</v>
      </c>
      <c r="B6" s="31"/>
      <c r="C6" s="31"/>
      <c r="D6" s="31" t="s">
        <v>85</v>
      </c>
      <c r="E6" s="31"/>
      <c r="F6" s="32"/>
    </row>
    <row r="7" spans="1:6" x14ac:dyDescent="0.25">
      <c r="A7" s="33" t="s">
        <v>86</v>
      </c>
      <c r="B7" s="31"/>
      <c r="C7" s="31"/>
      <c r="D7" s="31"/>
      <c r="E7" s="31"/>
      <c r="F7" s="32"/>
    </row>
    <row r="8" spans="1:6" x14ac:dyDescent="0.25">
      <c r="A8" s="33" t="s">
        <v>87</v>
      </c>
      <c r="B8" s="31"/>
      <c r="C8" s="31"/>
      <c r="D8" s="31" t="s">
        <v>88</v>
      </c>
      <c r="E8" s="31"/>
      <c r="F8" s="32"/>
    </row>
    <row r="9" spans="1:6" x14ac:dyDescent="0.25">
      <c r="A9" s="33" t="s">
        <v>89</v>
      </c>
      <c r="B9" s="31"/>
      <c r="C9" s="31"/>
      <c r="D9" s="31" t="s">
        <v>90</v>
      </c>
      <c r="E9" s="31"/>
      <c r="F9" s="32"/>
    </row>
    <row r="10" spans="1:6" x14ac:dyDescent="0.25">
      <c r="A10" s="33" t="s">
        <v>91</v>
      </c>
      <c r="B10" s="31"/>
      <c r="C10" s="31"/>
      <c r="D10" s="31" t="s">
        <v>92</v>
      </c>
      <c r="E10" s="31"/>
      <c r="F10" s="32"/>
    </row>
    <row r="11" spans="1:6" x14ac:dyDescent="0.25">
      <c r="A11" s="33" t="s">
        <v>93</v>
      </c>
      <c r="B11" s="31"/>
      <c r="C11" s="31"/>
      <c r="D11" s="31" t="s">
        <v>94</v>
      </c>
      <c r="E11" s="31"/>
      <c r="F11" s="32" t="s">
        <v>6</v>
      </c>
    </row>
    <row r="12" spans="1:6" x14ac:dyDescent="0.25">
      <c r="A12" s="33" t="s">
        <v>95</v>
      </c>
      <c r="B12" s="31"/>
      <c r="C12" s="31"/>
      <c r="D12" s="31" t="s">
        <v>96</v>
      </c>
      <c r="E12" s="31"/>
      <c r="F12" s="32"/>
    </row>
    <row r="13" spans="1:6" x14ac:dyDescent="0.25">
      <c r="A13" s="33" t="s">
        <v>97</v>
      </c>
      <c r="B13" s="31"/>
      <c r="C13" s="31"/>
      <c r="D13" s="31" t="s">
        <v>98</v>
      </c>
      <c r="E13" s="31"/>
      <c r="F13" s="32"/>
    </row>
    <row r="14" spans="1:6" x14ac:dyDescent="0.25">
      <c r="A14" s="33"/>
      <c r="B14" s="31"/>
      <c r="C14" s="31"/>
      <c r="D14" s="31" t="s">
        <v>99</v>
      </c>
      <c r="E14" s="31"/>
      <c r="F14" s="32"/>
    </row>
    <row r="15" spans="1:6" x14ac:dyDescent="0.25">
      <c r="A15" s="34"/>
      <c r="B15" s="31"/>
      <c r="C15" s="31"/>
      <c r="D15" s="31"/>
      <c r="E15" s="31"/>
      <c r="F15" s="32"/>
    </row>
    <row r="16" spans="1:6" x14ac:dyDescent="0.25">
      <c r="A16" s="34"/>
      <c r="B16" s="31"/>
      <c r="C16" s="31"/>
      <c r="D16" s="31"/>
      <c r="E16" s="31"/>
      <c r="F16" s="32"/>
    </row>
    <row r="17" spans="1:15" x14ac:dyDescent="0.25">
      <c r="A17" s="35" t="s">
        <v>100</v>
      </c>
      <c r="B17" s="328"/>
      <c r="C17" s="329"/>
      <c r="D17" s="36" t="s">
        <v>234</v>
      </c>
      <c r="E17" s="328"/>
      <c r="F17" s="330"/>
    </row>
    <row r="18" spans="1:15" ht="20.25" customHeight="1" thickBot="1" x14ac:dyDescent="0.3">
      <c r="A18" s="37" t="s">
        <v>101</v>
      </c>
      <c r="B18" s="38"/>
      <c r="C18" s="38"/>
      <c r="D18" s="38"/>
      <c r="E18" s="38"/>
      <c r="F18" s="39"/>
    </row>
    <row r="19" spans="1:15" ht="24" customHeight="1" x14ac:dyDescent="0.25">
      <c r="A19" s="40" t="s">
        <v>101</v>
      </c>
      <c r="B19" s="41" t="s">
        <v>102</v>
      </c>
      <c r="C19" s="41" t="s">
        <v>103</v>
      </c>
      <c r="D19" s="41" t="s">
        <v>104</v>
      </c>
      <c r="E19" s="42"/>
      <c r="F19" s="43"/>
      <c r="H19" s="44" t="s">
        <v>105</v>
      </c>
      <c r="I19" s="45"/>
    </row>
    <row r="20" spans="1:15" s="50" customFormat="1" x14ac:dyDescent="0.25">
      <c r="A20" s="34" t="s">
        <v>7</v>
      </c>
      <c r="B20" s="46">
        <v>151.66999999999999</v>
      </c>
      <c r="C20" s="47">
        <f>D20/151.67</f>
        <v>17.142480385046483</v>
      </c>
      <c r="D20" s="48">
        <v>2600</v>
      </c>
      <c r="E20" s="42"/>
      <c r="F20" s="49"/>
      <c r="H20" s="51" t="s">
        <v>106</v>
      </c>
      <c r="I20" s="52">
        <v>3.4500000000000003E-2</v>
      </c>
      <c r="J20" s="29"/>
      <c r="K20" s="29"/>
      <c r="L20" s="29"/>
      <c r="M20" s="29"/>
      <c r="N20" s="29"/>
      <c r="O20" s="29"/>
    </row>
    <row r="21" spans="1:15" s="50" customFormat="1" x14ac:dyDescent="0.25">
      <c r="A21" s="34" t="s">
        <v>107</v>
      </c>
      <c r="B21" s="46"/>
      <c r="C21" s="47"/>
      <c r="D21" s="53">
        <f>I31</f>
        <v>0</v>
      </c>
      <c r="E21" s="42"/>
      <c r="F21" s="49"/>
      <c r="H21" s="54" t="s">
        <v>108</v>
      </c>
      <c r="I21" s="55">
        <v>2.7E-2</v>
      </c>
      <c r="J21" s="29"/>
      <c r="K21" s="29"/>
      <c r="L21" s="29"/>
      <c r="M21" s="29"/>
      <c r="N21" s="29"/>
      <c r="O21" s="29"/>
    </row>
    <row r="22" spans="1:15" s="50" customFormat="1" x14ac:dyDescent="0.25">
      <c r="A22" s="34" t="s">
        <v>23</v>
      </c>
      <c r="B22" s="56"/>
      <c r="C22" s="57"/>
      <c r="D22" s="48">
        <f>-C22*B22</f>
        <v>0</v>
      </c>
      <c r="E22" s="42"/>
      <c r="F22" s="49"/>
      <c r="H22" s="34" t="s">
        <v>109</v>
      </c>
      <c r="I22" s="58">
        <f>D41</f>
        <v>2600</v>
      </c>
      <c r="J22" s="29"/>
      <c r="K22" s="29"/>
      <c r="L22" s="29"/>
      <c r="M22" s="29"/>
      <c r="N22" s="29"/>
      <c r="O22" s="29"/>
    </row>
    <row r="23" spans="1:15" s="50" customFormat="1" x14ac:dyDescent="0.25">
      <c r="A23" s="34"/>
      <c r="B23" s="46"/>
      <c r="C23" s="47"/>
      <c r="D23" s="31"/>
      <c r="E23" s="42"/>
      <c r="F23" s="49"/>
      <c r="H23" s="34" t="s">
        <v>110</v>
      </c>
      <c r="I23" s="58">
        <f>D41-I22</f>
        <v>0</v>
      </c>
      <c r="J23" s="29"/>
      <c r="K23" s="29"/>
      <c r="L23" s="29"/>
      <c r="M23" s="29"/>
      <c r="N23" s="29"/>
      <c r="O23" s="29"/>
    </row>
    <row r="24" spans="1:15" x14ac:dyDescent="0.25">
      <c r="A24" s="34" t="s">
        <v>111</v>
      </c>
      <c r="B24" s="59"/>
      <c r="C24" s="60">
        <f>D20/151.67*1.25</f>
        <v>21.428100481308103</v>
      </c>
      <c r="D24" s="61">
        <f>C24*B24</f>
        <v>0</v>
      </c>
      <c r="E24" s="42"/>
      <c r="F24" s="62"/>
      <c r="H24" s="34" t="s">
        <v>112</v>
      </c>
      <c r="I24" s="58"/>
    </row>
    <row r="25" spans="1:15" x14ac:dyDescent="0.25">
      <c r="A25" s="34" t="s">
        <v>24</v>
      </c>
      <c r="B25" s="59"/>
      <c r="C25" s="61">
        <f>D20/151.67*1.5</f>
        <v>25.713720577569724</v>
      </c>
      <c r="D25" s="61">
        <f>C25*B25</f>
        <v>0</v>
      </c>
      <c r="E25" s="42"/>
      <c r="F25" s="43"/>
      <c r="H25" s="34" t="s">
        <v>113</v>
      </c>
      <c r="I25" s="58"/>
    </row>
    <row r="26" spans="1:15" x14ac:dyDescent="0.25">
      <c r="A26" s="34"/>
      <c r="B26" s="31"/>
      <c r="C26" s="31"/>
      <c r="D26" s="31"/>
      <c r="E26" s="42"/>
      <c r="F26" s="43"/>
      <c r="H26" s="34" t="s">
        <v>114</v>
      </c>
      <c r="I26" s="58"/>
    </row>
    <row r="27" spans="1:15" x14ac:dyDescent="0.25">
      <c r="A27" s="34" t="s">
        <v>115</v>
      </c>
      <c r="B27" s="59"/>
      <c r="C27" s="63"/>
      <c r="D27" s="64">
        <f>C27*B27</f>
        <v>0</v>
      </c>
      <c r="E27" s="42"/>
      <c r="F27" s="43"/>
      <c r="H27" s="34" t="s">
        <v>116</v>
      </c>
      <c r="I27" s="58"/>
    </row>
    <row r="28" spans="1:15" x14ac:dyDescent="0.25">
      <c r="A28" s="34"/>
      <c r="B28" s="31"/>
      <c r="C28" s="31"/>
      <c r="D28" s="31"/>
      <c r="E28" s="42"/>
      <c r="F28" s="43"/>
      <c r="H28" s="34" t="s">
        <v>117</v>
      </c>
      <c r="I28" s="65"/>
    </row>
    <row r="29" spans="1:15" x14ac:dyDescent="0.25">
      <c r="A29" s="34"/>
      <c r="B29" s="66"/>
      <c r="C29" s="67"/>
      <c r="D29" s="68"/>
      <c r="E29" s="69"/>
      <c r="F29" s="70"/>
      <c r="H29" s="34" t="s">
        <v>40</v>
      </c>
      <c r="I29" s="58">
        <v>20</v>
      </c>
    </row>
    <row r="30" spans="1:15" x14ac:dyDescent="0.25">
      <c r="A30" s="34" t="s">
        <v>118</v>
      </c>
      <c r="B30" s="71"/>
      <c r="C30" s="72"/>
      <c r="D30" s="72">
        <f>-D31</f>
        <v>0</v>
      </c>
      <c r="E30" s="69"/>
      <c r="F30" s="70"/>
      <c r="H30" s="34" t="s">
        <v>41</v>
      </c>
      <c r="I30" s="58">
        <v>24</v>
      </c>
    </row>
    <row r="31" spans="1:15" x14ac:dyDescent="0.25">
      <c r="A31" s="34" t="s">
        <v>119</v>
      </c>
      <c r="B31" s="71"/>
      <c r="C31" s="72"/>
      <c r="D31" s="72">
        <f>+C31*-B31</f>
        <v>0</v>
      </c>
      <c r="E31" s="69"/>
      <c r="F31" s="70"/>
      <c r="H31" s="34" t="s">
        <v>107</v>
      </c>
      <c r="I31" s="58"/>
    </row>
    <row r="32" spans="1:15" x14ac:dyDescent="0.25">
      <c r="A32" s="34"/>
      <c r="B32" s="71"/>
      <c r="C32" s="31"/>
      <c r="D32" s="31"/>
      <c r="E32" s="69"/>
      <c r="F32" s="70"/>
      <c r="H32" s="34" t="s">
        <v>120</v>
      </c>
      <c r="I32" s="32"/>
    </row>
    <row r="33" spans="1:9" x14ac:dyDescent="0.25">
      <c r="A33" s="34" t="s">
        <v>121</v>
      </c>
      <c r="B33" s="76"/>
      <c r="C33" s="75">
        <f>D117</f>
        <v>123.80952380952381</v>
      </c>
      <c r="D33" s="75">
        <f>-C33*B33</f>
        <v>0</v>
      </c>
      <c r="E33" s="69"/>
      <c r="F33" s="70"/>
      <c r="H33" s="34" t="s">
        <v>122</v>
      </c>
      <c r="I33" s="58"/>
    </row>
    <row r="34" spans="1:9" x14ac:dyDescent="0.25">
      <c r="A34" s="34" t="s">
        <v>123</v>
      </c>
      <c r="B34" s="76"/>
      <c r="C34" s="209">
        <f>D111</f>
        <v>51.282051282051277</v>
      </c>
      <c r="D34" s="75">
        <f>-C34*B34</f>
        <v>0</v>
      </c>
      <c r="E34" s="69"/>
      <c r="F34" s="70"/>
      <c r="H34" s="34"/>
      <c r="I34" s="32"/>
    </row>
    <row r="35" spans="1:9" ht="17.25" thickBot="1" x14ac:dyDescent="0.3">
      <c r="A35" s="34" t="s">
        <v>124</v>
      </c>
      <c r="B35" s="76"/>
      <c r="C35" s="75">
        <f>D123</f>
        <v>123.80952380952381</v>
      </c>
      <c r="D35" s="75">
        <f>C35*B35</f>
        <v>0</v>
      </c>
      <c r="E35" s="77"/>
      <c r="F35" s="49"/>
      <c r="H35" s="78" t="s">
        <v>43</v>
      </c>
      <c r="I35" s="79">
        <v>0.13</v>
      </c>
    </row>
    <row r="36" spans="1:9" x14ac:dyDescent="0.25">
      <c r="A36" s="80"/>
      <c r="B36" s="81"/>
      <c r="C36" s="81"/>
      <c r="D36" s="83"/>
      <c r="E36" s="77"/>
      <c r="F36" s="49"/>
    </row>
    <row r="37" spans="1:9" x14ac:dyDescent="0.25">
      <c r="A37" s="34" t="s">
        <v>11</v>
      </c>
      <c r="B37" s="81"/>
      <c r="C37" s="81"/>
      <c r="D37" s="61">
        <f>C37*B37</f>
        <v>0</v>
      </c>
      <c r="E37" s="77"/>
      <c r="F37" s="49"/>
    </row>
    <row r="38" spans="1:9" x14ac:dyDescent="0.25">
      <c r="A38" s="80" t="s">
        <v>175</v>
      </c>
      <c r="B38" s="81"/>
      <c r="C38" s="82"/>
      <c r="D38" s="61"/>
      <c r="E38" s="77"/>
      <c r="F38" s="49"/>
    </row>
    <row r="39" spans="1:9" x14ac:dyDescent="0.25">
      <c r="A39" s="34" t="s">
        <v>125</v>
      </c>
      <c r="B39" s="66"/>
      <c r="C39" s="67"/>
      <c r="D39" s="72"/>
      <c r="E39" s="77"/>
      <c r="F39" s="49"/>
    </row>
    <row r="40" spans="1:9" x14ac:dyDescent="0.25">
      <c r="A40" s="34" t="s">
        <v>46</v>
      </c>
      <c r="B40" s="66"/>
      <c r="C40" s="67"/>
      <c r="D40" s="72"/>
      <c r="E40" s="77"/>
      <c r="F40" s="49"/>
    </row>
    <row r="41" spans="1:9" x14ac:dyDescent="0.25">
      <c r="A41" s="84" t="s">
        <v>25</v>
      </c>
      <c r="B41" s="31"/>
      <c r="C41" s="31"/>
      <c r="D41" s="48">
        <f>SUM(D20:D38)</f>
        <v>2600</v>
      </c>
      <c r="E41" s="77"/>
      <c r="F41" s="49"/>
    </row>
    <row r="42" spans="1:9" x14ac:dyDescent="0.25">
      <c r="A42" s="34"/>
      <c r="B42" s="85"/>
      <c r="C42" s="86"/>
      <c r="D42" s="86"/>
      <c r="E42" s="77"/>
      <c r="F42" s="49"/>
    </row>
    <row r="43" spans="1:9" ht="33" x14ac:dyDescent="0.25">
      <c r="A43" s="87" t="s">
        <v>126</v>
      </c>
      <c r="B43" s="88" t="s">
        <v>35</v>
      </c>
      <c r="C43" s="88" t="s">
        <v>15</v>
      </c>
      <c r="D43" s="88" t="s">
        <v>36</v>
      </c>
      <c r="E43" s="88" t="s">
        <v>15</v>
      </c>
      <c r="F43" s="89" t="s">
        <v>37</v>
      </c>
    </row>
    <row r="44" spans="1:9" x14ac:dyDescent="0.25">
      <c r="A44" s="90" t="s">
        <v>26</v>
      </c>
      <c r="B44" s="91"/>
      <c r="C44" s="92"/>
      <c r="D44" s="92"/>
      <c r="E44" s="92"/>
      <c r="F44" s="93"/>
    </row>
    <row r="45" spans="1:9" ht="21.75" customHeight="1" x14ac:dyDescent="0.25">
      <c r="A45" s="94" t="s">
        <v>127</v>
      </c>
      <c r="B45" s="95">
        <f>$D$41</f>
        <v>2600</v>
      </c>
      <c r="C45" s="96"/>
      <c r="D45" s="97"/>
      <c r="E45" s="98">
        <v>7.0000000000000007E-2</v>
      </c>
      <c r="F45" s="162">
        <f>+E45*B45</f>
        <v>182.00000000000003</v>
      </c>
    </row>
    <row r="46" spans="1:9" x14ac:dyDescent="0.25">
      <c r="A46" s="99" t="s">
        <v>128</v>
      </c>
      <c r="B46" s="81"/>
      <c r="C46" s="100"/>
      <c r="D46" s="101"/>
      <c r="E46" s="102">
        <v>1.4999999999999999E-2</v>
      </c>
      <c r="F46" s="162">
        <f>+E46*B46</f>
        <v>0</v>
      </c>
    </row>
    <row r="47" spans="1:9" x14ac:dyDescent="0.25">
      <c r="A47" s="99" t="s">
        <v>129</v>
      </c>
      <c r="B47" s="81">
        <f>$I$23</f>
        <v>0</v>
      </c>
      <c r="C47" s="100"/>
      <c r="D47" s="101"/>
      <c r="E47" s="31"/>
      <c r="F47" s="103"/>
    </row>
    <row r="48" spans="1:9" x14ac:dyDescent="0.25">
      <c r="A48" s="99" t="s">
        <v>27</v>
      </c>
      <c r="B48" s="81">
        <f>D41</f>
        <v>2600</v>
      </c>
      <c r="C48" s="100">
        <v>0.01</v>
      </c>
      <c r="D48" s="101">
        <f>C48*B48</f>
        <v>26</v>
      </c>
      <c r="E48" s="357">
        <v>0.01</v>
      </c>
      <c r="F48" s="104">
        <f>E48*B48</f>
        <v>26</v>
      </c>
    </row>
    <row r="49" spans="1:6" x14ac:dyDescent="0.25">
      <c r="A49" s="84" t="s">
        <v>28</v>
      </c>
      <c r="B49" s="81">
        <f>$D$41</f>
        <v>2600</v>
      </c>
      <c r="C49" s="31"/>
      <c r="D49" s="81"/>
      <c r="E49" s="105">
        <f>I21</f>
        <v>2.7E-2</v>
      </c>
      <c r="F49" s="104">
        <f>+E49*B49</f>
        <v>70.2</v>
      </c>
    </row>
    <row r="50" spans="1:6" x14ac:dyDescent="0.25">
      <c r="A50" s="90" t="s">
        <v>29</v>
      </c>
      <c r="B50" s="91"/>
      <c r="C50" s="92"/>
      <c r="D50" s="92"/>
      <c r="E50" s="92"/>
      <c r="F50" s="93"/>
    </row>
    <row r="51" spans="1:6" x14ac:dyDescent="0.25">
      <c r="A51" s="99" t="s">
        <v>48</v>
      </c>
      <c r="B51" s="81">
        <f>$I$22</f>
        <v>2600</v>
      </c>
      <c r="C51" s="100">
        <v>6.9000000000000006E-2</v>
      </c>
      <c r="D51" s="101">
        <f>C51*B51</f>
        <v>179.4</v>
      </c>
      <c r="E51" s="105">
        <v>8.5500000000000007E-2</v>
      </c>
      <c r="F51" s="104">
        <f>E51*B51</f>
        <v>222.3</v>
      </c>
    </row>
    <row r="52" spans="1:6" x14ac:dyDescent="0.25">
      <c r="A52" s="99" t="s">
        <v>50</v>
      </c>
      <c r="B52" s="95">
        <f>$D$41</f>
        <v>2600</v>
      </c>
      <c r="C52" s="100">
        <v>4.0000000000000001E-3</v>
      </c>
      <c r="D52" s="101">
        <f t="shared" ref="D52:D55" si="0">C52*B52</f>
        <v>10.4</v>
      </c>
      <c r="E52" s="105">
        <v>1.9E-2</v>
      </c>
      <c r="F52" s="104">
        <f t="shared" ref="F52:F54" si="1">E52*B52</f>
        <v>49.4</v>
      </c>
    </row>
    <row r="53" spans="1:6" x14ac:dyDescent="0.25">
      <c r="A53" s="99" t="s">
        <v>51</v>
      </c>
      <c r="B53" s="81">
        <f>$I$22</f>
        <v>2600</v>
      </c>
      <c r="C53" s="100">
        <v>4.0099999999999997E-2</v>
      </c>
      <c r="D53" s="101">
        <f t="shared" si="0"/>
        <v>104.25999999999999</v>
      </c>
      <c r="E53" s="105">
        <v>6.0100000000000001E-2</v>
      </c>
      <c r="F53" s="104">
        <f t="shared" si="1"/>
        <v>156.26</v>
      </c>
    </row>
    <row r="54" spans="1:6" x14ac:dyDescent="0.25">
      <c r="A54" s="99" t="s">
        <v>130</v>
      </c>
      <c r="B54" s="81">
        <f>$I$23</f>
        <v>0</v>
      </c>
      <c r="C54" s="100">
        <v>9.7199999999999995E-2</v>
      </c>
      <c r="D54" s="101">
        <f t="shared" si="0"/>
        <v>0</v>
      </c>
      <c r="E54" s="105">
        <v>0.1457</v>
      </c>
      <c r="F54" s="104">
        <f t="shared" si="1"/>
        <v>0</v>
      </c>
    </row>
    <row r="55" spans="1:6" x14ac:dyDescent="0.25">
      <c r="A55" s="99" t="s">
        <v>131</v>
      </c>
      <c r="B55" s="81">
        <f>I24</f>
        <v>0</v>
      </c>
      <c r="C55" s="100">
        <v>1.4E-3</v>
      </c>
      <c r="D55" s="101">
        <f t="shared" si="0"/>
        <v>0</v>
      </c>
      <c r="E55" s="105">
        <v>2.0999999999999999E-3</v>
      </c>
      <c r="F55" s="104">
        <f>E55*B55</f>
        <v>0</v>
      </c>
    </row>
    <row r="56" spans="1:6" x14ac:dyDescent="0.25">
      <c r="A56" s="99" t="s">
        <v>132</v>
      </c>
      <c r="B56" s="81"/>
      <c r="C56" s="100"/>
      <c r="D56" s="101"/>
      <c r="E56" s="31"/>
      <c r="F56" s="104">
        <f>E56*B56</f>
        <v>0</v>
      </c>
    </row>
    <row r="57" spans="1:6" x14ac:dyDescent="0.25">
      <c r="A57" s="106" t="s">
        <v>133</v>
      </c>
      <c r="B57" s="95">
        <f>$D$41</f>
        <v>2600</v>
      </c>
      <c r="C57" s="107"/>
      <c r="D57" s="81"/>
      <c r="E57" s="108">
        <f>+I20</f>
        <v>3.4500000000000003E-2</v>
      </c>
      <c r="F57" s="104">
        <f>E57*B57</f>
        <v>89.7</v>
      </c>
    </row>
    <row r="58" spans="1:6" x14ac:dyDescent="0.25">
      <c r="A58" s="90" t="s">
        <v>49</v>
      </c>
      <c r="B58" s="109"/>
      <c r="C58" s="109"/>
      <c r="D58" s="109"/>
      <c r="E58" s="109"/>
      <c r="F58" s="110"/>
    </row>
    <row r="59" spans="1:6" x14ac:dyDescent="0.25">
      <c r="A59" s="99" t="s">
        <v>134</v>
      </c>
      <c r="B59" s="95">
        <f>$D$41</f>
        <v>2600</v>
      </c>
      <c r="C59" s="107"/>
      <c r="D59" s="81"/>
      <c r="E59" s="108">
        <v>4.2000000000000003E-2</v>
      </c>
      <c r="F59" s="104">
        <f t="shared" ref="F59:F60" si="2">E59*B59</f>
        <v>109.2</v>
      </c>
    </row>
    <row r="60" spans="1:6" x14ac:dyDescent="0.25">
      <c r="A60" s="99" t="s">
        <v>135</v>
      </c>
      <c r="B60" s="81">
        <f>I25</f>
        <v>0</v>
      </c>
      <c r="C60" s="111">
        <v>2.4000000000000001E-4</v>
      </c>
      <c r="D60" s="81">
        <f>+C60*B60</f>
        <v>0</v>
      </c>
      <c r="E60" s="108">
        <v>3.6000000000000002E-4</v>
      </c>
      <c r="F60" s="104">
        <f t="shared" si="2"/>
        <v>0</v>
      </c>
    </row>
    <row r="61" spans="1:6" x14ac:dyDescent="0.25">
      <c r="A61" s="90" t="s">
        <v>47</v>
      </c>
      <c r="B61" s="81"/>
      <c r="C61" s="107"/>
      <c r="D61" s="81"/>
      <c r="E61" s="108"/>
      <c r="F61" s="112">
        <f>D86</f>
        <v>42.796000000000006</v>
      </c>
    </row>
    <row r="62" spans="1:6" x14ac:dyDescent="0.25">
      <c r="A62" s="84"/>
      <c r="B62" s="81"/>
      <c r="C62" s="81"/>
      <c r="D62" s="81"/>
      <c r="E62" s="31"/>
      <c r="F62" s="32"/>
    </row>
    <row r="63" spans="1:6" x14ac:dyDescent="0.25">
      <c r="A63" s="113" t="s">
        <v>136</v>
      </c>
      <c r="B63" s="81"/>
      <c r="C63" s="81"/>
      <c r="D63" s="81"/>
      <c r="E63" s="31"/>
      <c r="F63" s="32"/>
    </row>
    <row r="64" spans="1:6" x14ac:dyDescent="0.25">
      <c r="A64" s="84"/>
      <c r="B64" s="81"/>
      <c r="C64" s="111"/>
      <c r="D64" s="81"/>
      <c r="E64" s="81"/>
      <c r="F64" s="112"/>
    </row>
    <row r="65" spans="1:9" x14ac:dyDescent="0.25">
      <c r="A65" s="84" t="s">
        <v>137</v>
      </c>
      <c r="B65" s="81">
        <f>($D$41*0.9825)+F46+F47+F48</f>
        <v>2580.5</v>
      </c>
      <c r="C65" s="100">
        <v>6.8000000000000005E-2</v>
      </c>
      <c r="D65" s="101">
        <f>C65*B65</f>
        <v>175.47400000000002</v>
      </c>
      <c r="E65" s="81"/>
      <c r="F65" s="112"/>
    </row>
    <row r="66" spans="1:9" x14ac:dyDescent="0.25">
      <c r="A66" s="84" t="s">
        <v>138</v>
      </c>
      <c r="B66" s="81">
        <f>B65</f>
        <v>2580.5</v>
      </c>
      <c r="C66" s="100">
        <v>2.9000000000000001E-2</v>
      </c>
      <c r="D66" s="101">
        <f>C66*B66</f>
        <v>74.834500000000006</v>
      </c>
      <c r="E66" s="114"/>
      <c r="F66" s="104"/>
    </row>
    <row r="67" spans="1:9" x14ac:dyDescent="0.25">
      <c r="A67" s="115" t="s">
        <v>139</v>
      </c>
      <c r="B67" s="81">
        <f>(D24+D25)*0.9825</f>
        <v>0</v>
      </c>
      <c r="C67" s="100">
        <v>9.7000000000000003E-2</v>
      </c>
      <c r="D67" s="101">
        <f>C67*B67</f>
        <v>0</v>
      </c>
      <c r="E67" s="105"/>
      <c r="F67" s="104"/>
    </row>
    <row r="68" spans="1:9" x14ac:dyDescent="0.25">
      <c r="A68" s="115" t="s">
        <v>140</v>
      </c>
      <c r="B68" s="81">
        <f>D24+D25</f>
        <v>0</v>
      </c>
      <c r="C68" s="100">
        <v>-0.11310000000000001</v>
      </c>
      <c r="D68" s="101">
        <f>C68*B68</f>
        <v>0</v>
      </c>
      <c r="E68" s="105"/>
      <c r="F68" s="104"/>
    </row>
    <row r="69" spans="1:9" x14ac:dyDescent="0.25">
      <c r="A69" s="115" t="s">
        <v>141</v>
      </c>
      <c r="B69" s="81"/>
      <c r="C69" s="100"/>
      <c r="D69" s="101"/>
      <c r="E69" s="105"/>
      <c r="F69" s="104">
        <f>-H135</f>
        <v>-104.25999999999993</v>
      </c>
    </row>
    <row r="70" spans="1:9" x14ac:dyDescent="0.25">
      <c r="A70" s="84" t="s">
        <v>142</v>
      </c>
      <c r="B70" s="116">
        <f>B24+B25</f>
        <v>0</v>
      </c>
      <c r="C70" s="31"/>
      <c r="D70" s="101"/>
      <c r="E70" s="101">
        <v>-1.5</v>
      </c>
      <c r="F70" s="112">
        <f>E70*B70</f>
        <v>0</v>
      </c>
    </row>
    <row r="71" spans="1:9" x14ac:dyDescent="0.25">
      <c r="A71" s="84" t="s">
        <v>30</v>
      </c>
      <c r="B71" s="101"/>
      <c r="C71" s="117"/>
      <c r="D71" s="118">
        <f>SUM(D45:D70)</f>
        <v>570.36850000000004</v>
      </c>
      <c r="E71" s="105"/>
      <c r="F71" s="119">
        <f>SUM(F45:F70)</f>
        <v>843.59600000000023</v>
      </c>
    </row>
    <row r="72" spans="1:9" x14ac:dyDescent="0.25">
      <c r="A72" s="84"/>
      <c r="B72" s="101"/>
      <c r="C72" s="117"/>
      <c r="D72" s="118"/>
      <c r="E72" s="31"/>
      <c r="F72" s="32"/>
    </row>
    <row r="73" spans="1:9" ht="17.25" thickBot="1" x14ac:dyDescent="0.3"/>
    <row r="74" spans="1:9" ht="19.5" thickBot="1" x14ac:dyDescent="0.3">
      <c r="A74" s="402" t="s">
        <v>289</v>
      </c>
      <c r="B74" s="403" t="s">
        <v>290</v>
      </c>
      <c r="C74" s="404">
        <f>D71/D41</f>
        <v>0.21937250000000003</v>
      </c>
    </row>
    <row r="75" spans="1:9" ht="17.25" hidden="1" thickBot="1" x14ac:dyDescent="0.3">
      <c r="A75" s="311" t="s">
        <v>47</v>
      </c>
      <c r="B75" s="312"/>
      <c r="I75" s="133"/>
    </row>
    <row r="76" spans="1:9" hidden="1" x14ac:dyDescent="0.25">
      <c r="A76" s="23"/>
      <c r="B76" s="331">
        <f>+D41</f>
        <v>2600</v>
      </c>
      <c r="C76" s="316">
        <f>0.016%+0.3%+0.68%+0.55%</f>
        <v>1.5460000000000002E-2</v>
      </c>
      <c r="D76" s="334">
        <f>C76*B76</f>
        <v>40.196000000000005</v>
      </c>
      <c r="I76" s="133"/>
    </row>
    <row r="77" spans="1:9" hidden="1" x14ac:dyDescent="0.25">
      <c r="A77" s="24" t="s">
        <v>150</v>
      </c>
      <c r="B77" s="332"/>
      <c r="C77" s="317"/>
      <c r="D77" s="335"/>
      <c r="E77" s="133"/>
      <c r="F77" s="133"/>
      <c r="G77" s="133"/>
      <c r="I77" s="133"/>
    </row>
    <row r="78" spans="1:9" s="133" customFormat="1" hidden="1" x14ac:dyDescent="0.25">
      <c r="A78" s="24" t="s">
        <v>53</v>
      </c>
      <c r="B78" s="332"/>
      <c r="C78" s="317"/>
      <c r="D78" s="335"/>
      <c r="H78" s="29"/>
    </row>
    <row r="79" spans="1:9" s="133" customFormat="1" ht="15" hidden="1" x14ac:dyDescent="0.25">
      <c r="A79" s="24" t="s">
        <v>54</v>
      </c>
      <c r="B79" s="332"/>
      <c r="C79" s="317"/>
      <c r="D79" s="335"/>
    </row>
    <row r="80" spans="1:9" s="133" customFormat="1" ht="15" hidden="1" x14ac:dyDescent="0.25">
      <c r="A80" s="24" t="s">
        <v>55</v>
      </c>
      <c r="B80" s="332"/>
      <c r="C80" s="317"/>
      <c r="D80" s="335"/>
    </row>
    <row r="81" spans="1:4" s="133" customFormat="1" ht="15" hidden="1" x14ac:dyDescent="0.25">
      <c r="A81" s="24" t="s">
        <v>151</v>
      </c>
      <c r="B81" s="332"/>
      <c r="C81" s="317"/>
      <c r="D81" s="335"/>
    </row>
    <row r="82" spans="1:4" s="133" customFormat="1" ht="15.75" hidden="1" thickBot="1" x14ac:dyDescent="0.3">
      <c r="A82" s="25"/>
      <c r="B82" s="333"/>
      <c r="C82" s="318"/>
      <c r="D82" s="336"/>
    </row>
    <row r="83" spans="1:4" s="133" customFormat="1" ht="17.25" hidden="1" thickBot="1" x14ac:dyDescent="0.3">
      <c r="A83" s="29"/>
      <c r="B83" s="134"/>
      <c r="C83" s="134"/>
      <c r="D83" s="134"/>
    </row>
    <row r="84" spans="1:4" s="133" customFormat="1" ht="17.25" hidden="1" thickBot="1" x14ac:dyDescent="0.3">
      <c r="A84" s="135" t="s">
        <v>56</v>
      </c>
      <c r="B84" s="136">
        <f>I22</f>
        <v>2600</v>
      </c>
      <c r="C84" s="137">
        <v>1E-3</v>
      </c>
      <c r="D84" s="138">
        <f>C84*B84</f>
        <v>2.6</v>
      </c>
    </row>
    <row r="85" spans="1:4" s="133" customFormat="1" ht="17.25" hidden="1" thickBot="1" x14ac:dyDescent="0.3">
      <c r="A85" s="29"/>
      <c r="B85" s="29"/>
      <c r="C85" s="29"/>
      <c r="D85" s="29"/>
    </row>
    <row r="86" spans="1:4" s="133" customFormat="1" ht="17.25" hidden="1" thickBot="1" x14ac:dyDescent="0.3">
      <c r="A86" s="139" t="s">
        <v>57</v>
      </c>
      <c r="B86" s="140"/>
      <c r="C86" s="140"/>
      <c r="D86" s="141">
        <f>D76+D84</f>
        <v>42.796000000000006</v>
      </c>
    </row>
    <row r="87" spans="1:4" s="133" customFormat="1" ht="17.25" hidden="1" thickBot="1" x14ac:dyDescent="0.3">
      <c r="A87" s="29"/>
      <c r="B87" s="29"/>
      <c r="C87" s="29"/>
      <c r="D87" s="29"/>
    </row>
    <row r="88" spans="1:4" s="133" customFormat="1" hidden="1" x14ac:dyDescent="0.25">
      <c r="A88" s="322" t="s">
        <v>58</v>
      </c>
      <c r="B88" s="323"/>
      <c r="C88" s="323"/>
      <c r="D88" s="324"/>
    </row>
    <row r="89" spans="1:4" s="133" customFormat="1" hidden="1" x14ac:dyDescent="0.25">
      <c r="A89" s="142" t="s">
        <v>59</v>
      </c>
      <c r="B89" s="143">
        <f>+D41</f>
        <v>2600</v>
      </c>
      <c r="C89" s="144">
        <v>2.4E-2</v>
      </c>
      <c r="D89" s="145">
        <f>C89*B89</f>
        <v>62.4</v>
      </c>
    </row>
    <row r="90" spans="1:4" s="133" customFormat="1" hidden="1" x14ac:dyDescent="0.25">
      <c r="A90" s="142" t="s">
        <v>60</v>
      </c>
      <c r="B90" s="143">
        <f>+B89</f>
        <v>2600</v>
      </c>
      <c r="C90" s="144">
        <v>7.4999999999999997E-3</v>
      </c>
      <c r="D90" s="145">
        <f t="shared" ref="D90:D91" si="3">C90*B90</f>
        <v>19.5</v>
      </c>
    </row>
    <row r="91" spans="1:4" s="133" customFormat="1" hidden="1" x14ac:dyDescent="0.25">
      <c r="A91" s="142" t="s">
        <v>61</v>
      </c>
      <c r="B91" s="143">
        <f>B66+B67</f>
        <v>2580.5</v>
      </c>
      <c r="C91" s="144">
        <v>-1.7000000000000001E-2</v>
      </c>
      <c r="D91" s="145">
        <f t="shared" si="3"/>
        <v>-43.868500000000004</v>
      </c>
    </row>
    <row r="92" spans="1:4" s="133" customFormat="1" hidden="1" x14ac:dyDescent="0.25">
      <c r="A92" s="146"/>
      <c r="B92" s="147"/>
      <c r="C92" s="148"/>
      <c r="D92" s="149"/>
    </row>
    <row r="93" spans="1:4" s="133" customFormat="1" ht="17.25" hidden="1" thickBot="1" x14ac:dyDescent="0.3">
      <c r="A93" s="150" t="s">
        <v>62</v>
      </c>
      <c r="B93" s="151"/>
      <c r="C93" s="152"/>
      <c r="D93" s="153">
        <f>SUM(D89:D92)</f>
        <v>38.031500000000001</v>
      </c>
    </row>
    <row r="94" spans="1:4" s="133" customFormat="1" ht="15" hidden="1" x14ac:dyDescent="0.25"/>
    <row r="95" spans="1:4" s="133" customFormat="1" ht="15.75" hidden="1" thickBot="1" x14ac:dyDescent="0.3"/>
    <row r="96" spans="1:4" s="133" customFormat="1" ht="17.25" hidden="1" thickBot="1" x14ac:dyDescent="0.3">
      <c r="A96" s="325" t="s">
        <v>68</v>
      </c>
      <c r="B96" s="326"/>
      <c r="C96" s="326"/>
      <c r="D96" s="327"/>
    </row>
    <row r="97" spans="1:12" s="133" customFormat="1" hidden="1" x14ac:dyDescent="0.25">
      <c r="A97" s="154" t="s">
        <v>63</v>
      </c>
      <c r="B97" s="155"/>
      <c r="C97" s="155"/>
      <c r="D97" s="156">
        <f>+H135</f>
        <v>104.25999999999993</v>
      </c>
    </row>
    <row r="98" spans="1:12" s="133" customFormat="1" hidden="1" x14ac:dyDescent="0.25">
      <c r="A98" s="142" t="s">
        <v>64</v>
      </c>
      <c r="B98" s="157">
        <f>B24+B25</f>
        <v>0</v>
      </c>
      <c r="C98" s="158">
        <v>1.5</v>
      </c>
      <c r="D98" s="159">
        <f>C98*B98</f>
        <v>0</v>
      </c>
    </row>
    <row r="99" spans="1:12" s="133" customFormat="1" hidden="1" x14ac:dyDescent="0.25">
      <c r="A99" s="142" t="s">
        <v>65</v>
      </c>
      <c r="B99" s="143">
        <f>+D41</f>
        <v>2600</v>
      </c>
      <c r="C99" s="144">
        <v>1.7999999999999999E-2</v>
      </c>
      <c r="D99" s="159">
        <f>C99*B99</f>
        <v>46.8</v>
      </c>
    </row>
    <row r="100" spans="1:12" s="133" customFormat="1" ht="15.75" hidden="1" customHeight="1" x14ac:dyDescent="0.25">
      <c r="A100" s="142" t="s">
        <v>66</v>
      </c>
      <c r="B100" s="143">
        <f>B99</f>
        <v>2600</v>
      </c>
      <c r="C100" s="144">
        <v>0.06</v>
      </c>
      <c r="D100" s="159">
        <f>C100*B100</f>
        <v>156</v>
      </c>
    </row>
    <row r="101" spans="1:12" s="133" customFormat="1" ht="15.75" hidden="1" customHeight="1" thickBot="1" x14ac:dyDescent="0.3">
      <c r="A101" s="150" t="s">
        <v>67</v>
      </c>
      <c r="B101" s="160"/>
      <c r="C101" s="160"/>
      <c r="D101" s="161">
        <f>SUM(D97:D100)</f>
        <v>307.05999999999995</v>
      </c>
    </row>
    <row r="102" spans="1:12" s="133" customFormat="1" ht="15.75" hidden="1" customHeight="1" x14ac:dyDescent="0.25">
      <c r="A102" s="29"/>
      <c r="B102" s="29"/>
      <c r="C102" s="29"/>
      <c r="D102" s="29"/>
    </row>
    <row r="103" spans="1:12" ht="23.25" hidden="1" x14ac:dyDescent="0.25">
      <c r="A103" s="169" t="s">
        <v>189</v>
      </c>
      <c r="B103" s="164"/>
      <c r="C103" s="164"/>
      <c r="D103" s="164"/>
      <c r="E103" s="133"/>
      <c r="F103" s="133"/>
      <c r="G103" s="133"/>
      <c r="H103" s="133"/>
      <c r="I103" s="133"/>
      <c r="J103" s="1"/>
      <c r="K103" s="1"/>
    </row>
    <row r="104" spans="1:12" hidden="1" x14ac:dyDescent="0.25">
      <c r="A104" s="1"/>
      <c r="B104" s="1"/>
      <c r="C104" s="1"/>
      <c r="D104" s="1"/>
      <c r="E104" s="1"/>
      <c r="F104" s="1"/>
      <c r="G104" s="1"/>
      <c r="H104" s="1"/>
      <c r="I104" s="1"/>
      <c r="J104" s="1"/>
      <c r="K104" s="1"/>
    </row>
    <row r="105" spans="1:12" ht="17.25" hidden="1" thickBot="1" x14ac:dyDescent="0.3">
      <c r="A105" s="172" t="s">
        <v>222</v>
      </c>
      <c r="B105" s="1"/>
      <c r="C105" s="1"/>
      <c r="D105" s="1"/>
      <c r="E105" s="1"/>
      <c r="F105" s="1"/>
      <c r="G105" s="1"/>
      <c r="H105" s="1"/>
      <c r="I105" s="1"/>
      <c r="J105" s="1"/>
      <c r="K105" s="1"/>
    </row>
    <row r="106" spans="1:12" ht="17.25" hidden="1" thickBot="1" x14ac:dyDescent="0.3">
      <c r="A106" s="6" t="s">
        <v>277</v>
      </c>
      <c r="B106" s="239" t="s">
        <v>223</v>
      </c>
      <c r="C106" s="239"/>
      <c r="D106" s="185" t="s">
        <v>278</v>
      </c>
      <c r="E106" s="1"/>
      <c r="F106" s="1"/>
      <c r="G106" s="1"/>
      <c r="H106" s="1"/>
      <c r="I106" s="1"/>
      <c r="J106" s="1"/>
      <c r="K106" s="1"/>
    </row>
    <row r="107" spans="1:12" ht="17.25" hidden="1" thickBot="1" x14ac:dyDescent="0.3">
      <c r="A107" s="6" t="s">
        <v>277</v>
      </c>
      <c r="B107" s="354" t="s">
        <v>279</v>
      </c>
      <c r="C107" s="354"/>
      <c r="D107" s="185" t="s">
        <v>280</v>
      </c>
      <c r="E107" s="1"/>
      <c r="F107" s="1"/>
      <c r="G107" s="1"/>
      <c r="H107" s="1"/>
      <c r="I107" s="1"/>
      <c r="J107" s="1"/>
      <c r="K107" s="1"/>
    </row>
    <row r="108" spans="1:12" hidden="1" x14ac:dyDescent="0.25">
      <c r="A108" s="6" t="s">
        <v>277</v>
      </c>
      <c r="B108" s="177" t="s">
        <v>221</v>
      </c>
      <c r="C108" s="177"/>
      <c r="D108" s="14" t="s">
        <v>278</v>
      </c>
      <c r="E108" s="1"/>
      <c r="F108" s="1"/>
      <c r="G108" s="1"/>
      <c r="H108" s="1"/>
      <c r="I108" s="1"/>
      <c r="J108" s="1"/>
      <c r="K108" s="1"/>
    </row>
    <row r="109" spans="1:12" ht="17.25" hidden="1" thickBot="1" x14ac:dyDescent="0.3">
      <c r="A109" s="1"/>
      <c r="B109" s="1"/>
      <c r="C109" s="1"/>
      <c r="D109" s="1"/>
      <c r="E109" s="1"/>
      <c r="F109" s="1"/>
      <c r="G109" s="1"/>
      <c r="H109" s="1"/>
      <c r="I109" s="1"/>
      <c r="J109" s="1"/>
      <c r="K109" s="1"/>
    </row>
    <row r="110" spans="1:12" hidden="1" x14ac:dyDescent="0.25">
      <c r="A110" s="322" t="s">
        <v>190</v>
      </c>
      <c r="B110" s="323"/>
      <c r="C110" s="323"/>
      <c r="D110" s="324"/>
      <c r="E110" s="1"/>
      <c r="F110" s="1"/>
      <c r="G110" s="1"/>
      <c r="H110" s="1"/>
      <c r="I110" s="1"/>
      <c r="J110" s="1"/>
      <c r="K110" s="1"/>
      <c r="L110" s="1"/>
    </row>
    <row r="111" spans="1:12" hidden="1" x14ac:dyDescent="0.25">
      <c r="A111" s="206" t="s">
        <v>190</v>
      </c>
      <c r="B111" s="207" t="s">
        <v>284</v>
      </c>
      <c r="C111" s="207"/>
      <c r="D111" s="208">
        <f>2600/30.42*0.6</f>
        <v>51.282051282051277</v>
      </c>
      <c r="E111" s="1"/>
      <c r="F111" s="1"/>
      <c r="G111" s="1"/>
      <c r="H111" s="1"/>
      <c r="I111" s="1"/>
      <c r="J111" s="1"/>
      <c r="K111" s="1"/>
      <c r="L111" s="1"/>
    </row>
    <row r="112" spans="1:12" ht="17.25" hidden="1" thickBot="1" x14ac:dyDescent="0.3">
      <c r="A112" s="233" t="s">
        <v>191</v>
      </c>
      <c r="B112" s="234" t="s">
        <v>285</v>
      </c>
      <c r="C112" s="234"/>
      <c r="D112" s="236">
        <f>D111*8</f>
        <v>410.25641025641022</v>
      </c>
      <c r="E112" s="1"/>
      <c r="F112" s="1"/>
      <c r="G112" s="1"/>
      <c r="H112" s="1"/>
      <c r="I112" s="1"/>
      <c r="J112" s="1"/>
      <c r="K112" s="1"/>
      <c r="L112" s="1"/>
    </row>
    <row r="113" spans="1:12" hidden="1" x14ac:dyDescent="0.25">
      <c r="E113" s="1"/>
      <c r="F113" s="1"/>
      <c r="G113" s="1"/>
      <c r="H113" s="1"/>
      <c r="I113" s="1"/>
      <c r="J113" s="1"/>
      <c r="K113" s="1"/>
      <c r="L113" s="1"/>
    </row>
    <row r="114" spans="1:12" ht="17.25" hidden="1" thickBot="1" x14ac:dyDescent="0.3"/>
    <row r="115" spans="1:12" hidden="1" x14ac:dyDescent="0.25">
      <c r="A115" s="322" t="s">
        <v>193</v>
      </c>
      <c r="B115" s="323"/>
      <c r="C115" s="323"/>
      <c r="D115" s="324"/>
    </row>
    <row r="116" spans="1:12" hidden="1" x14ac:dyDescent="0.25">
      <c r="A116" s="142" t="s">
        <v>216</v>
      </c>
      <c r="B116" s="157"/>
      <c r="C116" s="157"/>
      <c r="D116" s="198">
        <v>21</v>
      </c>
    </row>
    <row r="117" spans="1:12" hidden="1" x14ac:dyDescent="0.25">
      <c r="A117" s="142" t="s">
        <v>192</v>
      </c>
      <c r="B117" s="157" t="s">
        <v>217</v>
      </c>
      <c r="C117" s="157"/>
      <c r="D117" s="199">
        <v>123.80952380952381</v>
      </c>
    </row>
    <row r="118" spans="1:12" hidden="1" x14ac:dyDescent="0.25">
      <c r="A118" s="142" t="s">
        <v>218</v>
      </c>
      <c r="B118" s="157"/>
      <c r="C118" s="157" t="s">
        <v>281</v>
      </c>
      <c r="D118" s="235" t="s">
        <v>278</v>
      </c>
      <c r="E118" s="134" t="s">
        <v>282</v>
      </c>
      <c r="F118" s="134"/>
    </row>
    <row r="119" spans="1:12" ht="17.25" hidden="1" thickBot="1" x14ac:dyDescent="0.3">
      <c r="A119" s="233" t="s">
        <v>219</v>
      </c>
      <c r="B119" s="234" t="s">
        <v>283</v>
      </c>
      <c r="C119" s="234"/>
      <c r="D119" s="236">
        <f>6*D117</f>
        <v>742.85714285714289</v>
      </c>
    </row>
    <row r="120" spans="1:12" ht="17.25" hidden="1" thickBot="1" x14ac:dyDescent="0.3"/>
    <row r="121" spans="1:12" hidden="1" x14ac:dyDescent="0.25">
      <c r="A121" s="322" t="s">
        <v>124</v>
      </c>
      <c r="B121" s="323"/>
      <c r="C121" s="323"/>
      <c r="D121" s="324"/>
      <c r="E121" s="1"/>
      <c r="F121" s="1"/>
      <c r="G121" s="1"/>
      <c r="H121" s="1"/>
      <c r="I121" s="1"/>
      <c r="J121" s="1"/>
      <c r="K121" s="1"/>
      <c r="L121" s="1"/>
    </row>
    <row r="122" spans="1:12" hidden="1" x14ac:dyDescent="0.25">
      <c r="A122" s="142" t="s">
        <v>218</v>
      </c>
      <c r="B122" s="157"/>
      <c r="C122" s="157" t="s">
        <v>281</v>
      </c>
      <c r="D122" s="235" t="s">
        <v>278</v>
      </c>
      <c r="E122" s="1"/>
      <c r="F122" s="1"/>
      <c r="G122" s="1"/>
      <c r="H122" s="1"/>
      <c r="I122" s="1"/>
      <c r="J122" s="1"/>
      <c r="K122" s="1"/>
      <c r="L122" s="1"/>
    </row>
    <row r="123" spans="1:12" hidden="1" x14ac:dyDescent="0.25">
      <c r="A123" s="142" t="s">
        <v>192</v>
      </c>
      <c r="B123" s="157"/>
      <c r="C123" s="157"/>
      <c r="D123" s="145">
        <f>D117</f>
        <v>123.80952380952381</v>
      </c>
    </row>
    <row r="124" spans="1:12" ht="17.25" hidden="1" thickBot="1" x14ac:dyDescent="0.3">
      <c r="A124" s="233" t="s">
        <v>221</v>
      </c>
      <c r="B124" s="234" t="s">
        <v>286</v>
      </c>
      <c r="C124" s="234"/>
      <c r="D124" s="236">
        <f>6*D123</f>
        <v>742.85714285714289</v>
      </c>
      <c r="E124" s="134"/>
      <c r="F124" s="134"/>
    </row>
    <row r="125" spans="1:12" hidden="1" x14ac:dyDescent="0.25"/>
    <row r="126" spans="1:12" hidden="1" x14ac:dyDescent="0.25"/>
    <row r="127" spans="1:12" ht="21.75" hidden="1" thickBot="1" x14ac:dyDescent="0.3">
      <c r="A127" s="309" t="s">
        <v>173</v>
      </c>
      <c r="B127" s="310"/>
      <c r="C127" s="310"/>
      <c r="D127" s="310"/>
      <c r="E127" s="310"/>
      <c r="F127" s="310"/>
      <c r="G127" s="310"/>
      <c r="H127" s="310"/>
    </row>
    <row r="128" spans="1:12" ht="17.25" hidden="1" thickBot="1" x14ac:dyDescent="0.3">
      <c r="A128" s="173" t="s">
        <v>162</v>
      </c>
      <c r="B128" s="174">
        <v>0.31909999999999999</v>
      </c>
      <c r="C128" s="1"/>
      <c r="D128" s="1"/>
      <c r="E128" s="1"/>
      <c r="F128" s="1"/>
      <c r="G128" s="1"/>
      <c r="H128" s="1"/>
    </row>
    <row r="129" spans="1:8" ht="17.25" hidden="1" thickBot="1" x14ac:dyDescent="0.3">
      <c r="A129" s="1"/>
      <c r="B129" s="1"/>
      <c r="C129" s="1"/>
      <c r="D129" s="1"/>
      <c r="E129" s="1"/>
      <c r="F129" s="1"/>
      <c r="G129" s="1"/>
      <c r="H129" s="1"/>
    </row>
    <row r="130" spans="1:8" ht="30" hidden="1" x14ac:dyDescent="0.25">
      <c r="A130" s="6" t="s">
        <v>76</v>
      </c>
      <c r="B130" s="4" t="s">
        <v>163</v>
      </c>
      <c r="C130" s="4" t="s">
        <v>164</v>
      </c>
      <c r="D130" s="170" t="s">
        <v>161</v>
      </c>
      <c r="E130" s="167" t="s">
        <v>165</v>
      </c>
      <c r="F130" s="167" t="s">
        <v>166</v>
      </c>
      <c r="G130" s="167" t="s">
        <v>167</v>
      </c>
      <c r="H130" s="168" t="s">
        <v>174</v>
      </c>
    </row>
    <row r="131" spans="1:8" hidden="1" x14ac:dyDescent="0.25">
      <c r="A131" s="7" t="s">
        <v>168</v>
      </c>
      <c r="B131" s="175">
        <v>2600</v>
      </c>
      <c r="C131" s="176">
        <f>B131</f>
        <v>2600</v>
      </c>
      <c r="D131" s="229">
        <f>1709.28</f>
        <v>1709.28</v>
      </c>
      <c r="E131" s="175">
        <f>+D131</f>
        <v>1709.28</v>
      </c>
      <c r="F131" s="177">
        <f>ROUND(($B$128/0.6)*((1.6*E131/C131)-1),4)</f>
        <v>2.76E-2</v>
      </c>
      <c r="G131" s="176">
        <f>IF(F131&gt;0,F131*C131,0)</f>
        <v>71.760000000000005</v>
      </c>
      <c r="H131" s="182">
        <f>G131</f>
        <v>71.760000000000005</v>
      </c>
    </row>
    <row r="132" spans="1:8" hidden="1" x14ac:dyDescent="0.25">
      <c r="A132" s="7" t="s">
        <v>169</v>
      </c>
      <c r="B132" s="175">
        <v>2600</v>
      </c>
      <c r="C132" s="176">
        <f>C131+B132</f>
        <v>5200</v>
      </c>
      <c r="D132" s="229">
        <f t="shared" ref="D132:D134" si="4">1709.28</f>
        <v>1709.28</v>
      </c>
      <c r="E132" s="175">
        <f>D132+E131</f>
        <v>3418.56</v>
      </c>
      <c r="F132" s="177">
        <f t="shared" ref="F132:F135" si="5">ROUND(($B$128/0.6)*((1.6*E132/C132)-1),4)</f>
        <v>2.76E-2</v>
      </c>
      <c r="G132" s="176">
        <f t="shared" ref="G132:G135" si="6">IF(F132&gt;0,F132*C132,0)</f>
        <v>143.52000000000001</v>
      </c>
      <c r="H132" s="182">
        <f>G132-G131</f>
        <v>71.760000000000005</v>
      </c>
    </row>
    <row r="133" spans="1:8" hidden="1" x14ac:dyDescent="0.25">
      <c r="A133" s="7" t="s">
        <v>170</v>
      </c>
      <c r="B133" s="175">
        <v>2600</v>
      </c>
      <c r="C133" s="176">
        <f t="shared" ref="C133:C135" si="7">C132+B133</f>
        <v>7800</v>
      </c>
      <c r="D133" s="229">
        <f t="shared" si="4"/>
        <v>1709.28</v>
      </c>
      <c r="E133" s="175">
        <f t="shared" ref="E133:E135" si="8">D133+E132</f>
        <v>5127.84</v>
      </c>
      <c r="F133" s="177">
        <f t="shared" si="5"/>
        <v>2.76E-2</v>
      </c>
      <c r="G133" s="176">
        <f t="shared" si="6"/>
        <v>215.28</v>
      </c>
      <c r="H133" s="182">
        <f t="shared" ref="H133:H135" si="9">G133-G132</f>
        <v>71.759999999999991</v>
      </c>
    </row>
    <row r="134" spans="1:8" hidden="1" x14ac:dyDescent="0.25">
      <c r="A134" s="7" t="s">
        <v>171</v>
      </c>
      <c r="B134" s="175">
        <v>2600</v>
      </c>
      <c r="C134" s="176">
        <f t="shared" si="7"/>
        <v>10400</v>
      </c>
      <c r="D134" s="229">
        <f t="shared" si="4"/>
        <v>1709.28</v>
      </c>
      <c r="E134" s="175">
        <f t="shared" si="8"/>
        <v>6837.12</v>
      </c>
      <c r="F134" s="177">
        <f t="shared" si="5"/>
        <v>2.76E-2</v>
      </c>
      <c r="G134" s="176">
        <f t="shared" si="6"/>
        <v>287.04000000000002</v>
      </c>
      <c r="H134" s="182">
        <f t="shared" si="9"/>
        <v>71.760000000000019</v>
      </c>
    </row>
    <row r="135" spans="1:8" ht="17.25" hidden="1" thickBot="1" x14ac:dyDescent="0.3">
      <c r="A135" s="10" t="s">
        <v>172</v>
      </c>
      <c r="B135" s="178">
        <f>D41</f>
        <v>2600</v>
      </c>
      <c r="C135" s="179">
        <f t="shared" si="7"/>
        <v>13000</v>
      </c>
      <c r="D135" s="232">
        <f>1747.2*D41/D20</f>
        <v>1747.2</v>
      </c>
      <c r="E135" s="178">
        <f t="shared" si="8"/>
        <v>8584.32</v>
      </c>
      <c r="F135" s="177">
        <f t="shared" si="5"/>
        <v>3.0099999999999998E-2</v>
      </c>
      <c r="G135" s="179">
        <f t="shared" si="6"/>
        <v>391.29999999999995</v>
      </c>
      <c r="H135" s="205">
        <f t="shared" si="9"/>
        <v>104.25999999999993</v>
      </c>
    </row>
    <row r="136" spans="1:8" hidden="1" x14ac:dyDescent="0.25"/>
    <row r="137" spans="1:8" hidden="1" x14ac:dyDescent="0.25">
      <c r="D137" s="295"/>
    </row>
    <row r="138" spans="1:8" hidden="1" x14ac:dyDescent="0.25"/>
    <row r="139" spans="1:8" hidden="1" x14ac:dyDescent="0.25"/>
    <row r="140" spans="1:8" ht="17.25" thickBot="1" x14ac:dyDescent="0.3"/>
    <row r="141" spans="1:8" ht="19.5" thickBot="1" x14ac:dyDescent="0.3">
      <c r="A141" s="402" t="s">
        <v>351</v>
      </c>
      <c r="B141" s="403" t="s">
        <v>352</v>
      </c>
      <c r="C141" s="407">
        <f>D41-D71</f>
        <v>2029.6315</v>
      </c>
    </row>
  </sheetData>
  <mergeCells count="12">
    <mergeCell ref="A88:D88"/>
    <mergeCell ref="A96:D96"/>
    <mergeCell ref="A110:D110"/>
    <mergeCell ref="A115:D115"/>
    <mergeCell ref="A121:D121"/>
    <mergeCell ref="A127:H127"/>
    <mergeCell ref="B17:C17"/>
    <mergeCell ref="E17:F17"/>
    <mergeCell ref="A75:B75"/>
    <mergeCell ref="B76:B82"/>
    <mergeCell ref="C76:C82"/>
    <mergeCell ref="D76:D8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AEFBC-4232-4D24-B2A1-DCC84D61708F}">
  <dimension ref="A1:O165"/>
  <sheetViews>
    <sheetView zoomScale="75" zoomScaleNormal="75" workbookViewId="0">
      <selection activeCell="D119" sqref="D119"/>
    </sheetView>
  </sheetViews>
  <sheetFormatPr baseColWidth="10" defaultRowHeight="16.5" x14ac:dyDescent="0.25"/>
  <cols>
    <col min="1" max="1" width="91" style="29" customWidth="1"/>
    <col min="2" max="2" width="22.85546875" style="29" bestFit="1" customWidth="1"/>
    <col min="3" max="3" width="30.5703125" style="29" customWidth="1"/>
    <col min="4" max="4" width="34.140625" style="29" customWidth="1"/>
    <col min="5" max="5" width="12.5703125" style="29" customWidth="1"/>
    <col min="6" max="6" width="18.28515625" style="29" customWidth="1"/>
    <col min="7" max="7" width="12.85546875" style="29" bestFit="1" customWidth="1"/>
    <col min="8" max="8" width="58.28515625" style="29" bestFit="1" customWidth="1"/>
    <col min="9" max="9" width="14.85546875" style="29" bestFit="1" customWidth="1"/>
    <col min="10" max="10" width="12.85546875" style="29" bestFit="1" customWidth="1"/>
    <col min="11" max="11" width="11.42578125" style="29"/>
    <col min="12" max="12" width="12.140625" style="29" bestFit="1" customWidth="1"/>
    <col min="13" max="14" width="12" style="29" bestFit="1" customWidth="1"/>
    <col min="15" max="16384" width="11.42578125" style="29"/>
  </cols>
  <sheetData>
    <row r="1" spans="1:6" x14ac:dyDescent="0.25">
      <c r="A1" s="26" t="s">
        <v>78</v>
      </c>
      <c r="B1" s="27"/>
      <c r="C1" s="27"/>
      <c r="D1" s="27"/>
      <c r="E1" s="27"/>
      <c r="F1" s="28"/>
    </row>
    <row r="2" spans="1:6" x14ac:dyDescent="0.25">
      <c r="A2" s="30" t="s">
        <v>79</v>
      </c>
      <c r="B2" s="31"/>
      <c r="C2" s="31"/>
      <c r="D2" s="31" t="s">
        <v>80</v>
      </c>
      <c r="E2" s="31"/>
      <c r="F2" s="32" t="s">
        <v>233</v>
      </c>
    </row>
    <row r="3" spans="1:6" x14ac:dyDescent="0.25">
      <c r="A3" s="33" t="s">
        <v>81</v>
      </c>
      <c r="B3" s="31"/>
      <c r="C3" s="31"/>
      <c r="D3" s="31" t="s">
        <v>81</v>
      </c>
      <c r="E3" s="31"/>
      <c r="F3" s="32"/>
    </row>
    <row r="4" spans="1:6" x14ac:dyDescent="0.25">
      <c r="A4" s="33" t="s">
        <v>82</v>
      </c>
      <c r="B4" s="31"/>
      <c r="C4" s="31"/>
      <c r="D4" s="31" t="s">
        <v>234</v>
      </c>
      <c r="E4" s="31"/>
      <c r="F4" s="32"/>
    </row>
    <row r="5" spans="1:6" x14ac:dyDescent="0.25">
      <c r="A5" s="33" t="s">
        <v>83</v>
      </c>
      <c r="B5" s="31"/>
      <c r="C5" s="31"/>
      <c r="D5" s="31" t="s">
        <v>84</v>
      </c>
      <c r="E5" s="31"/>
      <c r="F5" s="32"/>
    </row>
    <row r="6" spans="1:6" x14ac:dyDescent="0.25">
      <c r="A6" s="33" t="s">
        <v>83</v>
      </c>
      <c r="B6" s="31"/>
      <c r="C6" s="31"/>
      <c r="D6" s="31" t="s">
        <v>85</v>
      </c>
      <c r="E6" s="31"/>
      <c r="F6" s="32"/>
    </row>
    <row r="7" spans="1:6" x14ac:dyDescent="0.25">
      <c r="A7" s="33" t="s">
        <v>86</v>
      </c>
      <c r="B7" s="31"/>
      <c r="C7" s="31"/>
      <c r="D7" s="31"/>
      <c r="E7" s="31"/>
      <c r="F7" s="32"/>
    </row>
    <row r="8" spans="1:6" x14ac:dyDescent="0.25">
      <c r="A8" s="33" t="s">
        <v>87</v>
      </c>
      <c r="B8" s="31"/>
      <c r="C8" s="31"/>
      <c r="D8" s="31" t="s">
        <v>88</v>
      </c>
      <c r="E8" s="31"/>
      <c r="F8" s="32"/>
    </row>
    <row r="9" spans="1:6" x14ac:dyDescent="0.25">
      <c r="A9" s="33" t="s">
        <v>89</v>
      </c>
      <c r="B9" s="31"/>
      <c r="C9" s="31"/>
      <c r="D9" s="31" t="s">
        <v>90</v>
      </c>
      <c r="E9" s="31"/>
      <c r="F9" s="32"/>
    </row>
    <row r="10" spans="1:6" x14ac:dyDescent="0.25">
      <c r="A10" s="33" t="s">
        <v>91</v>
      </c>
      <c r="B10" s="31"/>
      <c r="C10" s="31"/>
      <c r="D10" s="31" t="s">
        <v>92</v>
      </c>
      <c r="E10" s="31"/>
      <c r="F10" s="32"/>
    </row>
    <row r="11" spans="1:6" x14ac:dyDescent="0.25">
      <c r="A11" s="33" t="s">
        <v>93</v>
      </c>
      <c r="B11" s="31"/>
      <c r="C11" s="31"/>
      <c r="D11" s="31" t="s">
        <v>94</v>
      </c>
      <c r="E11" s="31"/>
      <c r="F11" s="32" t="s">
        <v>6</v>
      </c>
    </row>
    <row r="12" spans="1:6" x14ac:dyDescent="0.25">
      <c r="A12" s="33" t="s">
        <v>95</v>
      </c>
      <c r="B12" s="31"/>
      <c r="C12" s="31"/>
      <c r="D12" s="31" t="s">
        <v>96</v>
      </c>
      <c r="E12" s="31"/>
      <c r="F12" s="32"/>
    </row>
    <row r="13" spans="1:6" x14ac:dyDescent="0.25">
      <c r="A13" s="33" t="s">
        <v>97</v>
      </c>
      <c r="B13" s="31"/>
      <c r="C13" s="31"/>
      <c r="D13" s="31" t="s">
        <v>98</v>
      </c>
      <c r="E13" s="31"/>
      <c r="F13" s="32"/>
    </row>
    <row r="14" spans="1:6" x14ac:dyDescent="0.25">
      <c r="A14" s="33"/>
      <c r="B14" s="31"/>
      <c r="C14" s="31"/>
      <c r="D14" s="31" t="s">
        <v>99</v>
      </c>
      <c r="E14" s="31"/>
      <c r="F14" s="32"/>
    </row>
    <row r="15" spans="1:6" x14ac:dyDescent="0.25">
      <c r="A15" s="34"/>
      <c r="B15" s="31"/>
      <c r="C15" s="31"/>
      <c r="D15" s="31"/>
      <c r="E15" s="31"/>
      <c r="F15" s="32"/>
    </row>
    <row r="16" spans="1:6" x14ac:dyDescent="0.25">
      <c r="A16" s="34"/>
      <c r="B16" s="31"/>
      <c r="C16" s="31"/>
      <c r="D16" s="31"/>
      <c r="E16" s="31"/>
      <c r="F16" s="32"/>
    </row>
    <row r="17" spans="1:15" x14ac:dyDescent="0.25">
      <c r="A17" s="35" t="s">
        <v>100</v>
      </c>
      <c r="B17" s="328"/>
      <c r="C17" s="329"/>
      <c r="D17" s="36" t="s">
        <v>234</v>
      </c>
      <c r="E17" s="328"/>
      <c r="F17" s="330"/>
    </row>
    <row r="18" spans="1:15" ht="20.25" customHeight="1" thickBot="1" x14ac:dyDescent="0.3">
      <c r="A18" s="37" t="s">
        <v>101</v>
      </c>
      <c r="B18" s="38"/>
      <c r="C18" s="38"/>
      <c r="D18" s="38"/>
      <c r="E18" s="38"/>
      <c r="F18" s="39"/>
    </row>
    <row r="19" spans="1:15" ht="24" customHeight="1" x14ac:dyDescent="0.25">
      <c r="A19" s="40" t="s">
        <v>101</v>
      </c>
      <c r="B19" s="41" t="s">
        <v>102</v>
      </c>
      <c r="C19" s="41" t="s">
        <v>103</v>
      </c>
      <c r="D19" s="41" t="s">
        <v>104</v>
      </c>
      <c r="E19" s="42"/>
      <c r="F19" s="43"/>
      <c r="H19" s="44" t="s">
        <v>105</v>
      </c>
      <c r="I19" s="45">
        <v>7.0000000000000007E-2</v>
      </c>
    </row>
    <row r="20" spans="1:15" s="50" customFormat="1" x14ac:dyDescent="0.25">
      <c r="A20" s="34" t="s">
        <v>7</v>
      </c>
      <c r="B20" s="46">
        <v>151.66999999999999</v>
      </c>
      <c r="C20" s="47">
        <f>D20/151.67</f>
        <v>17.142480385046483</v>
      </c>
      <c r="D20" s="48">
        <v>2600</v>
      </c>
      <c r="E20" s="42"/>
      <c r="F20" s="49"/>
      <c r="H20" s="51" t="s">
        <v>106</v>
      </c>
      <c r="I20" s="52">
        <v>3.4500000000000003E-2</v>
      </c>
      <c r="J20" s="29"/>
      <c r="K20" s="29"/>
      <c r="L20" s="29"/>
      <c r="M20" s="29"/>
      <c r="N20" s="29"/>
      <c r="O20" s="29"/>
    </row>
    <row r="21" spans="1:15" s="50" customFormat="1" x14ac:dyDescent="0.25">
      <c r="A21" s="34" t="s">
        <v>107</v>
      </c>
      <c r="B21" s="46"/>
      <c r="C21" s="47"/>
      <c r="D21" s="53">
        <f>I31</f>
        <v>0</v>
      </c>
      <c r="E21" s="42"/>
      <c r="F21" s="49"/>
      <c r="H21" s="54" t="s">
        <v>108</v>
      </c>
      <c r="I21" s="55">
        <v>2.7E-2</v>
      </c>
      <c r="J21" s="29"/>
      <c r="K21" s="29"/>
      <c r="L21" s="29"/>
      <c r="M21" s="29"/>
      <c r="N21" s="29"/>
      <c r="O21" s="29"/>
    </row>
    <row r="22" spans="1:15" s="50" customFormat="1" x14ac:dyDescent="0.25">
      <c r="A22" s="34" t="s">
        <v>23</v>
      </c>
      <c r="B22" s="56"/>
      <c r="C22" s="57"/>
      <c r="D22" s="48"/>
      <c r="E22" s="42"/>
      <c r="F22" s="49"/>
      <c r="H22" s="34" t="s">
        <v>109</v>
      </c>
      <c r="I22" s="58">
        <f>D41</f>
        <v>2074.4564468864469</v>
      </c>
      <c r="J22" s="29"/>
      <c r="K22" s="29"/>
      <c r="L22" s="29"/>
      <c r="M22" s="29"/>
      <c r="N22" s="29"/>
      <c r="O22" s="29"/>
    </row>
    <row r="23" spans="1:15" s="50" customFormat="1" x14ac:dyDescent="0.25">
      <c r="A23" s="34"/>
      <c r="B23" s="46"/>
      <c r="C23" s="47"/>
      <c r="D23" s="31"/>
      <c r="E23" s="42"/>
      <c r="F23" s="49"/>
      <c r="H23" s="34" t="s">
        <v>110</v>
      </c>
      <c r="I23" s="58">
        <f>D41-I22</f>
        <v>0</v>
      </c>
      <c r="J23" s="29"/>
      <c r="K23" s="29"/>
      <c r="L23" s="29"/>
      <c r="M23" s="29"/>
      <c r="N23" s="29"/>
      <c r="O23" s="29"/>
    </row>
    <row r="24" spans="1:15" x14ac:dyDescent="0.25">
      <c r="A24" s="34" t="s">
        <v>111</v>
      </c>
      <c r="B24" s="59"/>
      <c r="C24" s="60">
        <f>D20/151.67*1.25</f>
        <v>21.428100481308103</v>
      </c>
      <c r="D24" s="61"/>
      <c r="E24" s="42"/>
      <c r="F24" s="62"/>
      <c r="H24" s="34" t="s">
        <v>112</v>
      </c>
      <c r="I24" s="58"/>
    </row>
    <row r="25" spans="1:15" x14ac:dyDescent="0.25">
      <c r="A25" s="34" t="s">
        <v>24</v>
      </c>
      <c r="B25" s="59"/>
      <c r="C25" s="61">
        <f>D20/151.67*1.5</f>
        <v>25.713720577569724</v>
      </c>
      <c r="D25" s="61"/>
      <c r="E25" s="42"/>
      <c r="F25" s="43"/>
      <c r="H25" s="34" t="s">
        <v>113</v>
      </c>
      <c r="I25" s="58"/>
    </row>
    <row r="26" spans="1:15" x14ac:dyDescent="0.25">
      <c r="A26" s="34"/>
      <c r="B26" s="31"/>
      <c r="C26" s="31"/>
      <c r="D26" s="31"/>
      <c r="E26" s="42"/>
      <c r="F26" s="43"/>
      <c r="H26" s="34" t="s">
        <v>114</v>
      </c>
      <c r="I26" s="58"/>
    </row>
    <row r="27" spans="1:15" x14ac:dyDescent="0.25">
      <c r="A27" s="34" t="s">
        <v>115</v>
      </c>
      <c r="B27" s="59"/>
      <c r="C27" s="63"/>
      <c r="D27" s="64"/>
      <c r="E27" s="42"/>
      <c r="F27" s="43"/>
      <c r="H27" s="34" t="s">
        <v>116</v>
      </c>
      <c r="I27" s="58"/>
    </row>
    <row r="28" spans="1:15" x14ac:dyDescent="0.25">
      <c r="A28" s="34"/>
      <c r="B28" s="31"/>
      <c r="C28" s="31"/>
      <c r="D28" s="31"/>
      <c r="E28" s="42"/>
      <c r="F28" s="43"/>
      <c r="H28" s="34" t="s">
        <v>117</v>
      </c>
      <c r="I28" s="65"/>
    </row>
    <row r="29" spans="1:15" x14ac:dyDescent="0.25">
      <c r="A29" s="34"/>
      <c r="B29" s="66"/>
      <c r="C29" s="67"/>
      <c r="D29" s="68"/>
      <c r="E29" s="69"/>
      <c r="F29" s="70"/>
      <c r="H29" s="34" t="s">
        <v>40</v>
      </c>
      <c r="I29" s="58">
        <v>20</v>
      </c>
    </row>
    <row r="30" spans="1:15" x14ac:dyDescent="0.25">
      <c r="A30" s="34" t="s">
        <v>118</v>
      </c>
      <c r="B30" s="71"/>
      <c r="C30" s="72"/>
      <c r="D30" s="72"/>
      <c r="E30" s="69"/>
      <c r="F30" s="70"/>
      <c r="H30" s="34" t="s">
        <v>41</v>
      </c>
      <c r="I30" s="58">
        <v>24</v>
      </c>
    </row>
    <row r="31" spans="1:15" x14ac:dyDescent="0.25">
      <c r="A31" s="34" t="s">
        <v>119</v>
      </c>
      <c r="B31" s="71"/>
      <c r="C31" s="72"/>
      <c r="D31" s="72"/>
      <c r="E31" s="69"/>
      <c r="F31" s="70"/>
      <c r="H31" s="34" t="s">
        <v>107</v>
      </c>
      <c r="I31" s="58"/>
    </row>
    <row r="32" spans="1:15" x14ac:dyDescent="0.25">
      <c r="A32" s="34"/>
      <c r="B32" s="71"/>
      <c r="C32" s="31"/>
      <c r="D32" s="31"/>
      <c r="E32" s="69"/>
      <c r="F32" s="70"/>
      <c r="H32" s="34" t="s">
        <v>120</v>
      </c>
      <c r="I32" s="32"/>
    </row>
    <row r="33" spans="1:10" x14ac:dyDescent="0.25">
      <c r="A33" s="34" t="s">
        <v>121</v>
      </c>
      <c r="B33" s="76">
        <v>6</v>
      </c>
      <c r="C33" s="60">
        <f>D20/21</f>
        <v>123.80952380952381</v>
      </c>
      <c r="D33" s="410">
        <f>-C33*B33</f>
        <v>-742.85714285714289</v>
      </c>
      <c r="E33" s="69"/>
      <c r="F33" s="70"/>
      <c r="H33" s="34" t="s">
        <v>122</v>
      </c>
      <c r="I33" s="58"/>
    </row>
    <row r="34" spans="1:10" x14ac:dyDescent="0.25">
      <c r="A34" s="34" t="s">
        <v>123</v>
      </c>
      <c r="B34" s="76">
        <v>8</v>
      </c>
      <c r="C34" s="61">
        <f>D129</f>
        <v>51.282051282051277</v>
      </c>
      <c r="D34" s="410">
        <f>-C34*B34</f>
        <v>-410.25641025641022</v>
      </c>
      <c r="E34" s="69"/>
      <c r="F34" s="70"/>
      <c r="H34" s="34"/>
      <c r="I34" s="32"/>
    </row>
    <row r="35" spans="1:10" ht="17.25" thickBot="1" x14ac:dyDescent="0.3">
      <c r="A35" s="34" t="s">
        <v>124</v>
      </c>
      <c r="B35" s="76"/>
      <c r="C35" s="75"/>
      <c r="D35" s="53">
        <f>-2600+742.86+410.26+2074.45</f>
        <v>627.56999999999994</v>
      </c>
      <c r="E35" s="77"/>
      <c r="F35" s="49"/>
      <c r="G35" s="295"/>
      <c r="H35" s="78" t="s">
        <v>43</v>
      </c>
      <c r="I35" s="79">
        <v>0.13</v>
      </c>
    </row>
    <row r="36" spans="1:10" ht="17.25" thickBot="1" x14ac:dyDescent="0.3">
      <c r="A36" s="80"/>
      <c r="B36" s="81"/>
      <c r="C36" s="81"/>
      <c r="D36" s="83"/>
      <c r="E36" s="77"/>
      <c r="F36" s="49"/>
    </row>
    <row r="37" spans="1:10" x14ac:dyDescent="0.25">
      <c r="A37" s="34" t="s">
        <v>11</v>
      </c>
      <c r="B37" s="81"/>
      <c r="C37" s="81"/>
      <c r="E37" s="77"/>
      <c r="F37" s="49"/>
      <c r="H37" s="365" t="s">
        <v>354</v>
      </c>
      <c r="I37" s="366"/>
      <c r="J37" s="371"/>
    </row>
    <row r="38" spans="1:10" x14ac:dyDescent="0.25">
      <c r="A38" s="80" t="s">
        <v>175</v>
      </c>
      <c r="B38" s="81"/>
      <c r="C38" s="82"/>
      <c r="D38" s="61"/>
      <c r="E38" s="77"/>
      <c r="F38" s="49"/>
      <c r="H38" s="34" t="s">
        <v>356</v>
      </c>
      <c r="I38" s="31" t="s">
        <v>355</v>
      </c>
      <c r="J38" s="409">
        <f>2600/21</f>
        <v>123.80952380952381</v>
      </c>
    </row>
    <row r="39" spans="1:10" x14ac:dyDescent="0.25">
      <c r="A39" s="34" t="s">
        <v>125</v>
      </c>
      <c r="B39" s="66"/>
      <c r="C39" s="67"/>
      <c r="D39" s="72"/>
      <c r="E39" s="77"/>
      <c r="F39" s="49"/>
      <c r="H39" s="34" t="s">
        <v>357</v>
      </c>
      <c r="I39" s="31"/>
      <c r="J39" s="394" t="s">
        <v>220</v>
      </c>
    </row>
    <row r="40" spans="1:10" ht="17.25" thickBot="1" x14ac:dyDescent="0.3">
      <c r="A40" s="34" t="s">
        <v>46</v>
      </c>
      <c r="B40" s="66"/>
      <c r="C40" s="67"/>
      <c r="D40" s="72"/>
      <c r="E40" s="77"/>
      <c r="F40" s="49"/>
      <c r="H40" s="78" t="s">
        <v>358</v>
      </c>
      <c r="I40" s="368" t="s">
        <v>286</v>
      </c>
      <c r="J40" s="376">
        <f>6*J38</f>
        <v>742.85714285714289</v>
      </c>
    </row>
    <row r="41" spans="1:10" x14ac:dyDescent="0.25">
      <c r="A41" s="84" t="s">
        <v>25</v>
      </c>
      <c r="B41" s="31"/>
      <c r="C41" s="31"/>
      <c r="D41" s="411">
        <f>SUM(D20:D40)</f>
        <v>2074.4564468864469</v>
      </c>
      <c r="E41" s="77"/>
      <c r="F41" s="49"/>
    </row>
    <row r="42" spans="1:10" x14ac:dyDescent="0.25">
      <c r="A42" s="34"/>
      <c r="B42" s="85"/>
      <c r="C42" s="86"/>
      <c r="D42" s="86"/>
      <c r="E42" s="77"/>
      <c r="F42" s="49"/>
    </row>
    <row r="43" spans="1:10" ht="33" x14ac:dyDescent="0.25">
      <c r="A43" s="87" t="s">
        <v>126</v>
      </c>
      <c r="B43" s="88" t="s">
        <v>35</v>
      </c>
      <c r="C43" s="88" t="s">
        <v>15</v>
      </c>
      <c r="D43" s="88" t="s">
        <v>36</v>
      </c>
      <c r="E43" s="88" t="s">
        <v>15</v>
      </c>
      <c r="F43" s="89" t="s">
        <v>37</v>
      </c>
    </row>
    <row r="44" spans="1:10" x14ac:dyDescent="0.25">
      <c r="A44" s="90" t="s">
        <v>26</v>
      </c>
      <c r="B44" s="91"/>
      <c r="C44" s="92"/>
      <c r="D44" s="92"/>
      <c r="E44" s="92"/>
      <c r="F44" s="93"/>
    </row>
    <row r="45" spans="1:10" ht="21.75" customHeight="1" x14ac:dyDescent="0.25">
      <c r="A45" s="94" t="s">
        <v>127</v>
      </c>
      <c r="B45" s="95">
        <f>$D$41</f>
        <v>2074.4564468864469</v>
      </c>
      <c r="C45" s="96"/>
      <c r="D45" s="97"/>
      <c r="E45" s="98">
        <f>I19</f>
        <v>7.0000000000000007E-2</v>
      </c>
      <c r="F45" s="162">
        <f>E45*B45</f>
        <v>145.2119512820513</v>
      </c>
    </row>
    <row r="46" spans="1:10" x14ac:dyDescent="0.25">
      <c r="A46" s="99" t="s">
        <v>128</v>
      </c>
      <c r="B46" s="81"/>
      <c r="C46" s="100"/>
      <c r="D46" s="101"/>
      <c r="E46" s="102">
        <v>1.4999999999999999E-2</v>
      </c>
      <c r="F46" s="162">
        <f>+E46*B46</f>
        <v>0</v>
      </c>
    </row>
    <row r="47" spans="1:10" x14ac:dyDescent="0.25">
      <c r="A47" s="99" t="s">
        <v>129</v>
      </c>
      <c r="B47" s="81">
        <f>$I$23</f>
        <v>0</v>
      </c>
      <c r="C47" s="100"/>
      <c r="D47" s="101"/>
      <c r="E47" s="31"/>
      <c r="F47" s="103"/>
    </row>
    <row r="48" spans="1:10" x14ac:dyDescent="0.25">
      <c r="A48" s="99" t="s">
        <v>27</v>
      </c>
      <c r="B48" s="81">
        <f>D41</f>
        <v>2074.4564468864469</v>
      </c>
      <c r="C48" s="100">
        <v>0.01</v>
      </c>
      <c r="D48" s="101">
        <f>C48*B48</f>
        <v>20.744564468864468</v>
      </c>
      <c r="E48" s="357">
        <v>0.01</v>
      </c>
      <c r="F48" s="104">
        <f>E48*B48</f>
        <v>20.744564468864468</v>
      </c>
    </row>
    <row r="49" spans="1:6" x14ac:dyDescent="0.25">
      <c r="A49" s="84" t="s">
        <v>28</v>
      </c>
      <c r="B49" s="81">
        <f>$D$41</f>
        <v>2074.4564468864469</v>
      </c>
      <c r="C49" s="31"/>
      <c r="D49" s="81"/>
      <c r="E49" s="105">
        <f>I21</f>
        <v>2.7E-2</v>
      </c>
      <c r="F49" s="104">
        <f>+E49*B49</f>
        <v>56.010324065934064</v>
      </c>
    </row>
    <row r="50" spans="1:6" x14ac:dyDescent="0.25">
      <c r="A50" s="90" t="s">
        <v>29</v>
      </c>
      <c r="B50" s="91"/>
      <c r="C50" s="92"/>
      <c r="D50" s="92"/>
      <c r="E50" s="92"/>
      <c r="F50" s="93"/>
    </row>
    <row r="51" spans="1:6" x14ac:dyDescent="0.25">
      <c r="A51" s="99" t="s">
        <v>48</v>
      </c>
      <c r="B51" s="81">
        <f>$I$22</f>
        <v>2074.4564468864469</v>
      </c>
      <c r="C51" s="100">
        <v>6.9000000000000006E-2</v>
      </c>
      <c r="D51" s="101">
        <f>C51*B51</f>
        <v>143.13749483516486</v>
      </c>
      <c r="E51" s="105">
        <v>8.5500000000000007E-2</v>
      </c>
      <c r="F51" s="104">
        <f>E51*B51</f>
        <v>177.36602620879123</v>
      </c>
    </row>
    <row r="52" spans="1:6" x14ac:dyDescent="0.25">
      <c r="A52" s="99" t="s">
        <v>50</v>
      </c>
      <c r="B52" s="95">
        <f>$D$41</f>
        <v>2074.4564468864469</v>
      </c>
      <c r="C52" s="100">
        <v>4.0000000000000001E-3</v>
      </c>
      <c r="D52" s="101">
        <f t="shared" ref="D52:D55" si="0">C52*B52</f>
        <v>8.2978257875457881</v>
      </c>
      <c r="E52" s="105">
        <v>1.9E-2</v>
      </c>
      <c r="F52" s="104">
        <f t="shared" ref="F52:F54" si="1">E52*B52</f>
        <v>39.414672490842491</v>
      </c>
    </row>
    <row r="53" spans="1:6" x14ac:dyDescent="0.25">
      <c r="A53" s="99" t="s">
        <v>51</v>
      </c>
      <c r="B53" s="81">
        <f>$I$22</f>
        <v>2074.4564468864469</v>
      </c>
      <c r="C53" s="100">
        <v>4.0099999999999997E-2</v>
      </c>
      <c r="D53" s="101">
        <f t="shared" si="0"/>
        <v>83.185703520146518</v>
      </c>
      <c r="E53" s="105">
        <v>6.0100000000000001E-2</v>
      </c>
      <c r="F53" s="104">
        <f t="shared" si="1"/>
        <v>124.67483245787545</v>
      </c>
    </row>
    <row r="54" spans="1:6" x14ac:dyDescent="0.25">
      <c r="A54" s="99" t="s">
        <v>130</v>
      </c>
      <c r="B54" s="81">
        <f>$I$23</f>
        <v>0</v>
      </c>
      <c r="C54" s="100">
        <v>9.7199999999999995E-2</v>
      </c>
      <c r="D54" s="101">
        <f t="shared" si="0"/>
        <v>0</v>
      </c>
      <c r="E54" s="105">
        <v>0.1457</v>
      </c>
      <c r="F54" s="104">
        <f t="shared" si="1"/>
        <v>0</v>
      </c>
    </row>
    <row r="55" spans="1:6" x14ac:dyDescent="0.25">
      <c r="A55" s="99" t="s">
        <v>131</v>
      </c>
      <c r="B55" s="81">
        <f>I24</f>
        <v>0</v>
      </c>
      <c r="C55" s="100">
        <v>1.4E-3</v>
      </c>
      <c r="D55" s="101">
        <f t="shared" si="0"/>
        <v>0</v>
      </c>
      <c r="E55" s="105">
        <v>2.0999999999999999E-3</v>
      </c>
      <c r="F55" s="104">
        <f>E55*B55</f>
        <v>0</v>
      </c>
    </row>
    <row r="56" spans="1:6" x14ac:dyDescent="0.25">
      <c r="A56" s="99" t="s">
        <v>132</v>
      </c>
      <c r="B56" s="81"/>
      <c r="C56" s="100"/>
      <c r="D56" s="101"/>
      <c r="E56" s="31"/>
      <c r="F56" s="104">
        <f>E56*B56</f>
        <v>0</v>
      </c>
    </row>
    <row r="57" spans="1:6" x14ac:dyDescent="0.25">
      <c r="A57" s="106" t="s">
        <v>133</v>
      </c>
      <c r="B57" s="95">
        <f>$D$41</f>
        <v>2074.4564468864469</v>
      </c>
      <c r="C57" s="107"/>
      <c r="D57" s="81"/>
      <c r="E57" s="108">
        <f>+I20</f>
        <v>3.4500000000000003E-2</v>
      </c>
      <c r="F57" s="104">
        <f>E57*B57</f>
        <v>71.568747417582429</v>
      </c>
    </row>
    <row r="58" spans="1:6" x14ac:dyDescent="0.25">
      <c r="A58" s="90" t="s">
        <v>49</v>
      </c>
      <c r="B58" s="109"/>
      <c r="C58" s="109"/>
      <c r="D58" s="109"/>
      <c r="E58" s="109"/>
      <c r="F58" s="110"/>
    </row>
    <row r="59" spans="1:6" x14ac:dyDescent="0.25">
      <c r="A59" s="99" t="s">
        <v>134</v>
      </c>
      <c r="B59" s="95">
        <f>$D$41</f>
        <v>2074.4564468864469</v>
      </c>
      <c r="C59" s="107"/>
      <c r="D59" s="81"/>
      <c r="E59" s="108">
        <v>4.2000000000000003E-2</v>
      </c>
      <c r="F59" s="104">
        <f t="shared" ref="F59:F60" si="2">E59*B59</f>
        <v>87.127170769230773</v>
      </c>
    </row>
    <row r="60" spans="1:6" x14ac:dyDescent="0.25">
      <c r="A60" s="99" t="s">
        <v>135</v>
      </c>
      <c r="B60" s="81">
        <f>I25</f>
        <v>0</v>
      </c>
      <c r="C60" s="111">
        <v>2.4000000000000001E-4</v>
      </c>
      <c r="D60" s="81">
        <f>+C60*B60</f>
        <v>0</v>
      </c>
      <c r="E60" s="108">
        <v>3.6000000000000002E-4</v>
      </c>
      <c r="F60" s="104">
        <f t="shared" si="2"/>
        <v>0</v>
      </c>
    </row>
    <row r="61" spans="1:6" x14ac:dyDescent="0.25">
      <c r="A61" s="90" t="s">
        <v>47</v>
      </c>
      <c r="B61" s="81"/>
      <c r="C61" s="107"/>
      <c r="D61" s="81"/>
      <c r="E61" s="108"/>
      <c r="F61" s="112">
        <f>D104</f>
        <v>34.145553115750914</v>
      </c>
    </row>
    <row r="62" spans="1:6" x14ac:dyDescent="0.25">
      <c r="A62" s="84"/>
      <c r="B62" s="81"/>
      <c r="C62" s="81"/>
      <c r="D62" s="81"/>
      <c r="E62" s="31"/>
      <c r="F62" s="32"/>
    </row>
    <row r="63" spans="1:6" x14ac:dyDescent="0.25">
      <c r="A63" s="113" t="s">
        <v>136</v>
      </c>
      <c r="B63" s="81"/>
      <c r="C63" s="81"/>
      <c r="D63" s="81"/>
      <c r="E63" s="31"/>
      <c r="F63" s="32"/>
    </row>
    <row r="64" spans="1:6" x14ac:dyDescent="0.25">
      <c r="A64" s="84"/>
      <c r="B64" s="81"/>
      <c r="C64" s="111"/>
      <c r="D64" s="81"/>
      <c r="E64" s="81"/>
      <c r="F64" s="112"/>
    </row>
    <row r="65" spans="1:10" x14ac:dyDescent="0.25">
      <c r="A65" s="84" t="s">
        <v>137</v>
      </c>
      <c r="B65" s="81">
        <f>($D$41*0.9825)+F46+F47+F48</f>
        <v>2058.8980235347985</v>
      </c>
      <c r="C65" s="100">
        <v>6.8000000000000005E-2</v>
      </c>
      <c r="D65" s="101">
        <f>C65*B65</f>
        <v>140.00506560036632</v>
      </c>
      <c r="E65" s="81"/>
      <c r="F65" s="112"/>
    </row>
    <row r="66" spans="1:10" x14ac:dyDescent="0.25">
      <c r="A66" s="84" t="s">
        <v>138</v>
      </c>
      <c r="B66" s="81">
        <f>B65</f>
        <v>2058.8980235347985</v>
      </c>
      <c r="C66" s="100">
        <v>2.9000000000000001E-2</v>
      </c>
      <c r="D66" s="101">
        <f>C66*B66</f>
        <v>59.708042682509159</v>
      </c>
      <c r="E66" s="114"/>
      <c r="F66" s="104"/>
    </row>
    <row r="67" spans="1:10" x14ac:dyDescent="0.25">
      <c r="A67" s="115" t="s">
        <v>139</v>
      </c>
      <c r="B67" s="81">
        <f>(D24+D25)*0.9825</f>
        <v>0</v>
      </c>
      <c r="C67" s="100">
        <v>9.7000000000000003E-2</v>
      </c>
      <c r="D67" s="101">
        <f>C67*B67</f>
        <v>0</v>
      </c>
      <c r="E67" s="105"/>
      <c r="F67" s="104"/>
    </row>
    <row r="68" spans="1:10" x14ac:dyDescent="0.25">
      <c r="A68" s="115" t="s">
        <v>140</v>
      </c>
      <c r="B68" s="81">
        <f>D24+D25</f>
        <v>0</v>
      </c>
      <c r="C68" s="100">
        <v>-0.11310000000000001</v>
      </c>
      <c r="D68" s="101">
        <f>C68*B68</f>
        <v>0</v>
      </c>
      <c r="E68" s="105"/>
      <c r="F68" s="104"/>
    </row>
    <row r="69" spans="1:10" x14ac:dyDescent="0.25">
      <c r="A69" s="115" t="s">
        <v>141</v>
      </c>
      <c r="B69" s="81"/>
      <c r="C69" s="100"/>
      <c r="D69" s="101"/>
      <c r="E69" s="105"/>
      <c r="F69" s="104">
        <f>-H163</f>
        <v>-82.203910827838797</v>
      </c>
    </row>
    <row r="70" spans="1:10" x14ac:dyDescent="0.25">
      <c r="A70" s="84" t="s">
        <v>142</v>
      </c>
      <c r="B70" s="116">
        <f>B24+B25</f>
        <v>0</v>
      </c>
      <c r="C70" s="31"/>
      <c r="D70" s="101"/>
      <c r="E70" s="101">
        <v>-1.5</v>
      </c>
      <c r="F70" s="112">
        <f>E70*B70</f>
        <v>0</v>
      </c>
    </row>
    <row r="71" spans="1:10" x14ac:dyDescent="0.25">
      <c r="A71" s="84" t="s">
        <v>30</v>
      </c>
      <c r="B71" s="101"/>
      <c r="C71" s="117"/>
      <c r="D71" s="118">
        <f>SUM(D45:D70)</f>
        <v>455.0786968945971</v>
      </c>
      <c r="E71" s="105"/>
      <c r="F71" s="119">
        <f>SUM(F45:F70)</f>
        <v>674.05993144908439</v>
      </c>
    </row>
    <row r="72" spans="1:10" x14ac:dyDescent="0.25">
      <c r="A72" s="84"/>
      <c r="B72" s="101"/>
      <c r="C72" s="117"/>
      <c r="D72" s="118"/>
      <c r="E72" s="31"/>
      <c r="F72" s="32"/>
    </row>
    <row r="73" spans="1:10" x14ac:dyDescent="0.25">
      <c r="A73" s="99" t="s">
        <v>143</v>
      </c>
      <c r="B73" s="101"/>
      <c r="C73" s="117"/>
      <c r="D73" s="120"/>
      <c r="E73" s="118"/>
      <c r="F73" s="119"/>
    </row>
    <row r="74" spans="1:10" ht="17.25" thickBot="1" x14ac:dyDescent="0.3">
      <c r="A74" s="99" t="s">
        <v>107</v>
      </c>
      <c r="B74" s="101"/>
      <c r="C74" s="117"/>
      <c r="D74" s="120"/>
      <c r="E74" s="118"/>
      <c r="F74" s="119"/>
    </row>
    <row r="75" spans="1:10" x14ac:dyDescent="0.25">
      <c r="A75" s="99" t="s">
        <v>144</v>
      </c>
      <c r="B75" s="101"/>
      <c r="C75" s="117"/>
      <c r="D75" s="120"/>
      <c r="E75" s="118"/>
      <c r="F75" s="119"/>
      <c r="H75" s="365" t="s">
        <v>305</v>
      </c>
      <c r="I75" s="366"/>
      <c r="J75" s="367">
        <f>D83</f>
        <v>1699.8303571432234</v>
      </c>
    </row>
    <row r="76" spans="1:10" x14ac:dyDescent="0.25">
      <c r="A76" s="99" t="s">
        <v>145</v>
      </c>
      <c r="B76" s="101"/>
      <c r="C76" s="117"/>
      <c r="D76" s="120"/>
      <c r="E76" s="118"/>
      <c r="F76" s="119"/>
      <c r="H76" s="34" t="s">
        <v>301</v>
      </c>
      <c r="I76" s="31"/>
      <c r="J76" s="162">
        <f>D130</f>
        <v>410.25641025641022</v>
      </c>
    </row>
    <row r="77" spans="1:10" x14ac:dyDescent="0.25">
      <c r="A77" s="99" t="s">
        <v>300</v>
      </c>
      <c r="B77" s="101"/>
      <c r="C77" s="117"/>
      <c r="D77" s="120">
        <f>+D132</f>
        <v>382.76923076923072</v>
      </c>
      <c r="E77" s="118"/>
      <c r="F77" s="119"/>
      <c r="H77" s="34" t="s">
        <v>302</v>
      </c>
      <c r="I77" s="31"/>
      <c r="J77" s="162">
        <f>J76*3.8%</f>
        <v>15.589743589743588</v>
      </c>
    </row>
    <row r="78" spans="1:10" x14ac:dyDescent="0.25">
      <c r="A78" s="99"/>
      <c r="B78" s="101"/>
      <c r="C78" s="117"/>
      <c r="D78" s="120"/>
      <c r="E78" s="118"/>
      <c r="F78" s="119"/>
      <c r="H78" s="34" t="s">
        <v>303</v>
      </c>
      <c r="I78" s="31"/>
      <c r="J78" s="162">
        <f>J76-J77</f>
        <v>394.66666666666663</v>
      </c>
    </row>
    <row r="79" spans="1:10" ht="15.75" customHeight="1" x14ac:dyDescent="0.25">
      <c r="A79" s="84"/>
      <c r="B79" s="101"/>
      <c r="C79" s="117"/>
      <c r="D79" s="118"/>
      <c r="E79" s="118"/>
      <c r="F79" s="119"/>
      <c r="H79" s="34" t="s">
        <v>304</v>
      </c>
      <c r="I79" s="31"/>
      <c r="J79" s="162">
        <f>J78/2</f>
        <v>197.33333333333331</v>
      </c>
    </row>
    <row r="80" spans="1:10" ht="17.25" thickBot="1" x14ac:dyDescent="0.3">
      <c r="A80" s="121" t="s">
        <v>31</v>
      </c>
      <c r="B80" s="101"/>
      <c r="C80" s="117"/>
      <c r="D80" s="118"/>
      <c r="E80" s="118"/>
      <c r="F80" s="122">
        <f>D41-D71+D73+D74+D75+D76+D77+D78+D79</f>
        <v>2002.1469807610804</v>
      </c>
      <c r="H80" s="78" t="s">
        <v>306</v>
      </c>
      <c r="I80" s="368"/>
      <c r="J80" s="369">
        <f>+J75+J79</f>
        <v>1897.1636904765567</v>
      </c>
    </row>
    <row r="81" spans="1:9" ht="33" x14ac:dyDescent="0.25">
      <c r="A81" s="84" t="s">
        <v>32</v>
      </c>
      <c r="B81" s="123"/>
      <c r="C81" s="124"/>
      <c r="D81" s="120"/>
      <c r="E81" s="120"/>
      <c r="F81" s="125">
        <f>D111</f>
        <v>30.344111676831503</v>
      </c>
    </row>
    <row r="82" spans="1:9" x14ac:dyDescent="0.25">
      <c r="A82" s="278" t="s">
        <v>33</v>
      </c>
      <c r="B82" s="278" t="s">
        <v>34</v>
      </c>
      <c r="C82" s="278" t="s">
        <v>15</v>
      </c>
      <c r="D82" s="279" t="s">
        <v>146</v>
      </c>
      <c r="E82" s="279"/>
      <c r="F82" s="280" t="s">
        <v>244</v>
      </c>
    </row>
    <row r="83" spans="1:9" x14ac:dyDescent="0.25">
      <c r="A83" s="281" t="s">
        <v>238</v>
      </c>
      <c r="B83" s="282"/>
      <c r="C83" s="283"/>
      <c r="D83" s="284">
        <f>+D41+F48+D66-D71</f>
        <v>1699.8303571432234</v>
      </c>
      <c r="E83" s="285"/>
      <c r="F83" s="286"/>
    </row>
    <row r="84" spans="1:9" x14ac:dyDescent="0.25">
      <c r="A84" s="281" t="s">
        <v>239</v>
      </c>
      <c r="B84" s="284">
        <f>+J80</f>
        <v>1897.1636904765567</v>
      </c>
      <c r="C84" s="287">
        <f>+I35</f>
        <v>0.13</v>
      </c>
      <c r="D84" s="284">
        <f>B84*C84</f>
        <v>246.63127976195238</v>
      </c>
      <c r="E84" s="285"/>
      <c r="F84" s="286"/>
    </row>
    <row r="85" spans="1:9" x14ac:dyDescent="0.25">
      <c r="A85" s="281" t="s">
        <v>240</v>
      </c>
      <c r="B85" s="282"/>
      <c r="C85" s="284"/>
      <c r="D85" s="283"/>
      <c r="E85" s="285"/>
      <c r="F85" s="286"/>
    </row>
    <row r="86" spans="1:9" x14ac:dyDescent="0.25">
      <c r="A86" s="281"/>
      <c r="B86" s="282"/>
      <c r="C86" s="283"/>
      <c r="D86" s="283"/>
      <c r="E86" s="285"/>
      <c r="F86" s="288"/>
    </row>
    <row r="87" spans="1:9" x14ac:dyDescent="0.25">
      <c r="A87" s="289" t="s">
        <v>241</v>
      </c>
      <c r="B87" s="283"/>
      <c r="C87" s="283"/>
      <c r="D87" s="284">
        <f>+F80-D84</f>
        <v>1755.5157009991281</v>
      </c>
      <c r="E87" s="285"/>
      <c r="F87" s="286"/>
    </row>
    <row r="88" spans="1:9" x14ac:dyDescent="0.25">
      <c r="A88" s="281" t="s">
        <v>242</v>
      </c>
      <c r="B88" s="283"/>
      <c r="C88" s="283"/>
      <c r="D88" s="284">
        <f>+D119</f>
        <v>244.01151368498165</v>
      </c>
      <c r="E88" s="285"/>
      <c r="F88" s="286"/>
    </row>
    <row r="89" spans="1:9" x14ac:dyDescent="0.25">
      <c r="A89" s="281" t="s">
        <v>243</v>
      </c>
      <c r="B89" s="290"/>
      <c r="C89" s="283"/>
      <c r="D89" s="284">
        <f>+F71+D41</f>
        <v>2748.516378335531</v>
      </c>
      <c r="E89" s="285"/>
      <c r="F89" s="286"/>
    </row>
    <row r="90" spans="1:9" ht="17.25" thickBot="1" x14ac:dyDescent="0.3">
      <c r="A90" s="291" t="s">
        <v>149</v>
      </c>
      <c r="B90" s="292"/>
      <c r="C90" s="292"/>
      <c r="D90" s="292"/>
      <c r="E90" s="293"/>
      <c r="F90" s="294"/>
    </row>
    <row r="93" spans="1:9" ht="17.25" thickBot="1" x14ac:dyDescent="0.3">
      <c r="A93" s="311" t="s">
        <v>47</v>
      </c>
      <c r="B93" s="312"/>
      <c r="I93" s="133"/>
    </row>
    <row r="94" spans="1:9" x14ac:dyDescent="0.25">
      <c r="A94" s="23"/>
      <c r="B94" s="331">
        <f>+D41</f>
        <v>2074.4564468864469</v>
      </c>
      <c r="C94" s="316">
        <f>0.016%+0.3%+0.68%+0.55%</f>
        <v>1.5460000000000002E-2</v>
      </c>
      <c r="D94" s="334">
        <f>C94*B94</f>
        <v>32.07109666886447</v>
      </c>
      <c r="I94" s="133"/>
    </row>
    <row r="95" spans="1:9" x14ac:dyDescent="0.25">
      <c r="A95" s="24" t="s">
        <v>150</v>
      </c>
      <c r="B95" s="332"/>
      <c r="C95" s="317"/>
      <c r="D95" s="335"/>
      <c r="E95" s="133"/>
      <c r="F95" s="133"/>
      <c r="G95" s="133"/>
      <c r="I95" s="133"/>
    </row>
    <row r="96" spans="1:9" s="133" customFormat="1" x14ac:dyDescent="0.25">
      <c r="A96" s="24" t="s">
        <v>53</v>
      </c>
      <c r="B96" s="332"/>
      <c r="C96" s="317"/>
      <c r="D96" s="335"/>
      <c r="H96" s="29"/>
    </row>
    <row r="97" spans="1:4" s="133" customFormat="1" ht="15" x14ac:dyDescent="0.25">
      <c r="A97" s="24" t="s">
        <v>54</v>
      </c>
      <c r="B97" s="332"/>
      <c r="C97" s="317"/>
      <c r="D97" s="335"/>
    </row>
    <row r="98" spans="1:4" s="133" customFormat="1" ht="15" x14ac:dyDescent="0.25">
      <c r="A98" s="24" t="s">
        <v>55</v>
      </c>
      <c r="B98" s="332"/>
      <c r="C98" s="317"/>
      <c r="D98" s="335"/>
    </row>
    <row r="99" spans="1:4" s="133" customFormat="1" ht="15" x14ac:dyDescent="0.25">
      <c r="A99" s="24" t="s">
        <v>151</v>
      </c>
      <c r="B99" s="332"/>
      <c r="C99" s="317"/>
      <c r="D99" s="335"/>
    </row>
    <row r="100" spans="1:4" s="133" customFormat="1" ht="15.75" thickBot="1" x14ac:dyDescent="0.3">
      <c r="A100" s="25"/>
      <c r="B100" s="333"/>
      <c r="C100" s="318"/>
      <c r="D100" s="336"/>
    </row>
    <row r="101" spans="1:4" s="133" customFormat="1" ht="17.25" thickBot="1" x14ac:dyDescent="0.3">
      <c r="A101" s="29"/>
      <c r="B101" s="134"/>
      <c r="C101" s="134"/>
      <c r="D101" s="134"/>
    </row>
    <row r="102" spans="1:4" s="133" customFormat="1" ht="17.25" thickBot="1" x14ac:dyDescent="0.3">
      <c r="A102" s="135" t="s">
        <v>56</v>
      </c>
      <c r="B102" s="136">
        <f>I22</f>
        <v>2074.4564468864469</v>
      </c>
      <c r="C102" s="137">
        <v>1E-3</v>
      </c>
      <c r="D102" s="138">
        <f>C102*B102</f>
        <v>2.074456446886447</v>
      </c>
    </row>
    <row r="103" spans="1:4" s="133" customFormat="1" ht="17.25" thickBot="1" x14ac:dyDescent="0.3">
      <c r="A103" s="29"/>
      <c r="B103" s="29"/>
      <c r="C103" s="29"/>
      <c r="D103" s="29"/>
    </row>
    <row r="104" spans="1:4" s="133" customFormat="1" ht="17.25" thickBot="1" x14ac:dyDescent="0.3">
      <c r="A104" s="139" t="s">
        <v>57</v>
      </c>
      <c r="B104" s="140"/>
      <c r="C104" s="140"/>
      <c r="D104" s="141">
        <f>D94+D102</f>
        <v>34.145553115750914</v>
      </c>
    </row>
    <row r="105" spans="1:4" s="133" customFormat="1" ht="17.25" thickBot="1" x14ac:dyDescent="0.3">
      <c r="A105" s="29"/>
      <c r="B105" s="29"/>
      <c r="C105" s="29"/>
      <c r="D105" s="29"/>
    </row>
    <row r="106" spans="1:4" s="133" customFormat="1" x14ac:dyDescent="0.25">
      <c r="A106" s="322" t="s">
        <v>58</v>
      </c>
      <c r="B106" s="323"/>
      <c r="C106" s="323"/>
      <c r="D106" s="324"/>
    </row>
    <row r="107" spans="1:4" s="133" customFormat="1" x14ac:dyDescent="0.25">
      <c r="A107" s="142" t="s">
        <v>59</v>
      </c>
      <c r="B107" s="143">
        <f>+D41</f>
        <v>2074.4564468864469</v>
      </c>
      <c r="C107" s="144">
        <v>2.4E-2</v>
      </c>
      <c r="D107" s="145">
        <f>C107*B107</f>
        <v>49.786954725274725</v>
      </c>
    </row>
    <row r="108" spans="1:4" s="133" customFormat="1" x14ac:dyDescent="0.25">
      <c r="A108" s="142" t="s">
        <v>60</v>
      </c>
      <c r="B108" s="143">
        <f>+B107</f>
        <v>2074.4564468864469</v>
      </c>
      <c r="C108" s="144">
        <v>7.4999999999999997E-3</v>
      </c>
      <c r="D108" s="145">
        <f t="shared" ref="D108:D109" si="3">C108*B108</f>
        <v>15.558423351648351</v>
      </c>
    </row>
    <row r="109" spans="1:4" s="133" customFormat="1" x14ac:dyDescent="0.25">
      <c r="A109" s="142" t="s">
        <v>61</v>
      </c>
      <c r="B109" s="143">
        <f>B66+B67</f>
        <v>2058.8980235347985</v>
      </c>
      <c r="C109" s="144">
        <v>-1.7000000000000001E-2</v>
      </c>
      <c r="D109" s="145">
        <f t="shared" si="3"/>
        <v>-35.001266400091581</v>
      </c>
    </row>
    <row r="110" spans="1:4" s="133" customFormat="1" x14ac:dyDescent="0.25">
      <c r="A110" s="146"/>
      <c r="B110" s="147"/>
      <c r="C110" s="148"/>
      <c r="D110" s="149"/>
    </row>
    <row r="111" spans="1:4" s="133" customFormat="1" ht="17.25" thickBot="1" x14ac:dyDescent="0.3">
      <c r="A111" s="150" t="s">
        <v>62</v>
      </c>
      <c r="B111" s="151"/>
      <c r="C111" s="152"/>
      <c r="D111" s="153">
        <f>SUM(D107:D110)</f>
        <v>30.344111676831503</v>
      </c>
    </row>
    <row r="112" spans="1:4" s="133" customFormat="1" ht="15" x14ac:dyDescent="0.25"/>
    <row r="113" spans="1:12" s="133" customFormat="1" ht="15.75" thickBot="1" x14ac:dyDescent="0.3"/>
    <row r="114" spans="1:12" s="133" customFormat="1" ht="17.25" thickBot="1" x14ac:dyDescent="0.3">
      <c r="A114" s="325" t="s">
        <v>68</v>
      </c>
      <c r="B114" s="326"/>
      <c r="C114" s="326"/>
      <c r="D114" s="327"/>
    </row>
    <row r="115" spans="1:12" s="133" customFormat="1" x14ac:dyDescent="0.25">
      <c r="A115" s="154" t="s">
        <v>63</v>
      </c>
      <c r="B115" s="155"/>
      <c r="C115" s="155"/>
      <c r="D115" s="156">
        <f>+H163</f>
        <v>82.203910827838797</v>
      </c>
    </row>
    <row r="116" spans="1:12" s="133" customFormat="1" x14ac:dyDescent="0.25">
      <c r="A116" s="142" t="s">
        <v>64</v>
      </c>
      <c r="B116" s="157">
        <f>B24+B25</f>
        <v>0</v>
      </c>
      <c r="C116" s="158">
        <v>1.5</v>
      </c>
      <c r="D116" s="159">
        <f>C116*B116</f>
        <v>0</v>
      </c>
    </row>
    <row r="117" spans="1:12" s="133" customFormat="1" x14ac:dyDescent="0.25">
      <c r="A117" s="142" t="s">
        <v>65</v>
      </c>
      <c r="B117" s="143">
        <f>+D41</f>
        <v>2074.4564468864469</v>
      </c>
      <c r="C117" s="144">
        <v>1.7999999999999999E-2</v>
      </c>
      <c r="D117" s="159">
        <f>C117*B117</f>
        <v>37.34021604395604</v>
      </c>
    </row>
    <row r="118" spans="1:12" s="133" customFormat="1" ht="15.75" customHeight="1" x14ac:dyDescent="0.25">
      <c r="A118" s="142" t="s">
        <v>66</v>
      </c>
      <c r="B118" s="143">
        <f>B117</f>
        <v>2074.4564468864469</v>
      </c>
      <c r="C118" s="144">
        <v>0.06</v>
      </c>
      <c r="D118" s="159">
        <f>C118*B118</f>
        <v>124.46738681318681</v>
      </c>
    </row>
    <row r="119" spans="1:12" s="133" customFormat="1" ht="15.75" customHeight="1" thickBot="1" x14ac:dyDescent="0.3">
      <c r="A119" s="150" t="s">
        <v>67</v>
      </c>
      <c r="B119" s="160"/>
      <c r="C119" s="160"/>
      <c r="D119" s="161">
        <f>SUM(D115:D118)</f>
        <v>244.01151368498165</v>
      </c>
    </row>
    <row r="120" spans="1:12" s="133" customFormat="1" ht="15.75" customHeight="1" x14ac:dyDescent="0.25">
      <c r="A120" s="29"/>
      <c r="B120" s="29"/>
      <c r="C120" s="29"/>
      <c r="D120" s="29"/>
    </row>
    <row r="121" spans="1:12" ht="23.25" x14ac:dyDescent="0.25">
      <c r="A121" s="364" t="s">
        <v>299</v>
      </c>
      <c r="B121" s="164"/>
      <c r="C121" s="164"/>
      <c r="D121" s="164"/>
      <c r="E121" s="133"/>
      <c r="F121" s="133"/>
      <c r="G121" s="133"/>
      <c r="H121" s="133"/>
      <c r="I121" s="133"/>
      <c r="J121" s="1"/>
      <c r="K121" s="1"/>
    </row>
    <row r="122" spans="1:12" ht="17.25" thickBot="1" x14ac:dyDescent="0.3">
      <c r="A122" s="1"/>
      <c r="B122" s="1"/>
      <c r="C122" s="1"/>
      <c r="D122" s="1"/>
      <c r="E122" s="1"/>
      <c r="F122" s="1"/>
      <c r="G122" s="1"/>
      <c r="H122" s="1"/>
      <c r="I122" s="1"/>
      <c r="J122" s="1"/>
      <c r="K122" s="1"/>
    </row>
    <row r="123" spans="1:12" ht="19.5" thickTop="1" thickBot="1" x14ac:dyDescent="0.3">
      <c r="A123" s="172" t="s">
        <v>222</v>
      </c>
      <c r="B123" s="1"/>
      <c r="C123" s="405" t="s">
        <v>349</v>
      </c>
      <c r="D123" s="406"/>
      <c r="E123" s="1"/>
      <c r="F123" s="1"/>
      <c r="G123" s="1"/>
      <c r="H123" s="1"/>
      <c r="I123" s="1"/>
      <c r="J123" s="1"/>
      <c r="K123" s="1"/>
    </row>
    <row r="124" spans="1:12" ht="18" thickTop="1" thickBot="1" x14ac:dyDescent="0.3">
      <c r="A124" s="6" t="s">
        <v>277</v>
      </c>
      <c r="B124" s="239" t="s">
        <v>223</v>
      </c>
      <c r="C124" s="354"/>
      <c r="D124" s="355" t="s">
        <v>278</v>
      </c>
      <c r="E124" s="1"/>
      <c r="F124" s="1"/>
      <c r="G124" s="1"/>
      <c r="H124" s="1"/>
      <c r="I124" s="1"/>
      <c r="J124" s="1"/>
      <c r="K124" s="1"/>
    </row>
    <row r="125" spans="1:12" ht="17.25" thickBot="1" x14ac:dyDescent="0.3">
      <c r="A125" s="6" t="s">
        <v>277</v>
      </c>
      <c r="B125" s="354" t="s">
        <v>279</v>
      </c>
      <c r="C125" s="354"/>
      <c r="D125" s="185" t="s">
        <v>280</v>
      </c>
      <c r="E125" s="1"/>
      <c r="F125" s="1"/>
      <c r="G125" s="1"/>
      <c r="H125" s="1"/>
      <c r="I125" s="1"/>
      <c r="J125" s="1"/>
      <c r="K125" s="1"/>
    </row>
    <row r="126" spans="1:12" x14ac:dyDescent="0.25">
      <c r="A126" s="6" t="s">
        <v>277</v>
      </c>
      <c r="B126" s="177" t="s">
        <v>221</v>
      </c>
      <c r="C126" s="177"/>
      <c r="D126" s="14" t="s">
        <v>278</v>
      </c>
      <c r="E126" s="1"/>
      <c r="F126" s="1"/>
      <c r="G126" s="1"/>
      <c r="H126" s="1"/>
      <c r="I126" s="1"/>
      <c r="J126" s="1"/>
      <c r="K126" s="1"/>
    </row>
    <row r="127" spans="1:12" ht="17.25" thickBot="1" x14ac:dyDescent="0.3">
      <c r="A127" s="1"/>
      <c r="B127" s="1"/>
      <c r="C127" s="1"/>
      <c r="D127" s="1"/>
      <c r="E127" s="1"/>
      <c r="F127" s="1"/>
      <c r="G127" s="1"/>
      <c r="H127" s="1"/>
      <c r="I127" s="1"/>
      <c r="J127" s="1"/>
      <c r="K127" s="1"/>
    </row>
    <row r="128" spans="1:12" x14ac:dyDescent="0.25">
      <c r="A128" s="322" t="s">
        <v>190</v>
      </c>
      <c r="B128" s="323"/>
      <c r="C128" s="323"/>
      <c r="D128" s="324"/>
      <c r="E128" s="1"/>
      <c r="F128" s="1"/>
      <c r="G128" s="1"/>
      <c r="H128" s="1"/>
      <c r="I128" s="1"/>
      <c r="J128" s="1"/>
      <c r="K128" s="1"/>
      <c r="L128" s="1"/>
    </row>
    <row r="129" spans="1:12" x14ac:dyDescent="0.25">
      <c r="A129" s="206" t="s">
        <v>190</v>
      </c>
      <c r="B129" s="207" t="s">
        <v>284</v>
      </c>
      <c r="C129" s="207"/>
      <c r="D129" s="208">
        <f>2600/30.42*0.6</f>
        <v>51.282051282051277</v>
      </c>
      <c r="E129" s="1"/>
      <c r="F129" s="1"/>
      <c r="G129" s="1"/>
      <c r="H129" s="1"/>
      <c r="I129" s="1"/>
      <c r="J129" s="1"/>
      <c r="K129" s="1"/>
      <c r="L129" s="1"/>
    </row>
    <row r="130" spans="1:12" x14ac:dyDescent="0.25">
      <c r="A130" s="359" t="s">
        <v>291</v>
      </c>
      <c r="B130" s="360" t="s">
        <v>285</v>
      </c>
      <c r="C130" s="360"/>
      <c r="D130" s="361">
        <f>D129*8</f>
        <v>410.25641025641022</v>
      </c>
      <c r="E130" s="1"/>
      <c r="F130" s="1"/>
      <c r="G130" s="1"/>
      <c r="H130" s="1"/>
      <c r="I130" s="1"/>
      <c r="J130" s="1"/>
      <c r="K130" s="1"/>
      <c r="L130" s="1"/>
    </row>
    <row r="131" spans="1:12" x14ac:dyDescent="0.25">
      <c r="A131" s="142" t="s">
        <v>61</v>
      </c>
      <c r="B131" s="157" t="s">
        <v>292</v>
      </c>
      <c r="C131" s="157"/>
      <c r="D131" s="199">
        <f>+D130*6.7/100</f>
        <v>27.487179487179489</v>
      </c>
      <c r="E131" s="1"/>
      <c r="F131" s="1"/>
      <c r="G131" s="1"/>
      <c r="H131" s="1"/>
      <c r="I131" s="1"/>
      <c r="J131" s="1"/>
      <c r="K131" s="1"/>
      <c r="L131" s="1"/>
    </row>
    <row r="132" spans="1:12" ht="17.25" thickBot="1" x14ac:dyDescent="0.3">
      <c r="A132" s="233" t="s">
        <v>293</v>
      </c>
      <c r="B132" s="160"/>
      <c r="C132" s="160"/>
      <c r="D132" s="362">
        <f>D130-D131</f>
        <v>382.76923076923072</v>
      </c>
      <c r="E132" s="1"/>
      <c r="F132" s="1"/>
      <c r="G132" s="1"/>
      <c r="H132" s="1"/>
      <c r="I132" s="1"/>
      <c r="J132" s="1"/>
      <c r="K132" s="1"/>
      <c r="L132" s="1"/>
    </row>
    <row r="133" spans="1:12" x14ac:dyDescent="0.25">
      <c r="D133" s="358"/>
      <c r="E133" s="1"/>
      <c r="F133" s="1"/>
      <c r="G133" s="1"/>
      <c r="H133" s="1"/>
      <c r="I133" s="1"/>
      <c r="J133" s="1"/>
      <c r="K133" s="1"/>
      <c r="L133" s="1"/>
    </row>
    <row r="134" spans="1:12" ht="17.25" thickBot="1" x14ac:dyDescent="0.3"/>
    <row r="135" spans="1:12" x14ac:dyDescent="0.25">
      <c r="A135" s="322" t="s">
        <v>350</v>
      </c>
      <c r="B135" s="323"/>
      <c r="C135" s="323"/>
      <c r="D135" s="324"/>
    </row>
    <row r="136" spans="1:12" x14ac:dyDescent="0.25">
      <c r="A136" s="142" t="s">
        <v>216</v>
      </c>
      <c r="B136" s="157"/>
      <c r="C136" s="157"/>
      <c r="D136" s="198">
        <v>21</v>
      </c>
    </row>
    <row r="137" spans="1:12" x14ac:dyDescent="0.25">
      <c r="A137" s="142" t="s">
        <v>192</v>
      </c>
      <c r="B137" s="157" t="s">
        <v>353</v>
      </c>
      <c r="C137" s="157"/>
      <c r="D137" s="199">
        <f>'VINCKEL SALAIRE HABITUEL'!C141/D136</f>
        <v>96.649119047619052</v>
      </c>
    </row>
    <row r="138" spans="1:12" x14ac:dyDescent="0.25">
      <c r="A138" s="142" t="s">
        <v>218</v>
      </c>
      <c r="B138" s="157"/>
      <c r="C138" s="157" t="s">
        <v>281</v>
      </c>
      <c r="D138" s="235" t="s">
        <v>278</v>
      </c>
      <c r="E138" s="134" t="s">
        <v>282</v>
      </c>
      <c r="F138" s="134"/>
    </row>
    <row r="139" spans="1:12" ht="17.25" thickBot="1" x14ac:dyDescent="0.3">
      <c r="A139" s="233" t="s">
        <v>219</v>
      </c>
      <c r="B139" s="234" t="s">
        <v>287</v>
      </c>
      <c r="C139" s="234"/>
      <c r="D139" s="236">
        <f>6*D137</f>
        <v>579.89471428571437</v>
      </c>
    </row>
    <row r="140" spans="1:12" ht="17.25" thickBot="1" x14ac:dyDescent="0.3"/>
    <row r="141" spans="1:12" x14ac:dyDescent="0.25">
      <c r="A141" s="322" t="s">
        <v>294</v>
      </c>
      <c r="B141" s="323"/>
      <c r="C141" s="323"/>
      <c r="D141" s="324"/>
      <c r="E141" s="1"/>
      <c r="F141" s="1"/>
      <c r="G141" s="1"/>
      <c r="H141" s="1"/>
      <c r="I141" s="1"/>
      <c r="J141" s="1"/>
      <c r="K141" s="1"/>
      <c r="L141" s="1"/>
    </row>
    <row r="142" spans="1:12" x14ac:dyDescent="0.25">
      <c r="A142" s="142" t="s">
        <v>295</v>
      </c>
      <c r="B142" s="157"/>
      <c r="C142" s="157"/>
      <c r="D142" s="363">
        <f>'VINCKEL SALAIRE HABITUEL'!C141</f>
        <v>2029.6315</v>
      </c>
      <c r="E142" s="1"/>
      <c r="F142" s="1"/>
      <c r="G142" s="1"/>
      <c r="H142" s="1"/>
      <c r="I142" s="1"/>
      <c r="J142" s="1"/>
      <c r="K142" s="1"/>
      <c r="L142" s="1"/>
    </row>
    <row r="143" spans="1:12" x14ac:dyDescent="0.25">
      <c r="A143" s="142" t="s">
        <v>296</v>
      </c>
      <c r="B143" s="157"/>
      <c r="C143" s="157"/>
      <c r="D143" s="145">
        <f>+D130</f>
        <v>410.25641025641022</v>
      </c>
    </row>
    <row r="144" spans="1:12" x14ac:dyDescent="0.25">
      <c r="A144" s="142" t="s">
        <v>297</v>
      </c>
      <c r="B144" s="157"/>
      <c r="C144" s="157"/>
      <c r="D144" s="145">
        <f>+D142-D143</f>
        <v>1619.3750897435898</v>
      </c>
      <c r="E144" s="134"/>
      <c r="F144" s="134"/>
    </row>
    <row r="145" spans="1:8" ht="17.25" thickBot="1" x14ac:dyDescent="0.3">
      <c r="A145" s="233" t="s">
        <v>25</v>
      </c>
      <c r="B145" s="234" t="s">
        <v>298</v>
      </c>
      <c r="C145" s="234"/>
      <c r="D145" s="236">
        <f>D144/(1-'VINCKEL SALAIRE HABITUEL'!C74)</f>
        <v>2074.4530390533128</v>
      </c>
      <c r="F145" s="295"/>
    </row>
    <row r="147" spans="1:8" ht="17.25" thickBot="1" x14ac:dyDescent="0.3"/>
    <row r="148" spans="1:8" ht="18.75" x14ac:dyDescent="0.25">
      <c r="A148" s="370" t="s">
        <v>307</v>
      </c>
      <c r="B148" s="371"/>
    </row>
    <row r="149" spans="1:8" x14ac:dyDescent="0.25">
      <c r="A149" s="34" t="s">
        <v>308</v>
      </c>
      <c r="B149" s="162">
        <f>F80</f>
        <v>2002.1469807610804</v>
      </c>
    </row>
    <row r="150" spans="1:8" x14ac:dyDescent="0.25">
      <c r="A150" s="34" t="s">
        <v>309</v>
      </c>
      <c r="B150" s="162">
        <f>'VINCKEL SALAIRE HABITUEL'!C141</f>
        <v>2029.6315</v>
      </c>
    </row>
    <row r="151" spans="1:8" x14ac:dyDescent="0.25">
      <c r="A151" s="34" t="s">
        <v>310</v>
      </c>
      <c r="B151" s="372">
        <f>B150-B149</f>
        <v>27.484519238919574</v>
      </c>
    </row>
    <row r="152" spans="1:8" ht="17.25" thickBot="1" x14ac:dyDescent="0.3">
      <c r="A152" s="78" t="s">
        <v>311</v>
      </c>
      <c r="B152" s="373">
        <f>+D131</f>
        <v>27.487179487179489</v>
      </c>
      <c r="C152" s="408" t="s">
        <v>359</v>
      </c>
    </row>
    <row r="153" spans="1:8" x14ac:dyDescent="0.25">
      <c r="D153" s="295"/>
    </row>
    <row r="154" spans="1:8" x14ac:dyDescent="0.25">
      <c r="D154" s="295"/>
    </row>
    <row r="155" spans="1:8" ht="21.75" thickBot="1" x14ac:dyDescent="0.3">
      <c r="A155" s="309" t="s">
        <v>173</v>
      </c>
      <c r="B155" s="310"/>
      <c r="C155" s="310"/>
      <c r="D155" s="310"/>
      <c r="E155" s="310"/>
      <c r="F155" s="310"/>
      <c r="G155" s="310"/>
      <c r="H155" s="310"/>
    </row>
    <row r="156" spans="1:8" ht="17.25" thickBot="1" x14ac:dyDescent="0.3">
      <c r="A156" s="173" t="s">
        <v>162</v>
      </c>
      <c r="B156" s="174">
        <v>0.31909999999999999</v>
      </c>
      <c r="C156" s="1"/>
      <c r="D156" s="1"/>
      <c r="E156" s="1"/>
      <c r="F156" s="1"/>
      <c r="G156" s="1"/>
      <c r="H156" s="1"/>
    </row>
    <row r="157" spans="1:8" ht="17.25" thickBot="1" x14ac:dyDescent="0.3">
      <c r="A157" s="1"/>
      <c r="B157" s="1"/>
      <c r="C157" s="1"/>
      <c r="D157" s="1"/>
      <c r="E157" s="1"/>
      <c r="F157" s="1"/>
      <c r="G157" s="1"/>
      <c r="H157" s="1"/>
    </row>
    <row r="158" spans="1:8" ht="30" x14ac:dyDescent="0.25">
      <c r="A158" s="6" t="s">
        <v>76</v>
      </c>
      <c r="B158" s="4" t="s">
        <v>163</v>
      </c>
      <c r="C158" s="4" t="s">
        <v>164</v>
      </c>
      <c r="D158" s="170" t="s">
        <v>161</v>
      </c>
      <c r="E158" s="167" t="s">
        <v>165</v>
      </c>
      <c r="F158" s="167" t="s">
        <v>166</v>
      </c>
      <c r="G158" s="167" t="s">
        <v>167</v>
      </c>
      <c r="H158" s="168" t="s">
        <v>174</v>
      </c>
    </row>
    <row r="159" spans="1:8" x14ac:dyDescent="0.25">
      <c r="A159" s="7" t="s">
        <v>168</v>
      </c>
      <c r="B159" s="175">
        <v>2600</v>
      </c>
      <c r="C159" s="176">
        <f>B159</f>
        <v>2600</v>
      </c>
      <c r="D159" s="229">
        <f>1709.28</f>
        <v>1709.28</v>
      </c>
      <c r="E159" s="175">
        <f>+D159</f>
        <v>1709.28</v>
      </c>
      <c r="F159" s="177">
        <f>ROUND(($B$156/0.6)*((1.6*E159/C159)-1),4)</f>
        <v>2.76E-2</v>
      </c>
      <c r="G159" s="176">
        <f>IF(F159&gt;0,F159*C159,0)</f>
        <v>71.760000000000005</v>
      </c>
      <c r="H159" s="182">
        <f>G159</f>
        <v>71.760000000000005</v>
      </c>
    </row>
    <row r="160" spans="1:8" x14ac:dyDescent="0.25">
      <c r="A160" s="7" t="s">
        <v>169</v>
      </c>
      <c r="B160" s="175">
        <v>2600</v>
      </c>
      <c r="C160" s="176">
        <f>C159+B160</f>
        <v>5200</v>
      </c>
      <c r="D160" s="229">
        <f t="shared" ref="D160:D162" si="4">1709.28</f>
        <v>1709.28</v>
      </c>
      <c r="E160" s="175">
        <f>D160+E159</f>
        <v>3418.56</v>
      </c>
      <c r="F160" s="177">
        <f t="shared" ref="F160:F163" si="5">ROUND(($B$156/0.6)*((1.6*E160/C160)-1),4)</f>
        <v>2.76E-2</v>
      </c>
      <c r="G160" s="176">
        <f t="shared" ref="G160:G163" si="6">IF(F160&gt;0,F160*C160,0)</f>
        <v>143.52000000000001</v>
      </c>
      <c r="H160" s="182">
        <f>G160-G159</f>
        <v>71.760000000000005</v>
      </c>
    </row>
    <row r="161" spans="1:8" x14ac:dyDescent="0.25">
      <c r="A161" s="7" t="s">
        <v>170</v>
      </c>
      <c r="B161" s="175">
        <v>2600</v>
      </c>
      <c r="C161" s="176">
        <f t="shared" ref="C161:C163" si="7">C160+B161</f>
        <v>7800</v>
      </c>
      <c r="D161" s="229">
        <f t="shared" si="4"/>
        <v>1709.28</v>
      </c>
      <c r="E161" s="175">
        <f t="shared" ref="E161:E163" si="8">D161+E160</f>
        <v>5127.84</v>
      </c>
      <c r="F161" s="177">
        <f t="shared" si="5"/>
        <v>2.76E-2</v>
      </c>
      <c r="G161" s="176">
        <f t="shared" si="6"/>
        <v>215.28</v>
      </c>
      <c r="H161" s="182">
        <f t="shared" ref="H161:H163" si="9">G161-G160</f>
        <v>71.759999999999991</v>
      </c>
    </row>
    <row r="162" spans="1:8" x14ac:dyDescent="0.25">
      <c r="A162" s="7" t="s">
        <v>171</v>
      </c>
      <c r="B162" s="175">
        <v>2600</v>
      </c>
      <c r="C162" s="176">
        <f t="shared" si="7"/>
        <v>10400</v>
      </c>
      <c r="D162" s="229">
        <f t="shared" si="4"/>
        <v>1709.28</v>
      </c>
      <c r="E162" s="175">
        <f t="shared" si="8"/>
        <v>6837.12</v>
      </c>
      <c r="F162" s="177">
        <f t="shared" si="5"/>
        <v>2.76E-2</v>
      </c>
      <c r="G162" s="176">
        <f t="shared" si="6"/>
        <v>287.04000000000002</v>
      </c>
      <c r="H162" s="182">
        <f t="shared" si="9"/>
        <v>71.760000000000019</v>
      </c>
    </row>
    <row r="163" spans="1:8" ht="17.25" thickBot="1" x14ac:dyDescent="0.3">
      <c r="A163" s="10" t="s">
        <v>172</v>
      </c>
      <c r="B163" s="178">
        <f>D41</f>
        <v>2074.4564468864469</v>
      </c>
      <c r="C163" s="179">
        <f t="shared" si="7"/>
        <v>12474.456446886446</v>
      </c>
      <c r="D163" s="232">
        <f>1747.2/2600*B163</f>
        <v>1394.0347323076924</v>
      </c>
      <c r="E163" s="178">
        <f t="shared" si="8"/>
        <v>8231.154732307692</v>
      </c>
      <c r="F163" s="177">
        <f t="shared" si="5"/>
        <v>2.9600000000000001E-2</v>
      </c>
      <c r="G163" s="179">
        <f t="shared" si="6"/>
        <v>369.24391082783882</v>
      </c>
      <c r="H163" s="205">
        <f t="shared" si="9"/>
        <v>82.203910827838797</v>
      </c>
    </row>
    <row r="164" spans="1:8" x14ac:dyDescent="0.25">
      <c r="D164" s="392" t="s">
        <v>360</v>
      </c>
    </row>
    <row r="165" spans="1:8" x14ac:dyDescent="0.25">
      <c r="D165" s="295"/>
    </row>
  </sheetData>
  <mergeCells count="12">
    <mergeCell ref="A106:D106"/>
    <mergeCell ref="A155:H155"/>
    <mergeCell ref="B17:C17"/>
    <mergeCell ref="E17:F17"/>
    <mergeCell ref="A114:D114"/>
    <mergeCell ref="A128:D128"/>
    <mergeCell ref="A141:D141"/>
    <mergeCell ref="A135:D135"/>
    <mergeCell ref="A93:B93"/>
    <mergeCell ref="B94:B100"/>
    <mergeCell ref="C94:C100"/>
    <mergeCell ref="D94:D100"/>
  </mergeCells>
  <phoneticPr fontId="6"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1185D6-5532-4178-A20B-36AEB686B8F2}">
  <dimension ref="A1:O171"/>
  <sheetViews>
    <sheetView zoomScale="75" zoomScaleNormal="75" workbookViewId="0">
      <selection activeCell="D30" sqref="D30"/>
    </sheetView>
  </sheetViews>
  <sheetFormatPr baseColWidth="10" defaultRowHeight="16.5" x14ac:dyDescent="0.25"/>
  <cols>
    <col min="1" max="1" width="95.5703125" style="29" customWidth="1"/>
    <col min="2" max="2" width="18.85546875" style="29" bestFit="1" customWidth="1"/>
    <col min="3" max="3" width="17.140625" style="29" bestFit="1" customWidth="1"/>
    <col min="4" max="4" width="34.140625" style="29" customWidth="1"/>
    <col min="5" max="5" width="12.5703125" style="29" customWidth="1"/>
    <col min="6" max="6" width="18.28515625" style="29" customWidth="1"/>
    <col min="7" max="7" width="11.42578125" style="29"/>
    <col min="8" max="8" width="51.85546875" style="29" bestFit="1" customWidth="1"/>
    <col min="9" max="9" width="13" style="29" bestFit="1" customWidth="1"/>
    <col min="10" max="10" width="12" style="29" bestFit="1" customWidth="1"/>
    <col min="11" max="11" width="11.42578125" style="29"/>
    <col min="12" max="12" width="12.140625" style="29" bestFit="1" customWidth="1"/>
    <col min="13" max="14" width="12" style="29" bestFit="1" customWidth="1"/>
    <col min="15" max="16384" width="11.42578125" style="29"/>
  </cols>
  <sheetData>
    <row r="1" spans="1:6" x14ac:dyDescent="0.25">
      <c r="A1" s="26" t="s">
        <v>78</v>
      </c>
      <c r="B1" s="27"/>
      <c r="C1" s="27"/>
      <c r="D1" s="27"/>
      <c r="E1" s="27"/>
      <c r="F1" s="28"/>
    </row>
    <row r="2" spans="1:6" x14ac:dyDescent="0.25">
      <c r="A2" s="30" t="s">
        <v>79</v>
      </c>
      <c r="B2" s="31"/>
      <c r="C2" s="31"/>
      <c r="D2" s="31" t="s">
        <v>80</v>
      </c>
      <c r="E2" s="31"/>
      <c r="F2" s="275" t="s">
        <v>234</v>
      </c>
    </row>
    <row r="3" spans="1:6" x14ac:dyDescent="0.25">
      <c r="A3" s="33" t="s">
        <v>81</v>
      </c>
      <c r="B3" s="31"/>
      <c r="C3" s="31"/>
      <c r="D3" s="31" t="s">
        <v>81</v>
      </c>
      <c r="E3" s="31"/>
      <c r="F3" s="32"/>
    </row>
    <row r="4" spans="1:6" x14ac:dyDescent="0.25">
      <c r="A4" s="33" t="s">
        <v>82</v>
      </c>
      <c r="B4" s="31"/>
      <c r="C4" s="31"/>
      <c r="D4" s="31" t="s">
        <v>234</v>
      </c>
      <c r="E4" s="31"/>
      <c r="F4" s="32"/>
    </row>
    <row r="5" spans="1:6" x14ac:dyDescent="0.25">
      <c r="A5" s="33" t="s">
        <v>83</v>
      </c>
      <c r="B5" s="31"/>
      <c r="C5" s="31"/>
      <c r="D5" s="31" t="s">
        <v>84</v>
      </c>
      <c r="E5" s="31"/>
      <c r="F5" s="32"/>
    </row>
    <row r="6" spans="1:6" x14ac:dyDescent="0.25">
      <c r="A6" s="33" t="s">
        <v>83</v>
      </c>
      <c r="B6" s="31"/>
      <c r="C6" s="31"/>
      <c r="D6" s="31" t="s">
        <v>85</v>
      </c>
      <c r="E6" s="31"/>
      <c r="F6" s="32"/>
    </row>
    <row r="7" spans="1:6" x14ac:dyDescent="0.25">
      <c r="A7" s="33" t="s">
        <v>86</v>
      </c>
      <c r="B7" s="31"/>
      <c r="C7" s="31"/>
      <c r="D7" s="31"/>
      <c r="E7" s="31"/>
      <c r="F7" s="32"/>
    </row>
    <row r="8" spans="1:6" x14ac:dyDescent="0.25">
      <c r="A8" s="33" t="s">
        <v>87</v>
      </c>
      <c r="B8" s="31"/>
      <c r="C8" s="31"/>
      <c r="D8" s="31" t="s">
        <v>88</v>
      </c>
      <c r="E8" s="31"/>
      <c r="F8" s="32"/>
    </row>
    <row r="9" spans="1:6" x14ac:dyDescent="0.25">
      <c r="A9" s="33" t="s">
        <v>89</v>
      </c>
      <c r="B9" s="31"/>
      <c r="C9" s="31"/>
      <c r="D9" s="31" t="s">
        <v>90</v>
      </c>
      <c r="E9" s="31"/>
      <c r="F9" s="32"/>
    </row>
    <row r="10" spans="1:6" x14ac:dyDescent="0.25">
      <c r="A10" s="33" t="s">
        <v>91</v>
      </c>
      <c r="B10" s="31"/>
      <c r="C10" s="31"/>
      <c r="D10" s="31" t="s">
        <v>92</v>
      </c>
      <c r="E10" s="31"/>
      <c r="F10" s="32"/>
    </row>
    <row r="11" spans="1:6" x14ac:dyDescent="0.25">
      <c r="A11" s="33" t="s">
        <v>93</v>
      </c>
      <c r="B11" s="31"/>
      <c r="C11" s="31"/>
      <c r="D11" s="31" t="s">
        <v>94</v>
      </c>
      <c r="E11" s="31"/>
      <c r="F11" s="32"/>
    </row>
    <row r="12" spans="1:6" x14ac:dyDescent="0.25">
      <c r="A12" s="33" t="s">
        <v>95</v>
      </c>
      <c r="B12" s="31"/>
      <c r="C12" s="31"/>
      <c r="D12" s="31" t="s">
        <v>96</v>
      </c>
      <c r="E12" s="31"/>
      <c r="F12" s="32"/>
    </row>
    <row r="13" spans="1:6" x14ac:dyDescent="0.25">
      <c r="A13" s="33" t="s">
        <v>97</v>
      </c>
      <c r="B13" s="31"/>
      <c r="C13" s="31"/>
      <c r="D13" s="31" t="s">
        <v>98</v>
      </c>
      <c r="E13" s="31"/>
      <c r="F13" s="32"/>
    </row>
    <row r="14" spans="1:6" x14ac:dyDescent="0.25">
      <c r="A14" s="33"/>
      <c r="B14" s="31"/>
      <c r="C14" s="31"/>
      <c r="D14" s="31" t="s">
        <v>99</v>
      </c>
      <c r="E14" s="31"/>
      <c r="F14" s="32"/>
    </row>
    <row r="15" spans="1:6" x14ac:dyDescent="0.25">
      <c r="A15" s="34"/>
      <c r="B15" s="31"/>
      <c r="C15" s="31"/>
      <c r="D15" s="31"/>
      <c r="E15" s="31"/>
      <c r="F15" s="32"/>
    </row>
    <row r="16" spans="1:6" x14ac:dyDescent="0.25">
      <c r="A16" s="34"/>
      <c r="B16" s="31"/>
      <c r="C16" s="31"/>
      <c r="D16" s="31"/>
      <c r="E16" s="31"/>
      <c r="F16" s="32"/>
    </row>
    <row r="17" spans="1:15" x14ac:dyDescent="0.25">
      <c r="A17" s="35" t="s">
        <v>100</v>
      </c>
      <c r="B17" s="328"/>
      <c r="C17" s="329"/>
      <c r="D17" s="36"/>
      <c r="E17" s="328"/>
      <c r="F17" s="330"/>
    </row>
    <row r="18" spans="1:15" ht="20.25" customHeight="1" thickBot="1" x14ac:dyDescent="0.3">
      <c r="A18" s="37" t="s">
        <v>101</v>
      </c>
      <c r="B18" s="38"/>
      <c r="C18" s="38"/>
      <c r="D18" s="38"/>
      <c r="E18" s="38"/>
      <c r="F18" s="39"/>
    </row>
    <row r="19" spans="1:15" ht="24" customHeight="1" x14ac:dyDescent="0.25">
      <c r="A19" s="40" t="s">
        <v>101</v>
      </c>
      <c r="B19" s="41" t="s">
        <v>102</v>
      </c>
      <c r="C19" s="41" t="s">
        <v>103</v>
      </c>
      <c r="D19" s="41" t="s">
        <v>104</v>
      </c>
      <c r="E19" s="42"/>
      <c r="F19" s="43"/>
      <c r="H19" s="44" t="s">
        <v>105</v>
      </c>
      <c r="I19" s="45">
        <v>7.0000000000000007E-2</v>
      </c>
    </row>
    <row r="20" spans="1:15" s="50" customFormat="1" x14ac:dyDescent="0.25">
      <c r="A20" s="34" t="s">
        <v>7</v>
      </c>
      <c r="B20" s="46">
        <v>151.66999999999999</v>
      </c>
      <c r="C20" s="47">
        <f>D20/151.67</f>
        <v>16.483154216390851</v>
      </c>
      <c r="D20" s="48">
        <v>2500</v>
      </c>
      <c r="E20" s="42"/>
      <c r="F20" s="49"/>
      <c r="H20" s="51" t="s">
        <v>106</v>
      </c>
      <c r="I20" s="52">
        <v>3.4500000000000003E-2</v>
      </c>
      <c r="J20" s="29"/>
      <c r="K20" s="29"/>
      <c r="L20" s="29"/>
      <c r="M20" s="29"/>
      <c r="N20" s="29"/>
      <c r="O20" s="29"/>
    </row>
    <row r="21" spans="1:15" s="50" customFormat="1" x14ac:dyDescent="0.25">
      <c r="A21" s="34" t="s">
        <v>107</v>
      </c>
      <c r="B21" s="46"/>
      <c r="C21" s="47"/>
      <c r="D21" s="53">
        <f>I31</f>
        <v>0</v>
      </c>
      <c r="E21" s="42"/>
      <c r="F21" s="49"/>
      <c r="H21" s="54" t="s">
        <v>108</v>
      </c>
      <c r="I21" s="55">
        <v>2.7E-2</v>
      </c>
      <c r="J21" s="29"/>
      <c r="K21" s="29"/>
      <c r="L21" s="29"/>
      <c r="M21" s="29"/>
      <c r="N21" s="29"/>
      <c r="O21" s="29"/>
    </row>
    <row r="22" spans="1:15" s="50" customFormat="1" x14ac:dyDescent="0.25">
      <c r="A22" s="34" t="s">
        <v>23</v>
      </c>
      <c r="B22" s="56"/>
      <c r="C22" s="57">
        <f>-D20/154</f>
        <v>-16.233766233766232</v>
      </c>
      <c r="D22" s="48">
        <f>C22*B22</f>
        <v>0</v>
      </c>
      <c r="E22" s="42"/>
      <c r="F22" s="49"/>
      <c r="H22" s="34" t="s">
        <v>109</v>
      </c>
      <c r="I22" s="58">
        <f>+G135</f>
        <v>5039.8350289849932</v>
      </c>
      <c r="J22" s="29"/>
      <c r="K22" s="29"/>
      <c r="L22" s="29"/>
      <c r="M22" s="29"/>
      <c r="N22" s="29"/>
      <c r="O22" s="29"/>
    </row>
    <row r="23" spans="1:15" s="50" customFormat="1" x14ac:dyDescent="0.25">
      <c r="A23" s="34"/>
      <c r="B23" s="46"/>
      <c r="C23" s="47"/>
      <c r="D23" s="31"/>
      <c r="E23" s="42"/>
      <c r="F23" s="49"/>
      <c r="H23" s="34" t="s">
        <v>110</v>
      </c>
      <c r="I23" s="58"/>
      <c r="J23" s="29"/>
      <c r="K23" s="29"/>
      <c r="L23" s="29"/>
      <c r="M23" s="29"/>
      <c r="N23" s="29"/>
      <c r="O23" s="29"/>
    </row>
    <row r="24" spans="1:15" x14ac:dyDescent="0.25">
      <c r="A24" s="34" t="s">
        <v>111</v>
      </c>
      <c r="B24" s="59"/>
      <c r="C24" s="60">
        <f>D20/151.67*1.25</f>
        <v>20.603942770488565</v>
      </c>
      <c r="D24" s="61">
        <f>C24*B24</f>
        <v>0</v>
      </c>
      <c r="E24" s="42"/>
      <c r="F24" s="62"/>
      <c r="H24" s="34" t="s">
        <v>112</v>
      </c>
      <c r="I24" s="58"/>
    </row>
    <row r="25" spans="1:15" x14ac:dyDescent="0.25">
      <c r="A25" s="34" t="s">
        <v>24</v>
      </c>
      <c r="B25" s="59"/>
      <c r="C25" s="61">
        <f>D20/151.67*1.5</f>
        <v>24.724731324586276</v>
      </c>
      <c r="D25" s="61">
        <f>C25*B25</f>
        <v>0</v>
      </c>
      <c r="E25" s="42"/>
      <c r="F25" s="43"/>
      <c r="H25" s="34" t="s">
        <v>113</v>
      </c>
      <c r="I25" s="58"/>
    </row>
    <row r="26" spans="1:15" x14ac:dyDescent="0.25">
      <c r="A26" s="34"/>
      <c r="B26" s="31"/>
      <c r="C26" s="31"/>
      <c r="D26" s="31"/>
      <c r="E26" s="42"/>
      <c r="F26" s="43"/>
      <c r="H26" s="34" t="s">
        <v>114</v>
      </c>
      <c r="I26" s="58"/>
    </row>
    <row r="27" spans="1:15" x14ac:dyDescent="0.25">
      <c r="A27" s="34" t="s">
        <v>115</v>
      </c>
      <c r="B27" s="59"/>
      <c r="C27" s="63"/>
      <c r="D27" s="64">
        <f>C27*B27</f>
        <v>0</v>
      </c>
      <c r="E27" s="42"/>
      <c r="F27" s="43"/>
      <c r="H27" s="34" t="s">
        <v>116</v>
      </c>
      <c r="I27" s="58"/>
    </row>
    <row r="28" spans="1:15" x14ac:dyDescent="0.25">
      <c r="A28" s="34"/>
      <c r="B28" s="31"/>
      <c r="C28" s="31"/>
      <c r="D28" s="31"/>
      <c r="E28" s="42"/>
      <c r="F28" s="43"/>
      <c r="H28" s="34" t="s">
        <v>117</v>
      </c>
      <c r="I28" s="65"/>
    </row>
    <row r="29" spans="1:15" x14ac:dyDescent="0.25">
      <c r="A29" s="34" t="s">
        <v>125</v>
      </c>
      <c r="B29" s="66"/>
      <c r="C29" s="67"/>
      <c r="D29" s="61">
        <f>B160</f>
        <v>1193.6811828311465</v>
      </c>
      <c r="E29" s="69"/>
      <c r="F29" s="70"/>
      <c r="H29" s="34" t="s">
        <v>40</v>
      </c>
      <c r="I29" s="58"/>
    </row>
    <row r="30" spans="1:15" x14ac:dyDescent="0.25">
      <c r="A30" s="34" t="s">
        <v>118</v>
      </c>
      <c r="B30" s="210"/>
      <c r="C30" s="211"/>
      <c r="D30" s="48">
        <f>B171</f>
        <v>1346.1538461538462</v>
      </c>
      <c r="E30" s="69"/>
      <c r="F30" s="70"/>
      <c r="H30" s="34" t="s">
        <v>41</v>
      </c>
      <c r="I30" s="58"/>
    </row>
    <row r="31" spans="1:15" x14ac:dyDescent="0.25">
      <c r="A31" s="34" t="s">
        <v>119</v>
      </c>
      <c r="B31" s="71"/>
      <c r="C31" s="72"/>
      <c r="D31" s="72"/>
      <c r="E31" s="69"/>
      <c r="F31" s="70"/>
      <c r="H31" s="34" t="s">
        <v>107</v>
      </c>
      <c r="I31" s="58"/>
    </row>
    <row r="32" spans="1:15" x14ac:dyDescent="0.25">
      <c r="A32" s="34"/>
      <c r="B32" s="66"/>
      <c r="C32" s="31"/>
      <c r="D32" s="31"/>
      <c r="E32" s="69"/>
      <c r="F32" s="70"/>
      <c r="H32" s="34" t="s">
        <v>120</v>
      </c>
      <c r="I32" s="32"/>
    </row>
    <row r="33" spans="1:9" x14ac:dyDescent="0.25">
      <c r="A33" s="34" t="s">
        <v>121</v>
      </c>
      <c r="B33" s="73"/>
      <c r="C33" s="74"/>
      <c r="D33" s="75"/>
      <c r="E33" s="69"/>
      <c r="F33" s="70"/>
      <c r="H33" s="34" t="s">
        <v>122</v>
      </c>
      <c r="I33" s="32"/>
    </row>
    <row r="34" spans="1:9" x14ac:dyDescent="0.25">
      <c r="A34" s="34" t="s">
        <v>123</v>
      </c>
      <c r="B34" s="76"/>
      <c r="C34" s="74"/>
      <c r="D34" s="75"/>
      <c r="E34" s="69"/>
      <c r="F34" s="70"/>
      <c r="H34" s="34"/>
      <c r="I34" s="32"/>
    </row>
    <row r="35" spans="1:9" ht="17.25" thickBot="1" x14ac:dyDescent="0.3">
      <c r="A35" s="34" t="s">
        <v>124</v>
      </c>
      <c r="B35" s="76"/>
      <c r="C35" s="74"/>
      <c r="D35" s="75"/>
      <c r="E35" s="77"/>
      <c r="F35" s="49"/>
      <c r="H35" s="78" t="s">
        <v>43</v>
      </c>
      <c r="I35" s="79">
        <v>3.5000000000000003E-2</v>
      </c>
    </row>
    <row r="36" spans="1:9" x14ac:dyDescent="0.25">
      <c r="A36" s="80"/>
      <c r="B36" s="81"/>
      <c r="C36" s="82"/>
      <c r="D36" s="83"/>
      <c r="E36" s="77"/>
      <c r="F36" s="49"/>
    </row>
    <row r="37" spans="1:9" x14ac:dyDescent="0.25">
      <c r="A37" s="34" t="s">
        <v>11</v>
      </c>
      <c r="B37" s="73">
        <f>I27</f>
        <v>0</v>
      </c>
      <c r="C37" s="74">
        <f>I28</f>
        <v>0</v>
      </c>
      <c r="D37" s="61">
        <f>C37*B37</f>
        <v>0</v>
      </c>
      <c r="E37" s="77"/>
      <c r="F37" s="49"/>
    </row>
    <row r="38" spans="1:9" x14ac:dyDescent="0.25">
      <c r="A38" s="80"/>
      <c r="B38" s="81"/>
      <c r="C38" s="82"/>
      <c r="D38" s="83"/>
      <c r="E38" s="77"/>
      <c r="F38" s="49"/>
    </row>
    <row r="39" spans="1:9" x14ac:dyDescent="0.25">
      <c r="A39" s="34" t="s">
        <v>125</v>
      </c>
      <c r="B39" s="66"/>
      <c r="C39" s="67"/>
      <c r="D39" s="72"/>
      <c r="E39" s="77"/>
      <c r="F39" s="49"/>
    </row>
    <row r="40" spans="1:9" x14ac:dyDescent="0.25">
      <c r="A40" s="34" t="s">
        <v>46</v>
      </c>
      <c r="B40" s="66"/>
      <c r="C40" s="67"/>
      <c r="D40" s="72"/>
      <c r="E40" s="77"/>
      <c r="F40" s="49"/>
    </row>
    <row r="41" spans="1:9" x14ac:dyDescent="0.25">
      <c r="A41" s="84" t="s">
        <v>25</v>
      </c>
      <c r="B41" s="31"/>
      <c r="C41" s="31"/>
      <c r="D41" s="48">
        <f>SUM(D20:D37)</f>
        <v>5039.8350289849932</v>
      </c>
      <c r="E41" s="77"/>
      <c r="F41" s="49"/>
    </row>
    <row r="42" spans="1:9" x14ac:dyDescent="0.25">
      <c r="A42" s="34"/>
      <c r="B42" s="85"/>
      <c r="C42" s="86"/>
      <c r="D42" s="86"/>
      <c r="E42" s="77"/>
      <c r="F42" s="49"/>
    </row>
    <row r="43" spans="1:9" ht="33" x14ac:dyDescent="0.25">
      <c r="A43" s="87" t="s">
        <v>126</v>
      </c>
      <c r="B43" s="88" t="s">
        <v>35</v>
      </c>
      <c r="C43" s="88" t="s">
        <v>15</v>
      </c>
      <c r="D43" s="88" t="s">
        <v>36</v>
      </c>
      <c r="E43" s="88" t="s">
        <v>15</v>
      </c>
      <c r="F43" s="89" t="s">
        <v>37</v>
      </c>
    </row>
    <row r="44" spans="1:9" x14ac:dyDescent="0.25">
      <c r="A44" s="90" t="s">
        <v>26</v>
      </c>
      <c r="B44" s="91"/>
      <c r="C44" s="92"/>
      <c r="D44" s="92"/>
      <c r="E44" s="92"/>
      <c r="F44" s="93"/>
    </row>
    <row r="45" spans="1:9" ht="21.75" customHeight="1" x14ac:dyDescent="0.25">
      <c r="A45" s="94" t="s">
        <v>127</v>
      </c>
      <c r="B45" s="95">
        <f>$D$41</f>
        <v>5039.8350289849932</v>
      </c>
      <c r="C45" s="96"/>
      <c r="D45" s="97"/>
      <c r="E45" s="98">
        <f>I19</f>
        <v>7.0000000000000007E-2</v>
      </c>
      <c r="F45" s="162">
        <f>+E45*B45</f>
        <v>352.78845202894956</v>
      </c>
    </row>
    <row r="46" spans="1:9" x14ac:dyDescent="0.25">
      <c r="A46" s="99" t="s">
        <v>128</v>
      </c>
      <c r="B46" s="81"/>
      <c r="C46" s="100"/>
      <c r="D46" s="101"/>
      <c r="E46" s="102">
        <v>1.4999999999999999E-2</v>
      </c>
      <c r="F46" s="162">
        <f>+E46*B46</f>
        <v>0</v>
      </c>
    </row>
    <row r="47" spans="1:9" x14ac:dyDescent="0.25">
      <c r="A47" s="99" t="s">
        <v>129</v>
      </c>
      <c r="B47" s="81">
        <f>$I$23</f>
        <v>0</v>
      </c>
      <c r="C47" s="100"/>
      <c r="D47" s="101"/>
      <c r="E47" s="31"/>
      <c r="F47" s="103"/>
    </row>
    <row r="48" spans="1:9" x14ac:dyDescent="0.25">
      <c r="A48" s="99" t="s">
        <v>230</v>
      </c>
      <c r="B48" s="81">
        <f>D41</f>
        <v>5039.8350289849932</v>
      </c>
      <c r="C48" s="100">
        <v>0.01</v>
      </c>
      <c r="D48" s="101">
        <f>C48*B48</f>
        <v>50.39835028984993</v>
      </c>
      <c r="E48" s="357">
        <v>0.01</v>
      </c>
      <c r="F48" s="104">
        <f>E48*B48</f>
        <v>50.39835028984993</v>
      </c>
    </row>
    <row r="49" spans="1:6" x14ac:dyDescent="0.25">
      <c r="A49" s="99" t="s">
        <v>231</v>
      </c>
      <c r="B49" s="81"/>
      <c r="C49" s="100"/>
      <c r="D49" s="101"/>
      <c r="E49" s="31"/>
      <c r="F49" s="104"/>
    </row>
    <row r="50" spans="1:6" x14ac:dyDescent="0.25">
      <c r="A50" s="84" t="s">
        <v>28</v>
      </c>
      <c r="B50" s="81">
        <f>$D$41</f>
        <v>5039.8350289849932</v>
      </c>
      <c r="C50" s="31"/>
      <c r="D50" s="81"/>
      <c r="E50" s="105">
        <f>I21</f>
        <v>2.7E-2</v>
      </c>
      <c r="F50" s="104">
        <f>+E50*B50</f>
        <v>136.07554578259482</v>
      </c>
    </row>
    <row r="51" spans="1:6" x14ac:dyDescent="0.25">
      <c r="A51" s="90" t="s">
        <v>29</v>
      </c>
      <c r="B51" s="91"/>
      <c r="C51" s="92"/>
      <c r="D51" s="92"/>
      <c r="E51" s="92"/>
      <c r="F51" s="93"/>
    </row>
    <row r="52" spans="1:6" x14ac:dyDescent="0.25">
      <c r="A52" s="99" t="s">
        <v>48</v>
      </c>
      <c r="B52" s="81">
        <f>$I$22</f>
        <v>5039.8350289849932</v>
      </c>
      <c r="C52" s="100">
        <v>6.9000000000000006E-2</v>
      </c>
      <c r="D52" s="101">
        <f>C52*B52</f>
        <v>347.74861699996455</v>
      </c>
      <c r="E52" s="105">
        <v>8.5500000000000007E-2</v>
      </c>
      <c r="F52" s="104">
        <f>E52*B52</f>
        <v>430.90589497821696</v>
      </c>
    </row>
    <row r="53" spans="1:6" x14ac:dyDescent="0.25">
      <c r="A53" s="99" t="s">
        <v>50</v>
      </c>
      <c r="B53" s="95">
        <f>$D$41</f>
        <v>5039.8350289849932</v>
      </c>
      <c r="C53" s="100">
        <v>4.0000000000000001E-3</v>
      </c>
      <c r="D53" s="101">
        <f t="shared" ref="D53:D56" si="0">C53*B53</f>
        <v>20.159340115939973</v>
      </c>
      <c r="E53" s="105">
        <v>1.9E-2</v>
      </c>
      <c r="F53" s="104">
        <f t="shared" ref="F53:F55" si="1">E53*B53</f>
        <v>95.756865550714863</v>
      </c>
    </row>
    <row r="54" spans="1:6" x14ac:dyDescent="0.25">
      <c r="A54" s="99" t="s">
        <v>51</v>
      </c>
      <c r="B54" s="81">
        <f>$I$22</f>
        <v>5039.8350289849932</v>
      </c>
      <c r="C54" s="100">
        <v>4.0099999999999997E-2</v>
      </c>
      <c r="D54" s="101">
        <f t="shared" si="0"/>
        <v>202.0973846622982</v>
      </c>
      <c r="E54" s="105">
        <v>6.0100000000000001E-2</v>
      </c>
      <c r="F54" s="104">
        <f t="shared" si="1"/>
        <v>302.89408524199808</v>
      </c>
    </row>
    <row r="55" spans="1:6" x14ac:dyDescent="0.25">
      <c r="A55" s="99" t="s">
        <v>130</v>
      </c>
      <c r="B55" s="81">
        <f>$I$23</f>
        <v>0</v>
      </c>
      <c r="C55" s="100">
        <v>9.7199999999999995E-2</v>
      </c>
      <c r="D55" s="101">
        <f t="shared" si="0"/>
        <v>0</v>
      </c>
      <c r="E55" s="105">
        <v>0.1457</v>
      </c>
      <c r="F55" s="104">
        <f t="shared" si="1"/>
        <v>0</v>
      </c>
    </row>
    <row r="56" spans="1:6" x14ac:dyDescent="0.25">
      <c r="A56" s="99" t="s">
        <v>131</v>
      </c>
      <c r="B56" s="81">
        <f>I24</f>
        <v>0</v>
      </c>
      <c r="C56" s="100">
        <v>1.4E-3</v>
      </c>
      <c r="D56" s="101">
        <f t="shared" si="0"/>
        <v>0</v>
      </c>
      <c r="E56" s="105">
        <v>2.0999999999999999E-3</v>
      </c>
      <c r="F56" s="104">
        <f>E56*B56</f>
        <v>0</v>
      </c>
    </row>
    <row r="57" spans="1:6" x14ac:dyDescent="0.25">
      <c r="A57" s="99" t="s">
        <v>132</v>
      </c>
      <c r="B57" s="81"/>
      <c r="C57" s="100"/>
      <c r="D57" s="101"/>
      <c r="E57" s="31"/>
      <c r="F57" s="104">
        <f>E57*B57</f>
        <v>0</v>
      </c>
    </row>
    <row r="58" spans="1:6" x14ac:dyDescent="0.25">
      <c r="A58" s="106" t="s">
        <v>133</v>
      </c>
      <c r="B58" s="95">
        <f>$D$41</f>
        <v>5039.8350289849932</v>
      </c>
      <c r="C58" s="107"/>
      <c r="D58" s="81"/>
      <c r="E58" s="108">
        <f>+I20</f>
        <v>3.4500000000000003E-2</v>
      </c>
      <c r="F58" s="104">
        <f>E58*B58</f>
        <v>173.87430849998228</v>
      </c>
    </row>
    <row r="59" spans="1:6" x14ac:dyDescent="0.25">
      <c r="A59" s="90" t="s">
        <v>49</v>
      </c>
      <c r="B59" s="109"/>
      <c r="C59" s="109"/>
      <c r="D59" s="109"/>
      <c r="E59" s="109"/>
      <c r="F59" s="110"/>
    </row>
    <row r="60" spans="1:6" x14ac:dyDescent="0.25">
      <c r="A60" s="99" t="s">
        <v>134</v>
      </c>
      <c r="B60" s="95">
        <f>$D$41</f>
        <v>5039.8350289849932</v>
      </c>
      <c r="C60" s="107"/>
      <c r="D60" s="81"/>
      <c r="E60" s="108">
        <v>4.2000000000000003E-2</v>
      </c>
      <c r="F60" s="104">
        <f t="shared" ref="F60:F61" si="2">E60*B60</f>
        <v>211.67307121736974</v>
      </c>
    </row>
    <row r="61" spans="1:6" x14ac:dyDescent="0.25">
      <c r="A61" s="99" t="s">
        <v>135</v>
      </c>
      <c r="B61" s="81">
        <f>I25</f>
        <v>0</v>
      </c>
      <c r="C61" s="111">
        <v>2.4000000000000001E-4</v>
      </c>
      <c r="D61" s="81">
        <f>+C61*B61</f>
        <v>0</v>
      </c>
      <c r="E61" s="108">
        <v>3.6000000000000002E-4</v>
      </c>
      <c r="F61" s="104">
        <f t="shared" si="2"/>
        <v>0</v>
      </c>
    </row>
    <row r="62" spans="1:6" x14ac:dyDescent="0.25">
      <c r="A62" s="90" t="s">
        <v>47</v>
      </c>
      <c r="B62" s="81"/>
      <c r="C62" s="107"/>
      <c r="D62" s="81"/>
      <c r="E62" s="108"/>
      <c r="F62" s="112">
        <f>D107</f>
        <v>82.955684577092995</v>
      </c>
    </row>
    <row r="63" spans="1:6" x14ac:dyDescent="0.25">
      <c r="A63" s="84"/>
      <c r="B63" s="81"/>
      <c r="C63" s="81"/>
      <c r="D63" s="81"/>
      <c r="E63" s="31"/>
      <c r="F63" s="32"/>
    </row>
    <row r="64" spans="1:6" x14ac:dyDescent="0.25">
      <c r="A64" s="113" t="s">
        <v>136</v>
      </c>
      <c r="B64" s="81"/>
      <c r="C64" s="81"/>
      <c r="D64" s="81"/>
      <c r="E64" s="31"/>
      <c r="F64" s="32"/>
    </row>
    <row r="65" spans="1:9" x14ac:dyDescent="0.25">
      <c r="A65" s="84"/>
      <c r="B65" s="81"/>
      <c r="C65" s="111"/>
      <c r="D65" s="81"/>
      <c r="E65" s="81"/>
      <c r="F65" s="112"/>
    </row>
    <row r="66" spans="1:9" x14ac:dyDescent="0.25">
      <c r="A66" s="84" t="s">
        <v>137</v>
      </c>
      <c r="B66" s="81">
        <f>($D$41*0.9825)+F46+F47+F48</f>
        <v>5002.0362662676062</v>
      </c>
      <c r="C66" s="100">
        <v>6.8000000000000005E-2</v>
      </c>
      <c r="D66" s="101">
        <f>C66*B66</f>
        <v>340.13846610619726</v>
      </c>
      <c r="E66" s="81"/>
      <c r="F66" s="112"/>
    </row>
    <row r="67" spans="1:9" x14ac:dyDescent="0.25">
      <c r="A67" s="84" t="s">
        <v>138</v>
      </c>
      <c r="B67" s="81">
        <f>B66</f>
        <v>5002.0362662676062</v>
      </c>
      <c r="C67" s="100">
        <v>2.9000000000000001E-2</v>
      </c>
      <c r="D67" s="101">
        <f>C67*B67</f>
        <v>145.0590517217606</v>
      </c>
      <c r="E67" s="114"/>
      <c r="F67" s="104"/>
    </row>
    <row r="68" spans="1:9" x14ac:dyDescent="0.25">
      <c r="A68" s="115" t="s">
        <v>139</v>
      </c>
      <c r="B68" s="81">
        <f>(D24+D25)*0.9825</f>
        <v>0</v>
      </c>
      <c r="C68" s="100">
        <v>9.7000000000000003E-2</v>
      </c>
      <c r="D68" s="101">
        <f>C68*B68</f>
        <v>0</v>
      </c>
      <c r="E68" s="105"/>
      <c r="F68" s="104"/>
    </row>
    <row r="69" spans="1:9" x14ac:dyDescent="0.25">
      <c r="A69" s="115" t="s">
        <v>140</v>
      </c>
      <c r="B69" s="81">
        <f>D24+D25</f>
        <v>0</v>
      </c>
      <c r="C69" s="100">
        <v>-0.11310000000000001</v>
      </c>
      <c r="D69" s="101">
        <f>C69*B69</f>
        <v>0</v>
      </c>
      <c r="E69" s="105"/>
      <c r="F69" s="104"/>
    </row>
    <row r="70" spans="1:9" x14ac:dyDescent="0.25">
      <c r="A70" s="115" t="s">
        <v>141</v>
      </c>
      <c r="B70" s="81"/>
      <c r="C70" s="100"/>
      <c r="D70" s="101"/>
      <c r="E70" s="105"/>
      <c r="F70" s="104">
        <f>-H150</f>
        <v>464.29114195292408</v>
      </c>
    </row>
    <row r="71" spans="1:9" x14ac:dyDescent="0.25">
      <c r="A71" s="84" t="s">
        <v>142</v>
      </c>
      <c r="B71" s="116">
        <f>B24+B25</f>
        <v>0</v>
      </c>
      <c r="C71" s="31"/>
      <c r="D71" s="101"/>
      <c r="E71" s="101">
        <v>-1.5</v>
      </c>
      <c r="F71" s="112">
        <f>E71*B71</f>
        <v>0</v>
      </c>
    </row>
    <row r="72" spans="1:9" x14ac:dyDescent="0.25">
      <c r="A72" s="84" t="s">
        <v>30</v>
      </c>
      <c r="B72" s="101"/>
      <c r="C72" s="117"/>
      <c r="D72" s="118">
        <f>SUM(D45:D71)</f>
        <v>1105.6012098960105</v>
      </c>
      <c r="E72" s="105"/>
      <c r="F72" s="119">
        <f>SUM(F45:F71)</f>
        <v>2301.6134001196933</v>
      </c>
      <c r="I72" s="295"/>
    </row>
    <row r="73" spans="1:9" x14ac:dyDescent="0.25">
      <c r="A73" s="84"/>
      <c r="B73" s="101"/>
      <c r="C73" s="117"/>
      <c r="D73" s="118"/>
      <c r="E73" s="31"/>
      <c r="F73" s="32"/>
    </row>
    <row r="74" spans="1:9" x14ac:dyDescent="0.25">
      <c r="A74" s="99" t="s">
        <v>143</v>
      </c>
      <c r="B74" s="101"/>
      <c r="C74" s="117"/>
      <c r="D74" s="120"/>
      <c r="E74" s="118"/>
      <c r="F74" s="119"/>
    </row>
    <row r="75" spans="1:9" x14ac:dyDescent="0.25">
      <c r="A75" s="99" t="s">
        <v>107</v>
      </c>
      <c r="B75" s="101"/>
      <c r="C75" s="117"/>
      <c r="D75" s="120"/>
      <c r="E75" s="118"/>
      <c r="F75" s="119"/>
    </row>
    <row r="76" spans="1:9" x14ac:dyDescent="0.25">
      <c r="A76" s="99" t="s">
        <v>144</v>
      </c>
      <c r="B76" s="101"/>
      <c r="C76" s="117"/>
      <c r="D76" s="120"/>
      <c r="E76" s="118"/>
      <c r="F76" s="119"/>
    </row>
    <row r="77" spans="1:9" x14ac:dyDescent="0.25">
      <c r="A77" s="99" t="s">
        <v>145</v>
      </c>
      <c r="B77" s="101"/>
      <c r="C77" s="117"/>
      <c r="D77" s="120"/>
      <c r="E77" s="118"/>
      <c r="F77" s="119"/>
    </row>
    <row r="78" spans="1:9" x14ac:dyDescent="0.25">
      <c r="A78" s="99"/>
      <c r="B78" s="101"/>
      <c r="C78" s="117"/>
      <c r="D78" s="120"/>
      <c r="E78" s="118"/>
      <c r="F78" s="119"/>
    </row>
    <row r="79" spans="1:9" x14ac:dyDescent="0.25">
      <c r="A79" s="99"/>
      <c r="B79" s="101"/>
      <c r="C79" s="117"/>
      <c r="D79" s="120"/>
      <c r="E79" s="118"/>
      <c r="F79" s="119"/>
    </row>
    <row r="80" spans="1:9" ht="15.75" customHeight="1" x14ac:dyDescent="0.25">
      <c r="A80" s="84"/>
      <c r="B80" s="101"/>
      <c r="C80" s="117"/>
      <c r="D80" s="118"/>
      <c r="E80" s="118"/>
      <c r="F80" s="119"/>
    </row>
    <row r="81" spans="1:9" x14ac:dyDescent="0.25">
      <c r="A81" s="121" t="s">
        <v>31</v>
      </c>
      <c r="B81" s="101"/>
      <c r="C81" s="117"/>
      <c r="D81" s="118"/>
      <c r="E81" s="118"/>
      <c r="F81" s="122">
        <f>D41-D72+D74+D75+D76+D77+D78+D79+D80</f>
        <v>3934.2338190889827</v>
      </c>
    </row>
    <row r="82" spans="1:9" ht="33" x14ac:dyDescent="0.25">
      <c r="A82" s="84" t="s">
        <v>32</v>
      </c>
      <c r="B82" s="123"/>
      <c r="C82" s="124"/>
      <c r="D82" s="120"/>
      <c r="E82" s="120"/>
      <c r="F82" s="125">
        <f>D114</f>
        <v>73.720186886477961</v>
      </c>
    </row>
    <row r="83" spans="1:9" x14ac:dyDescent="0.25">
      <c r="A83" s="278" t="s">
        <v>33</v>
      </c>
      <c r="B83" s="278" t="s">
        <v>34</v>
      </c>
      <c r="C83" s="278" t="s">
        <v>15</v>
      </c>
      <c r="D83" s="279" t="s">
        <v>146</v>
      </c>
      <c r="E83" s="279"/>
      <c r="F83" s="280" t="s">
        <v>244</v>
      </c>
    </row>
    <row r="84" spans="1:9" x14ac:dyDescent="0.25">
      <c r="A84" s="281" t="s">
        <v>238</v>
      </c>
      <c r="B84" s="282"/>
      <c r="C84" s="283"/>
      <c r="D84" s="284">
        <f>+D41+F48+F49+D49+D67-D72</f>
        <v>4129.6912211005929</v>
      </c>
      <c r="E84" s="285"/>
      <c r="F84" s="286"/>
    </row>
    <row r="85" spans="1:9" x14ac:dyDescent="0.25">
      <c r="A85" s="281" t="s">
        <v>239</v>
      </c>
      <c r="B85" s="284">
        <f>+D84</f>
        <v>4129.6912211005929</v>
      </c>
      <c r="C85" s="287">
        <f>+I35</f>
        <v>3.5000000000000003E-2</v>
      </c>
      <c r="D85" s="284">
        <f>B85*C85</f>
        <v>144.53919273852077</v>
      </c>
      <c r="E85" s="285"/>
      <c r="F85" s="286"/>
    </row>
    <row r="86" spans="1:9" x14ac:dyDescent="0.25">
      <c r="A86" s="281" t="s">
        <v>240</v>
      </c>
      <c r="B86" s="282"/>
      <c r="C86" s="284"/>
      <c r="D86" s="283"/>
      <c r="E86" s="285"/>
      <c r="F86" s="286"/>
    </row>
    <row r="87" spans="1:9" x14ac:dyDescent="0.25">
      <c r="A87" s="281"/>
      <c r="B87" s="282"/>
      <c r="C87" s="283"/>
      <c r="D87" s="283"/>
      <c r="E87" s="285"/>
      <c r="F87" s="288"/>
    </row>
    <row r="88" spans="1:9" x14ac:dyDescent="0.25">
      <c r="A88" s="289" t="s">
        <v>241</v>
      </c>
      <c r="B88" s="283"/>
      <c r="C88" s="283"/>
      <c r="D88" s="284">
        <f>+F81-D85</f>
        <v>3789.6946263504619</v>
      </c>
      <c r="E88" s="285"/>
      <c r="F88" s="286"/>
    </row>
    <row r="89" spans="1:9" x14ac:dyDescent="0.25">
      <c r="A89" s="281" t="s">
        <v>242</v>
      </c>
      <c r="B89" s="283"/>
      <c r="C89" s="283"/>
      <c r="D89" s="284"/>
      <c r="E89" s="285"/>
      <c r="F89" s="286"/>
    </row>
    <row r="90" spans="1:9" x14ac:dyDescent="0.25">
      <c r="A90" s="281" t="s">
        <v>243</v>
      </c>
      <c r="B90" s="290"/>
      <c r="C90" s="283"/>
      <c r="D90" s="284">
        <f>+F72+D41</f>
        <v>7341.4484291046865</v>
      </c>
      <c r="E90" s="285"/>
      <c r="F90" s="286"/>
    </row>
    <row r="91" spans="1:9" ht="17.25" thickBot="1" x14ac:dyDescent="0.3">
      <c r="A91" s="291" t="s">
        <v>149</v>
      </c>
      <c r="B91" s="292"/>
      <c r="C91" s="292"/>
      <c r="D91" s="292"/>
      <c r="E91" s="293"/>
      <c r="F91" s="294"/>
    </row>
    <row r="92" spans="1:9" hidden="1" x14ac:dyDescent="0.25">
      <c r="A92" s="99" t="s">
        <v>148</v>
      </c>
      <c r="B92" s="128">
        <f>D41-D24-D25+F48+D67+D68-D72+D49+F49</f>
        <v>4129.6912211005929</v>
      </c>
      <c r="C92" s="129"/>
      <c r="D92" s="127"/>
      <c r="E92" s="127"/>
      <c r="F92" s="126"/>
    </row>
    <row r="93" spans="1:9" ht="17.25" hidden="1" thickBot="1" x14ac:dyDescent="0.3">
      <c r="A93" s="130" t="s">
        <v>149</v>
      </c>
      <c r="B93" s="131"/>
      <c r="C93" s="131"/>
      <c r="D93" s="131"/>
      <c r="E93" s="131"/>
      <c r="F93" s="132"/>
    </row>
    <row r="96" spans="1:9" ht="17.25" thickBot="1" x14ac:dyDescent="0.3">
      <c r="A96" s="311" t="s">
        <v>47</v>
      </c>
      <c r="B96" s="312"/>
      <c r="I96" s="133"/>
    </row>
    <row r="97" spans="1:9" x14ac:dyDescent="0.25">
      <c r="A97" s="23"/>
      <c r="B97" s="331">
        <f>+D41</f>
        <v>5039.8350289849932</v>
      </c>
      <c r="C97" s="316">
        <f>0.016%+0.3%+0.68%+0.55%</f>
        <v>1.5460000000000002E-2</v>
      </c>
      <c r="D97" s="334">
        <f>C97*B97</f>
        <v>77.915849548108</v>
      </c>
      <c r="I97" s="133"/>
    </row>
    <row r="98" spans="1:9" x14ac:dyDescent="0.25">
      <c r="A98" s="24" t="s">
        <v>150</v>
      </c>
      <c r="B98" s="332"/>
      <c r="C98" s="317"/>
      <c r="D98" s="335"/>
      <c r="E98" s="133"/>
      <c r="F98" s="133"/>
      <c r="G98" s="133"/>
      <c r="I98" s="133"/>
    </row>
    <row r="99" spans="1:9" s="133" customFormat="1" x14ac:dyDescent="0.25">
      <c r="A99" s="24" t="s">
        <v>53</v>
      </c>
      <c r="B99" s="332"/>
      <c r="C99" s="317"/>
      <c r="D99" s="335"/>
      <c r="H99" s="29"/>
    </row>
    <row r="100" spans="1:9" s="133" customFormat="1" ht="15" x14ac:dyDescent="0.25">
      <c r="A100" s="24" t="s">
        <v>54</v>
      </c>
      <c r="B100" s="332"/>
      <c r="C100" s="317"/>
      <c r="D100" s="335"/>
    </row>
    <row r="101" spans="1:9" s="133" customFormat="1" ht="15" x14ac:dyDescent="0.25">
      <c r="A101" s="24" t="s">
        <v>55</v>
      </c>
      <c r="B101" s="332"/>
      <c r="C101" s="317"/>
      <c r="D101" s="335"/>
    </row>
    <row r="102" spans="1:9" s="133" customFormat="1" ht="15" x14ac:dyDescent="0.25">
      <c r="A102" s="24" t="s">
        <v>151</v>
      </c>
      <c r="B102" s="332"/>
      <c r="C102" s="317"/>
      <c r="D102" s="335"/>
    </row>
    <row r="103" spans="1:9" s="133" customFormat="1" ht="15.75" thickBot="1" x14ac:dyDescent="0.3">
      <c r="A103" s="25" t="s">
        <v>152</v>
      </c>
      <c r="B103" s="333"/>
      <c r="C103" s="318"/>
      <c r="D103" s="336"/>
    </row>
    <row r="104" spans="1:9" s="133" customFormat="1" ht="17.25" thickBot="1" x14ac:dyDescent="0.3">
      <c r="A104" s="29"/>
      <c r="B104" s="134"/>
      <c r="C104" s="134"/>
      <c r="D104" s="134"/>
    </row>
    <row r="105" spans="1:9" s="133" customFormat="1" ht="17.25" thickBot="1" x14ac:dyDescent="0.3">
      <c r="A105" s="135" t="s">
        <v>56</v>
      </c>
      <c r="B105" s="136">
        <f>I22</f>
        <v>5039.8350289849932</v>
      </c>
      <c r="C105" s="137">
        <v>1E-3</v>
      </c>
      <c r="D105" s="138">
        <f>C105*B105</f>
        <v>5.0398350289849931</v>
      </c>
    </row>
    <row r="106" spans="1:9" s="133" customFormat="1" ht="17.25" thickBot="1" x14ac:dyDescent="0.3">
      <c r="A106" s="29"/>
      <c r="B106" s="29"/>
      <c r="C106" s="29"/>
      <c r="D106" s="29"/>
    </row>
    <row r="107" spans="1:9" s="133" customFormat="1" ht="17.25" thickBot="1" x14ac:dyDescent="0.3">
      <c r="A107" s="139" t="s">
        <v>57</v>
      </c>
      <c r="B107" s="140"/>
      <c r="C107" s="140"/>
      <c r="D107" s="141">
        <f>D97+D105</f>
        <v>82.955684577092995</v>
      </c>
    </row>
    <row r="108" spans="1:9" s="133" customFormat="1" ht="17.25" thickBot="1" x14ac:dyDescent="0.3">
      <c r="A108" s="29"/>
      <c r="B108" s="29"/>
      <c r="C108" s="29"/>
      <c r="D108" s="29"/>
    </row>
    <row r="109" spans="1:9" s="133" customFormat="1" x14ac:dyDescent="0.25">
      <c r="A109" s="322" t="s">
        <v>58</v>
      </c>
      <c r="B109" s="323"/>
      <c r="C109" s="323"/>
      <c r="D109" s="324"/>
    </row>
    <row r="110" spans="1:9" s="133" customFormat="1" x14ac:dyDescent="0.25">
      <c r="A110" s="142" t="s">
        <v>59</v>
      </c>
      <c r="B110" s="143">
        <f>+D41</f>
        <v>5039.8350289849932</v>
      </c>
      <c r="C110" s="144">
        <v>2.4E-2</v>
      </c>
      <c r="D110" s="145">
        <f>C110*B110</f>
        <v>120.95604069563984</v>
      </c>
    </row>
    <row r="111" spans="1:9" s="133" customFormat="1" x14ac:dyDescent="0.25">
      <c r="A111" s="142" t="s">
        <v>60</v>
      </c>
      <c r="B111" s="143">
        <f>+B110</f>
        <v>5039.8350289849932</v>
      </c>
      <c r="C111" s="144">
        <v>7.4999999999999997E-3</v>
      </c>
      <c r="D111" s="145">
        <f t="shared" ref="D111:D112" si="3">C111*B111</f>
        <v>37.798762717387447</v>
      </c>
    </row>
    <row r="112" spans="1:9" s="133" customFormat="1" x14ac:dyDescent="0.25">
      <c r="A112" s="142" t="s">
        <v>61</v>
      </c>
      <c r="B112" s="143">
        <f>B67+B68</f>
        <v>5002.0362662676062</v>
      </c>
      <c r="C112" s="144">
        <v>-1.7000000000000001E-2</v>
      </c>
      <c r="D112" s="145">
        <f t="shared" si="3"/>
        <v>-85.034616526549314</v>
      </c>
    </row>
    <row r="113" spans="1:9" s="133" customFormat="1" x14ac:dyDescent="0.25">
      <c r="A113" s="146"/>
      <c r="B113" s="147"/>
      <c r="C113" s="148"/>
      <c r="D113" s="149"/>
    </row>
    <row r="114" spans="1:9" s="133" customFormat="1" ht="17.25" thickBot="1" x14ac:dyDescent="0.3">
      <c r="A114" s="150" t="s">
        <v>62</v>
      </c>
      <c r="B114" s="151"/>
      <c r="C114" s="152"/>
      <c r="D114" s="153">
        <f>SUM(D110:D113)</f>
        <v>73.720186886477961</v>
      </c>
    </row>
    <row r="115" spans="1:9" s="133" customFormat="1" ht="15" x14ac:dyDescent="0.25"/>
    <row r="116" spans="1:9" s="133" customFormat="1" ht="15.75" thickBot="1" x14ac:dyDescent="0.3"/>
    <row r="117" spans="1:9" s="133" customFormat="1" ht="17.25" thickBot="1" x14ac:dyDescent="0.3">
      <c r="A117" s="325" t="s">
        <v>68</v>
      </c>
      <c r="B117" s="326"/>
      <c r="C117" s="326"/>
      <c r="D117" s="327"/>
    </row>
    <row r="118" spans="1:9" s="133" customFormat="1" x14ac:dyDescent="0.25">
      <c r="A118" s="154" t="s">
        <v>63</v>
      </c>
      <c r="B118" s="155"/>
      <c r="C118" s="155"/>
      <c r="D118" s="156">
        <f>+H150</f>
        <v>-464.29114195292408</v>
      </c>
    </row>
    <row r="119" spans="1:9" s="133" customFormat="1" x14ac:dyDescent="0.25">
      <c r="A119" s="142" t="s">
        <v>64</v>
      </c>
      <c r="B119" s="157">
        <f>B24+B25</f>
        <v>0</v>
      </c>
      <c r="C119" s="158">
        <v>1.5</v>
      </c>
      <c r="D119" s="159">
        <f>C119*B119</f>
        <v>0</v>
      </c>
    </row>
    <row r="120" spans="1:9" s="133" customFormat="1" x14ac:dyDescent="0.25">
      <c r="A120" s="142" t="s">
        <v>65</v>
      </c>
      <c r="B120" s="143">
        <f>+D41</f>
        <v>5039.8350289849932</v>
      </c>
      <c r="C120" s="144">
        <v>1.7999999999999999E-2</v>
      </c>
      <c r="D120" s="159">
        <f>C120*B120</f>
        <v>90.717030521729868</v>
      </c>
    </row>
    <row r="121" spans="1:9" s="133" customFormat="1" ht="15.75" customHeight="1" x14ac:dyDescent="0.25">
      <c r="A121" s="142" t="s">
        <v>66</v>
      </c>
      <c r="B121" s="143">
        <f>B120</f>
        <v>5039.8350289849932</v>
      </c>
      <c r="C121" s="144">
        <v>0.06</v>
      </c>
      <c r="D121" s="159">
        <f>C121*B121</f>
        <v>302.39010173909958</v>
      </c>
    </row>
    <row r="122" spans="1:9" s="133" customFormat="1" ht="15.75" customHeight="1" thickBot="1" x14ac:dyDescent="0.3">
      <c r="A122" s="150" t="s">
        <v>67</v>
      </c>
      <c r="B122" s="160"/>
      <c r="C122" s="160"/>
      <c r="D122" s="161">
        <f>SUM(D118:D121)</f>
        <v>-71.184009692094605</v>
      </c>
    </row>
    <row r="123" spans="1:9" s="133" customFormat="1" ht="15.75" customHeight="1" x14ac:dyDescent="0.25">
      <c r="A123" s="29"/>
      <c r="B123" s="29"/>
      <c r="C123" s="29"/>
      <c r="D123" s="29"/>
      <c r="H123" s="29"/>
      <c r="I123" s="29"/>
    </row>
    <row r="124" spans="1:9" s="133" customFormat="1" ht="15.75" customHeight="1" x14ac:dyDescent="0.25">
      <c r="A124" s="309" t="s">
        <v>194</v>
      </c>
      <c r="B124" s="310"/>
      <c r="C124" s="310"/>
      <c r="D124" s="310"/>
      <c r="E124" s="310"/>
      <c r="F124" s="310"/>
      <c r="G124" s="310"/>
      <c r="H124" s="310"/>
      <c r="I124" s="29"/>
    </row>
    <row r="125" spans="1:9" x14ac:dyDescent="0.25">
      <c r="A125" s="1"/>
      <c r="B125" s="1"/>
      <c r="C125" s="1"/>
      <c r="D125" s="1"/>
      <c r="E125" s="1"/>
      <c r="F125" s="1"/>
      <c r="G125" s="1"/>
      <c r="H125" s="1"/>
    </row>
    <row r="126" spans="1:9" ht="23.25" x14ac:dyDescent="0.25">
      <c r="A126" s="163" t="s">
        <v>153</v>
      </c>
      <c r="B126" s="164"/>
      <c r="C126" s="164"/>
      <c r="D126" s="164"/>
      <c r="E126" s="164"/>
      <c r="F126" s="164"/>
      <c r="G126" s="164"/>
      <c r="H126" s="164"/>
    </row>
    <row r="127" spans="1:9" x14ac:dyDescent="0.25">
      <c r="A127" s="1"/>
      <c r="B127" s="1"/>
      <c r="C127" s="1"/>
      <c r="D127" s="1"/>
      <c r="E127" s="1"/>
      <c r="F127" s="1"/>
      <c r="G127" s="1"/>
      <c r="H127" s="1"/>
    </row>
    <row r="128" spans="1:9" ht="18.75" x14ac:dyDescent="0.25">
      <c r="A128" s="165" t="s">
        <v>154</v>
      </c>
      <c r="B128" s="1"/>
      <c r="C128" s="1"/>
      <c r="D128" s="166">
        <v>3666</v>
      </c>
      <c r="E128" s="1"/>
      <c r="F128" s="1"/>
      <c r="G128" s="1"/>
      <c r="H128" s="1"/>
    </row>
    <row r="129" spans="1:8" ht="17.25" thickBot="1" x14ac:dyDescent="0.3">
      <c r="A129" s="1"/>
      <c r="B129" s="1"/>
      <c r="C129" s="1"/>
      <c r="D129" s="1"/>
      <c r="E129" s="1"/>
      <c r="F129" s="1"/>
      <c r="G129" s="1"/>
      <c r="H129" s="1"/>
    </row>
    <row r="130" spans="1:8" ht="30" x14ac:dyDescent="0.25">
      <c r="A130" s="216" t="s">
        <v>76</v>
      </c>
      <c r="B130" s="217" t="s">
        <v>147</v>
      </c>
      <c r="C130" s="217" t="s">
        <v>155</v>
      </c>
      <c r="D130" s="217" t="s">
        <v>156</v>
      </c>
      <c r="E130" s="218" t="s">
        <v>157</v>
      </c>
      <c r="F130" s="218" t="s">
        <v>158</v>
      </c>
      <c r="G130" s="218" t="s">
        <v>159</v>
      </c>
      <c r="H130" s="219" t="s">
        <v>160</v>
      </c>
    </row>
    <row r="131" spans="1:8" x14ac:dyDescent="0.25">
      <c r="A131" s="180">
        <v>43831</v>
      </c>
      <c r="B131" s="413">
        <v>2500</v>
      </c>
      <c r="C131" s="176">
        <f>B131</f>
        <v>2500</v>
      </c>
      <c r="D131" s="176">
        <v>3666</v>
      </c>
      <c r="E131" s="176">
        <f>D131</f>
        <v>3666</v>
      </c>
      <c r="F131" s="176">
        <f>MIN(C131,E131)</f>
        <v>2500</v>
      </c>
      <c r="G131" s="176">
        <f>F131</f>
        <v>2500</v>
      </c>
      <c r="H131" s="414">
        <f t="shared" ref="H131:H135" si="4">B131-G131</f>
        <v>0</v>
      </c>
    </row>
    <row r="132" spans="1:8" x14ac:dyDescent="0.25">
      <c r="A132" s="180">
        <v>43862</v>
      </c>
      <c r="B132" s="413">
        <v>2500</v>
      </c>
      <c r="C132" s="176">
        <f>C131+B132</f>
        <v>5000</v>
      </c>
      <c r="D132" s="176">
        <v>3666</v>
      </c>
      <c r="E132" s="176">
        <f>E131+D132</f>
        <v>7332</v>
      </c>
      <c r="F132" s="415">
        <f t="shared" ref="F132:F135" si="5">MIN(C132,E132)</f>
        <v>5000</v>
      </c>
      <c r="G132" s="416">
        <f>F132-F131</f>
        <v>2500</v>
      </c>
      <c r="H132" s="414">
        <f>B132-G132</f>
        <v>0</v>
      </c>
    </row>
    <row r="133" spans="1:8" x14ac:dyDescent="0.25">
      <c r="A133" s="180">
        <v>43891</v>
      </c>
      <c r="B133" s="413">
        <v>2500</v>
      </c>
      <c r="C133" s="176">
        <f>C132+B133</f>
        <v>7500</v>
      </c>
      <c r="D133" s="176">
        <v>3666</v>
      </c>
      <c r="E133" s="176">
        <f t="shared" ref="E133:E135" si="6">E132+D133</f>
        <v>10998</v>
      </c>
      <c r="F133" s="176">
        <f>MIN(C133,E133)</f>
        <v>7500</v>
      </c>
      <c r="G133" s="176">
        <f>F133-F132</f>
        <v>2500</v>
      </c>
      <c r="H133" s="414">
        <f t="shared" si="4"/>
        <v>0</v>
      </c>
    </row>
    <row r="134" spans="1:8" x14ac:dyDescent="0.25">
      <c r="A134" s="180">
        <v>43922</v>
      </c>
      <c r="B134" s="413">
        <v>2500</v>
      </c>
      <c r="C134" s="176">
        <f t="shared" ref="C134:C135" si="7">C133+B134</f>
        <v>10000</v>
      </c>
      <c r="D134" s="176">
        <v>3666</v>
      </c>
      <c r="E134" s="176">
        <f t="shared" si="6"/>
        <v>14664</v>
      </c>
      <c r="F134" s="176">
        <f t="shared" si="5"/>
        <v>10000</v>
      </c>
      <c r="G134" s="176">
        <f t="shared" ref="G134:G135" si="8">F134-F133</f>
        <v>2500</v>
      </c>
      <c r="H134" s="414">
        <f t="shared" si="4"/>
        <v>0</v>
      </c>
    </row>
    <row r="135" spans="1:8" ht="17.25" thickBot="1" x14ac:dyDescent="0.3">
      <c r="A135" s="181">
        <v>43952</v>
      </c>
      <c r="B135" s="417">
        <f>+D41</f>
        <v>5039.8350289849932</v>
      </c>
      <c r="C135" s="179">
        <f t="shared" si="7"/>
        <v>15039.835028984993</v>
      </c>
      <c r="D135" s="176">
        <v>3666</v>
      </c>
      <c r="E135" s="179">
        <f t="shared" si="6"/>
        <v>18330</v>
      </c>
      <c r="F135" s="179">
        <f t="shared" si="5"/>
        <v>15039.835028984993</v>
      </c>
      <c r="G135" s="179">
        <f t="shared" si="8"/>
        <v>5039.8350289849932</v>
      </c>
      <c r="H135" s="418">
        <f t="shared" si="4"/>
        <v>0</v>
      </c>
    </row>
    <row r="136" spans="1:8" ht="17.25" thickBot="1" x14ac:dyDescent="0.3"/>
    <row r="137" spans="1:8" x14ac:dyDescent="0.25">
      <c r="A137" s="365"/>
      <c r="B137" s="377" t="s">
        <v>313</v>
      </c>
      <c r="C137" s="378" t="s">
        <v>314</v>
      </c>
      <c r="D137" s="377" t="s">
        <v>316</v>
      </c>
      <c r="E137" s="379" t="s">
        <v>317</v>
      </c>
    </row>
    <row r="138" spans="1:8" x14ac:dyDescent="0.25">
      <c r="A138" s="34" t="s">
        <v>312</v>
      </c>
      <c r="B138" s="53">
        <v>2500</v>
      </c>
      <c r="C138" s="53">
        <f>B138/151.67*1.25*3</f>
        <v>61.811828311465696</v>
      </c>
      <c r="D138" s="53"/>
      <c r="E138" s="374">
        <f>SUM(B138:D138)</f>
        <v>2561.8118283114659</v>
      </c>
    </row>
    <row r="139" spans="1:8" ht="17.25" thickBot="1" x14ac:dyDescent="0.3">
      <c r="A139" s="78" t="s">
        <v>315</v>
      </c>
      <c r="B139" s="375">
        <v>2500</v>
      </c>
      <c r="C139" s="375"/>
      <c r="D139" s="375">
        <f>B138/140*-35</f>
        <v>-625</v>
      </c>
      <c r="E139" s="376">
        <f>SUM(B139:D139)</f>
        <v>1875</v>
      </c>
    </row>
    <row r="142" spans="1:8" ht="21.75" thickBot="1" x14ac:dyDescent="0.3">
      <c r="A142" s="309" t="s">
        <v>173</v>
      </c>
      <c r="B142" s="310"/>
      <c r="C142" s="310"/>
      <c r="D142" s="310"/>
      <c r="E142" s="310"/>
      <c r="F142" s="310"/>
      <c r="G142" s="310"/>
      <c r="H142" s="310"/>
    </row>
    <row r="143" spans="1:8" ht="17.25" thickBot="1" x14ac:dyDescent="0.3">
      <c r="A143" s="173" t="s">
        <v>162</v>
      </c>
      <c r="B143" s="174">
        <v>0.31909999999999999</v>
      </c>
      <c r="C143" s="1"/>
      <c r="D143" s="1"/>
      <c r="E143" s="1"/>
      <c r="F143" s="1"/>
      <c r="G143" s="1"/>
      <c r="H143" s="1"/>
    </row>
    <row r="144" spans="1:8" ht="17.25" thickBot="1" x14ac:dyDescent="0.3">
      <c r="A144" s="1"/>
      <c r="B144" s="1"/>
      <c r="C144" s="1"/>
      <c r="D144" s="1"/>
      <c r="E144" s="1"/>
      <c r="F144" s="1"/>
      <c r="G144" s="1"/>
      <c r="H144" s="1"/>
    </row>
    <row r="145" spans="1:8" ht="30" x14ac:dyDescent="0.25">
      <c r="A145" s="6" t="s">
        <v>76</v>
      </c>
      <c r="B145" s="4" t="s">
        <v>163</v>
      </c>
      <c r="C145" s="4" t="s">
        <v>164</v>
      </c>
      <c r="D145" s="170" t="s">
        <v>161</v>
      </c>
      <c r="E145" s="167" t="s">
        <v>165</v>
      </c>
      <c r="F145" s="167" t="s">
        <v>166</v>
      </c>
      <c r="G145" s="167" t="s">
        <v>167</v>
      </c>
      <c r="H145" s="168" t="s">
        <v>174</v>
      </c>
    </row>
    <row r="146" spans="1:8" x14ac:dyDescent="0.25">
      <c r="A146" s="7" t="s">
        <v>168</v>
      </c>
      <c r="B146" s="175">
        <f>E138</f>
        <v>2561.8118283114659</v>
      </c>
      <c r="C146" s="176">
        <f>B146</f>
        <v>2561.8118283114659</v>
      </c>
      <c r="D146" s="229">
        <f>11.27*(151.6667+3)</f>
        <v>1743.0937089999998</v>
      </c>
      <c r="E146" s="175">
        <f>+D146</f>
        <v>1743.0937089999998</v>
      </c>
      <c r="F146" s="274">
        <f>ROUND(($B$143/0.6)*((1.6*E146/C146)-1),4)</f>
        <v>4.7199999999999999E-2</v>
      </c>
      <c r="G146" s="176">
        <f>IF(F146&gt;0,F146*C146,0)</f>
        <v>120.91751829630118</v>
      </c>
      <c r="H146" s="182">
        <f>G146</f>
        <v>120.91751829630118</v>
      </c>
    </row>
    <row r="147" spans="1:8" x14ac:dyDescent="0.25">
      <c r="A147" s="7" t="s">
        <v>169</v>
      </c>
      <c r="B147" s="175">
        <f>E139</f>
        <v>1875</v>
      </c>
      <c r="C147" s="176">
        <f>C146+B147</f>
        <v>4436.8118283114654</v>
      </c>
      <c r="D147" s="229">
        <f>1709.28*B147/2500</f>
        <v>1281.96</v>
      </c>
      <c r="E147" s="175">
        <f>D147+E146</f>
        <v>3025.0537089999998</v>
      </c>
      <c r="F147" s="274">
        <f t="shared" ref="F147:F150" si="9">ROUND(($B$143/0.6)*((1.6*E147/C147)-1),4)</f>
        <v>4.8300000000000003E-2</v>
      </c>
      <c r="G147" s="176">
        <f t="shared" ref="G147:G150" si="10">IF(F147&gt;0,F147*C147,0)</f>
        <v>214.2980113074438</v>
      </c>
      <c r="H147" s="182">
        <f>G147-G146</f>
        <v>93.380493011142619</v>
      </c>
    </row>
    <row r="148" spans="1:8" x14ac:dyDescent="0.25">
      <c r="A148" s="7" t="s">
        <v>170</v>
      </c>
      <c r="B148" s="175">
        <v>2500</v>
      </c>
      <c r="C148" s="176">
        <f t="shared" ref="C148:C150" si="11">C147+B148</f>
        <v>6936.8118283114654</v>
      </c>
      <c r="D148" s="229">
        <f t="shared" ref="D148:D149" si="12">1709.28</f>
        <v>1709.28</v>
      </c>
      <c r="E148" s="175">
        <f t="shared" ref="E148:E150" si="13">D148+E147</f>
        <v>4734.3337089999995</v>
      </c>
      <c r="F148" s="274">
        <f t="shared" si="9"/>
        <v>4.8899999999999999E-2</v>
      </c>
      <c r="G148" s="176">
        <f t="shared" si="10"/>
        <v>339.21009840443065</v>
      </c>
      <c r="H148" s="182">
        <f t="shared" ref="H148:H150" si="14">G148-G147</f>
        <v>124.91208709698685</v>
      </c>
    </row>
    <row r="149" spans="1:8" x14ac:dyDescent="0.25">
      <c r="A149" s="7" t="s">
        <v>171</v>
      </c>
      <c r="B149" s="175">
        <v>2500</v>
      </c>
      <c r="C149" s="176">
        <f t="shared" si="11"/>
        <v>9436.8118283114654</v>
      </c>
      <c r="D149" s="229">
        <f t="shared" si="12"/>
        <v>1709.28</v>
      </c>
      <c r="E149" s="175">
        <f t="shared" si="13"/>
        <v>6443.6137089999993</v>
      </c>
      <c r="F149" s="274">
        <f t="shared" si="9"/>
        <v>4.9200000000000001E-2</v>
      </c>
      <c r="G149" s="176">
        <f t="shared" si="10"/>
        <v>464.29114195292408</v>
      </c>
      <c r="H149" s="182">
        <f t="shared" si="14"/>
        <v>125.08104354849343</v>
      </c>
    </row>
    <row r="150" spans="1:8" ht="17.25" thickBot="1" x14ac:dyDescent="0.3">
      <c r="A150" s="10" t="s">
        <v>172</v>
      </c>
      <c r="B150" s="178">
        <f>D41</f>
        <v>5039.8350289849932</v>
      </c>
      <c r="C150" s="179">
        <f t="shared" si="11"/>
        <v>14476.646857296459</v>
      </c>
      <c r="D150" s="232">
        <v>1747.2</v>
      </c>
      <c r="E150" s="178">
        <f t="shared" si="13"/>
        <v>8190.8137089999991</v>
      </c>
      <c r="F150" s="274">
        <f t="shared" si="9"/>
        <v>-5.04E-2</v>
      </c>
      <c r="G150" s="179">
        <f t="shared" si="10"/>
        <v>0</v>
      </c>
      <c r="H150" s="205">
        <f t="shared" si="14"/>
        <v>-464.29114195292408</v>
      </c>
    </row>
    <row r="152" spans="1:8" ht="17.25" thickBot="1" x14ac:dyDescent="0.3">
      <c r="D152" s="295"/>
    </row>
    <row r="153" spans="1:8" ht="18" x14ac:dyDescent="0.25">
      <c r="A153" s="381" t="s">
        <v>318</v>
      </c>
      <c r="B153" s="371"/>
    </row>
    <row r="154" spans="1:8" x14ac:dyDescent="0.25">
      <c r="A154" s="34" t="s">
        <v>168</v>
      </c>
      <c r="B154" s="256">
        <f>B146</f>
        <v>2561.8118283114659</v>
      </c>
    </row>
    <row r="155" spans="1:8" x14ac:dyDescent="0.25">
      <c r="A155" s="34" t="s">
        <v>169</v>
      </c>
      <c r="B155" s="256">
        <f t="shared" ref="B155:B157" si="15">B147</f>
        <v>1875</v>
      </c>
    </row>
    <row r="156" spans="1:8" x14ac:dyDescent="0.25">
      <c r="A156" s="34" t="s">
        <v>170</v>
      </c>
      <c r="B156" s="256">
        <f t="shared" si="15"/>
        <v>2500</v>
      </c>
    </row>
    <row r="157" spans="1:8" x14ac:dyDescent="0.25">
      <c r="A157" s="34" t="s">
        <v>171</v>
      </c>
      <c r="B157" s="256">
        <f t="shared" si="15"/>
        <v>2500</v>
      </c>
    </row>
    <row r="158" spans="1:8" x14ac:dyDescent="0.25">
      <c r="A158" s="34" t="s">
        <v>172</v>
      </c>
      <c r="B158" s="256">
        <v>2500</v>
      </c>
    </row>
    <row r="159" spans="1:8" x14ac:dyDescent="0.25">
      <c r="A159" s="34" t="s">
        <v>361</v>
      </c>
      <c r="B159" s="162">
        <f>SUM(B154:B158)</f>
        <v>11936.811828311465</v>
      </c>
    </row>
    <row r="160" spans="1:8" ht="18.75" thickBot="1" x14ac:dyDescent="0.3">
      <c r="A160" s="34" t="s">
        <v>319</v>
      </c>
      <c r="B160" s="382">
        <f>B159/10</f>
        <v>1193.6811828311465</v>
      </c>
    </row>
    <row r="161" spans="1:3" ht="17.25" thickBot="1" x14ac:dyDescent="0.3">
      <c r="A161" s="78" t="s">
        <v>320</v>
      </c>
      <c r="B161" s="369">
        <f>(B159+B160)/10</f>
        <v>1313.0493011142612</v>
      </c>
    </row>
    <row r="162" spans="1:3" ht="17.25" thickBot="1" x14ac:dyDescent="0.3"/>
    <row r="163" spans="1:3" ht="18" x14ac:dyDescent="0.25">
      <c r="A163" s="381" t="s">
        <v>321</v>
      </c>
      <c r="B163" s="371"/>
    </row>
    <row r="164" spans="1:3" x14ac:dyDescent="0.25">
      <c r="A164" s="34" t="s">
        <v>322</v>
      </c>
      <c r="B164" s="32">
        <f>31+28+31+30+31</f>
        <v>151</v>
      </c>
    </row>
    <row r="165" spans="1:3" x14ac:dyDescent="0.25">
      <c r="A165" s="34" t="s">
        <v>323</v>
      </c>
      <c r="B165" s="412">
        <f>B164/7</f>
        <v>21.571428571428573</v>
      </c>
    </row>
    <row r="166" spans="1:3" x14ac:dyDescent="0.25">
      <c r="A166" s="34" t="s">
        <v>324</v>
      </c>
      <c r="B166" s="32">
        <f>B165/4</f>
        <v>5.3928571428571432</v>
      </c>
    </row>
    <row r="167" spans="1:3" x14ac:dyDescent="0.25">
      <c r="A167" s="34" t="s">
        <v>325</v>
      </c>
      <c r="B167" s="32">
        <v>2.5</v>
      </c>
    </row>
    <row r="168" spans="1:3" x14ac:dyDescent="0.25">
      <c r="A168" s="34" t="s">
        <v>178</v>
      </c>
      <c r="B168" s="32">
        <f>B167*B166</f>
        <v>13.482142857142858</v>
      </c>
    </row>
    <row r="169" spans="1:3" x14ac:dyDescent="0.25">
      <c r="A169" s="34" t="s">
        <v>326</v>
      </c>
      <c r="B169" s="32">
        <v>14</v>
      </c>
    </row>
    <row r="170" spans="1:3" x14ac:dyDescent="0.25">
      <c r="A170" s="34" t="s">
        <v>327</v>
      </c>
      <c r="B170" s="374">
        <f>2500/26</f>
        <v>96.15384615384616</v>
      </c>
    </row>
    <row r="171" spans="1:3" ht="18.75" thickBot="1" x14ac:dyDescent="0.3">
      <c r="A171" s="78" t="s">
        <v>328</v>
      </c>
      <c r="B171" s="382">
        <f>B170*B169</f>
        <v>1346.1538461538462</v>
      </c>
      <c r="C171" s="383" t="s">
        <v>329</v>
      </c>
    </row>
  </sheetData>
  <mergeCells count="10">
    <mergeCell ref="A142:H142"/>
    <mergeCell ref="B17:C17"/>
    <mergeCell ref="E17:F17"/>
    <mergeCell ref="A124:H124"/>
    <mergeCell ref="A96:B96"/>
    <mergeCell ref="B97:B103"/>
    <mergeCell ref="C97:C103"/>
    <mergeCell ref="D97:D103"/>
    <mergeCell ref="A109:D109"/>
    <mergeCell ref="A117:D117"/>
  </mergeCells>
  <phoneticPr fontId="6"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13</vt:i4>
      </vt:variant>
    </vt:vector>
  </HeadingPairs>
  <TitlesOfParts>
    <vt:vector size="13" baseType="lpstr">
      <vt:lpstr>ENONCE A LIRE</vt:lpstr>
      <vt:lpstr>SALARIES</vt:lpstr>
      <vt:lpstr>CONDITIONS PARTICULIERES</vt:lpstr>
      <vt:lpstr>CALENDRIER DU MOIS DE MAI</vt:lpstr>
      <vt:lpstr>BECKER BULLETIN</vt:lpstr>
      <vt:lpstr>Feuil1</vt:lpstr>
      <vt:lpstr>VINCKEL SALAIRE HABITUEL</vt:lpstr>
      <vt:lpstr>VINCKEL BULLETIN</vt:lpstr>
      <vt:lpstr>SOREL BULLETIN</vt:lpstr>
      <vt:lpstr>CALENDRIER MARTINEZ</vt:lpstr>
      <vt:lpstr>MARTINEZ BULLETIN </vt:lpstr>
      <vt:lpstr>HERFELD BULLETIN </vt:lpstr>
      <vt:lpstr>LE PRIOL BULLETIN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ARKHOS</dc:creator>
  <cp:lastModifiedBy>ARKHOS</cp:lastModifiedBy>
  <dcterms:created xsi:type="dcterms:W3CDTF">2019-05-13T15:16:04Z</dcterms:created>
  <dcterms:modified xsi:type="dcterms:W3CDTF">2023-05-02T16:27:43Z</dcterms:modified>
</cp:coreProperties>
</file>