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\Desktop\foad paie 2020\PAIE N4 PREPARATION A L'EXAMEN\2-ESSENCE DE VIE\"/>
    </mc:Choice>
  </mc:AlternateContent>
  <xr:revisionPtr revIDLastSave="0" documentId="8_{47EEC0AE-83F7-4CDE-AA1C-D85116C886E5}" xr6:coauthVersionLast="47" xr6:coauthVersionMax="47" xr10:uidLastSave="{00000000-0000-0000-0000-000000000000}"/>
  <bookViews>
    <workbookView xWindow="49080" yWindow="-660" windowWidth="29040" windowHeight="15840" tabRatio="944" firstSheet="2" activeTab="13" xr2:uid="{00000000-000D-0000-FFFF-FFFF00000000}"/>
  </bookViews>
  <sheets>
    <sheet name="REGUL DUMONT" sheetId="14" r:id="rId1"/>
    <sheet name="Bulletin DUMONT" sheetId="13" r:id="rId2"/>
    <sheet name="REGUL LAMBERT" sheetId="21" r:id="rId3"/>
    <sheet name="Bulletin LAMBERT" sheetId="16" r:id="rId4"/>
    <sheet name="REGUL SALVI" sheetId="19" r:id="rId5"/>
    <sheet name="Bulletin SALVI" sheetId="18" r:id="rId6"/>
    <sheet name="REGUL SMITH" sheetId="22" r:id="rId7"/>
    <sheet name="Bulletin SMITH" sheetId="20" r:id="rId8"/>
    <sheet name="ARRET WINKERT" sheetId="15" r:id="rId9"/>
    <sheet name="REGUL WINCKERT" sheetId="23" r:id="rId10"/>
    <sheet name="Bulletin WINCKERT" sheetId="24" r:id="rId11"/>
    <sheet name="FULL Pér de rupture convent" sheetId="27" r:id="rId12"/>
    <sheet name="FULLER Autres calculs" sheetId="28" r:id="rId13"/>
    <sheet name="Bulletin FULLER" sheetId="26" r:id="rId14"/>
    <sheet name="Feuil1" sheetId="11" state="hidden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1" i="24" l="1"/>
  <c r="K12" i="23"/>
  <c r="E83" i="18" l="1"/>
  <c r="E67" i="18"/>
  <c r="C65" i="16" l="1"/>
  <c r="C67" i="16"/>
  <c r="E21" i="21" l="1"/>
  <c r="E139" i="16"/>
  <c r="E149" i="16"/>
  <c r="E150" i="16" s="1"/>
  <c r="E155" i="16"/>
  <c r="E156" i="16" s="1"/>
  <c r="E157" i="16"/>
  <c r="D158" i="16" s="1"/>
  <c r="C158" i="16"/>
  <c r="E105" i="13"/>
  <c r="E141" i="13"/>
  <c r="E143" i="13"/>
  <c r="E150" i="13"/>
  <c r="E151" i="13"/>
  <c r="E153" i="13" s="1"/>
  <c r="E159" i="13"/>
  <c r="E160" i="13" s="1"/>
  <c r="C162" i="13"/>
  <c r="E158" i="16" l="1"/>
  <c r="E151" i="16"/>
  <c r="E154" i="13"/>
  <c r="E155" i="13"/>
  <c r="E161" i="13"/>
  <c r="D162" i="13" s="1"/>
  <c r="E162" i="13" s="1"/>
  <c r="D11" i="23" l="1"/>
  <c r="D43" i="23" s="1"/>
  <c r="E22" i="22"/>
  <c r="B51" i="22"/>
  <c r="B52" i="22"/>
  <c r="B53" i="22"/>
  <c r="B50" i="22"/>
  <c r="B29" i="22"/>
  <c r="E33" i="22"/>
  <c r="F33" i="22" s="1"/>
  <c r="M20" i="22"/>
  <c r="E83" i="26"/>
  <c r="E71" i="26"/>
  <c r="C37" i="28"/>
  <c r="C36" i="28"/>
  <c r="E185" i="18"/>
  <c r="E184" i="18"/>
  <c r="D28" i="28"/>
  <c r="B28" i="28"/>
  <c r="D25" i="28"/>
  <c r="D26" i="28"/>
  <c r="D27" i="28"/>
  <c r="D24" i="28"/>
  <c r="E24" i="28"/>
  <c r="C24" i="28"/>
  <c r="C25" i="28" s="1"/>
  <c r="D22" i="26"/>
  <c r="B40" i="23"/>
  <c r="B41" i="23"/>
  <c r="B42" i="23"/>
  <c r="B43" i="23"/>
  <c r="B39" i="23"/>
  <c r="B11" i="23"/>
  <c r="C21" i="15"/>
  <c r="C22" i="15"/>
  <c r="C20" i="15"/>
  <c r="D13" i="15"/>
  <c r="D14" i="15"/>
  <c r="D15" i="15"/>
  <c r="C36" i="16"/>
  <c r="D36" i="20"/>
  <c r="E72" i="26"/>
  <c r="C26" i="28" l="1"/>
  <c r="E25" i="28"/>
  <c r="E26" i="28" s="1"/>
  <c r="E27" i="28" s="1"/>
  <c r="E28" i="28" s="1"/>
  <c r="F24" i="28"/>
  <c r="G24" i="28" s="1"/>
  <c r="H24" i="28" s="1"/>
  <c r="C27" i="28" l="1"/>
  <c r="F26" i="28"/>
  <c r="F25" i="28"/>
  <c r="G25" i="28" s="1"/>
  <c r="H25" i="28" s="1"/>
  <c r="G26" i="28" l="1"/>
  <c r="H26" i="28" s="1"/>
  <c r="C28" i="28"/>
  <c r="F28" i="28" s="1"/>
  <c r="F27" i="28"/>
  <c r="G27" i="28" s="1"/>
  <c r="H27" i="28" s="1"/>
  <c r="G28" i="28" l="1"/>
  <c r="H28" i="28" s="1"/>
  <c r="D72" i="26" l="1"/>
  <c r="E160" i="26"/>
  <c r="E154" i="26"/>
  <c r="E152" i="26"/>
  <c r="E153" i="26" s="1"/>
  <c r="E163" i="26" s="1"/>
  <c r="D164" i="26" s="1"/>
  <c r="E151" i="26"/>
  <c r="E150" i="26"/>
  <c r="E149" i="26"/>
  <c r="E145" i="26"/>
  <c r="E143" i="26"/>
  <c r="E161" i="26" s="1"/>
  <c r="D133" i="26"/>
  <c r="F133" i="26" s="1"/>
  <c r="D132" i="26"/>
  <c r="F132" i="26" s="1"/>
  <c r="F131" i="26"/>
  <c r="D131" i="26"/>
  <c r="E131" i="26" s="1"/>
  <c r="D130" i="26"/>
  <c r="D135" i="26" s="1"/>
  <c r="F124" i="26"/>
  <c r="D124" i="26"/>
  <c r="C121" i="26"/>
  <c r="G124" i="26" s="1"/>
  <c r="H124" i="26" s="1"/>
  <c r="E114" i="26"/>
  <c r="C100" i="26"/>
  <c r="E100" i="26" s="1"/>
  <c r="C98" i="26"/>
  <c r="C97" i="26"/>
  <c r="C93" i="26"/>
  <c r="C92" i="26"/>
  <c r="E73" i="26"/>
  <c r="C66" i="26"/>
  <c r="G66" i="26" s="1"/>
  <c r="G56" i="26"/>
  <c r="E56" i="26"/>
  <c r="F45" i="26"/>
  <c r="F42" i="26"/>
  <c r="E36" i="26"/>
  <c r="E32" i="26"/>
  <c r="D27" i="26"/>
  <c r="E27" i="26" s="1"/>
  <c r="C27" i="26"/>
  <c r="D26" i="26"/>
  <c r="E26" i="26" s="1"/>
  <c r="C26" i="26"/>
  <c r="D25" i="26"/>
  <c r="E25" i="26" s="1"/>
  <c r="C25" i="26"/>
  <c r="D24" i="26"/>
  <c r="E24" i="26" s="1"/>
  <c r="C24" i="26"/>
  <c r="E20" i="26"/>
  <c r="C50" i="26"/>
  <c r="G47" i="23"/>
  <c r="C32" i="24"/>
  <c r="D31" i="15"/>
  <c r="C34" i="24" s="1"/>
  <c r="D25" i="15"/>
  <c r="J72" i="18"/>
  <c r="J70" i="18"/>
  <c r="J69" i="18"/>
  <c r="J73" i="18"/>
  <c r="J74" i="18" s="1"/>
  <c r="E79" i="18" s="1"/>
  <c r="J71" i="18"/>
  <c r="E31" i="18"/>
  <c r="E189" i="18"/>
  <c r="E188" i="18"/>
  <c r="E187" i="18"/>
  <c r="E30" i="18"/>
  <c r="D30" i="18"/>
  <c r="C30" i="18"/>
  <c r="E179" i="18"/>
  <c r="E176" i="18"/>
  <c r="F6" i="21"/>
  <c r="H6" i="21" s="1"/>
  <c r="F10" i="21"/>
  <c r="J74" i="16"/>
  <c r="D51" i="14"/>
  <c r="D52" i="14"/>
  <c r="D53" i="14"/>
  <c r="D54" i="14"/>
  <c r="D50" i="14"/>
  <c r="E22" i="14"/>
  <c r="D8" i="14"/>
  <c r="D9" i="14"/>
  <c r="D10" i="14"/>
  <c r="D11" i="14"/>
  <c r="D7" i="14"/>
  <c r="D4" i="14"/>
  <c r="D40" i="23"/>
  <c r="D8" i="23" s="1"/>
  <c r="D41" i="23"/>
  <c r="D9" i="23" s="1"/>
  <c r="D42" i="23"/>
  <c r="D10" i="23" s="1"/>
  <c r="D39" i="23"/>
  <c r="D7" i="23" s="1"/>
  <c r="D21" i="15"/>
  <c r="D22" i="15"/>
  <c r="D20" i="15"/>
  <c r="D54" i="22"/>
  <c r="D11" i="22" s="1"/>
  <c r="D51" i="22"/>
  <c r="D8" i="22" s="1"/>
  <c r="D52" i="22"/>
  <c r="D9" i="22" s="1"/>
  <c r="D53" i="22"/>
  <c r="D10" i="22" s="1"/>
  <c r="D50" i="22"/>
  <c r="D7" i="22" s="1"/>
  <c r="D11" i="19"/>
  <c r="D7" i="19"/>
  <c r="E29" i="22" s="1"/>
  <c r="F29" i="22" s="1"/>
  <c r="G29" i="22" s="1"/>
  <c r="E10" i="21"/>
  <c r="E7" i="21"/>
  <c r="D8" i="19" s="1"/>
  <c r="E8" i="21"/>
  <c r="D9" i="19" s="1"/>
  <c r="E9" i="21"/>
  <c r="D10" i="19" s="1"/>
  <c r="E6" i="21"/>
  <c r="D42" i="21"/>
  <c r="D39" i="21"/>
  <c r="D40" i="21"/>
  <c r="D41" i="21"/>
  <c r="D38" i="21"/>
  <c r="B18" i="23"/>
  <c r="C18" i="23" s="1"/>
  <c r="E18" i="23"/>
  <c r="F18" i="23" s="1"/>
  <c r="G18" i="23" s="1"/>
  <c r="B19" i="23"/>
  <c r="D19" i="23" s="1"/>
  <c r="E19" i="23"/>
  <c r="F19" i="23" s="1"/>
  <c r="B20" i="23"/>
  <c r="D20" i="23" s="1"/>
  <c r="E20" i="23"/>
  <c r="F20" i="23" s="1"/>
  <c r="B21" i="23"/>
  <c r="D21" i="23" s="1"/>
  <c r="E21" i="23"/>
  <c r="F21" i="23" s="1"/>
  <c r="E22" i="23"/>
  <c r="F22" i="23" s="1"/>
  <c r="E183" i="18"/>
  <c r="C28" i="16"/>
  <c r="J14" i="14"/>
  <c r="M12" i="21"/>
  <c r="E31" i="22" l="1"/>
  <c r="E20" i="14"/>
  <c r="E30" i="22"/>
  <c r="E19" i="14"/>
  <c r="E30" i="14" s="1"/>
  <c r="E32" i="22"/>
  <c r="E21" i="14"/>
  <c r="E18" i="22"/>
  <c r="F18" i="22" s="1"/>
  <c r="E18" i="14"/>
  <c r="E29" i="14" s="1"/>
  <c r="E50" i="26"/>
  <c r="G50" i="26"/>
  <c r="E164" i="26"/>
  <c r="E155" i="26"/>
  <c r="C63" i="26"/>
  <c r="E63" i="26" s="1"/>
  <c r="C65" i="26"/>
  <c r="E65" i="26" s="1"/>
  <c r="E162" i="26"/>
  <c r="C43" i="26"/>
  <c r="G43" i="26" s="1"/>
  <c r="E130" i="26"/>
  <c r="E22" i="26"/>
  <c r="F130" i="26"/>
  <c r="F135" i="26" s="1"/>
  <c r="E133" i="26"/>
  <c r="C164" i="26"/>
  <c r="E132" i="26"/>
  <c r="E32" i="14"/>
  <c r="E33" i="14"/>
  <c r="E31" i="14"/>
  <c r="G19" i="23"/>
  <c r="G20" i="23" s="1"/>
  <c r="G21" i="23" s="1"/>
  <c r="G22" i="23" s="1"/>
  <c r="C19" i="23"/>
  <c r="H18" i="23"/>
  <c r="I18" i="23" s="1"/>
  <c r="J18" i="23" s="1"/>
  <c r="D18" i="23"/>
  <c r="F30" i="22" l="1"/>
  <c r="G30" i="22" s="1"/>
  <c r="E19" i="22"/>
  <c r="F32" i="22"/>
  <c r="E21" i="22"/>
  <c r="F21" i="22" s="1"/>
  <c r="F31" i="22"/>
  <c r="E20" i="22"/>
  <c r="E135" i="26"/>
  <c r="E156" i="26"/>
  <c r="E157" i="26"/>
  <c r="K18" i="23"/>
  <c r="H19" i="23"/>
  <c r="I19" i="23" s="1"/>
  <c r="J19" i="23" s="1"/>
  <c r="K19" i="23" s="1"/>
  <c r="C20" i="23"/>
  <c r="C100" i="24"/>
  <c r="E100" i="24" s="1"/>
  <c r="C98" i="24"/>
  <c r="C97" i="24"/>
  <c r="C93" i="24"/>
  <c r="C92" i="24"/>
  <c r="E73" i="24"/>
  <c r="F45" i="24"/>
  <c r="F42" i="24"/>
  <c r="D36" i="24"/>
  <c r="D27" i="24"/>
  <c r="C27" i="24"/>
  <c r="D26" i="24"/>
  <c r="C26" i="24"/>
  <c r="E26" i="24" s="1"/>
  <c r="D25" i="24"/>
  <c r="E25" i="24" s="1"/>
  <c r="C25" i="24"/>
  <c r="D24" i="24"/>
  <c r="C24" i="24"/>
  <c r="C66" i="24" s="1"/>
  <c r="E20" i="24"/>
  <c r="D22" i="24" s="1"/>
  <c r="E22" i="24" s="1"/>
  <c r="E39" i="23"/>
  <c r="E40" i="23" s="1"/>
  <c r="E41" i="23" s="1"/>
  <c r="D29" i="23"/>
  <c r="E28" i="23"/>
  <c r="C28" i="23"/>
  <c r="E7" i="23"/>
  <c r="E8" i="23" s="1"/>
  <c r="E9" i="23" s="1"/>
  <c r="E10" i="23" s="1"/>
  <c r="E11" i="23" s="1"/>
  <c r="C7" i="23"/>
  <c r="E73" i="20"/>
  <c r="E50" i="22"/>
  <c r="E51" i="22" s="1"/>
  <c r="D40" i="22"/>
  <c r="E39" i="22"/>
  <c r="C39" i="22"/>
  <c r="C40" i="22" s="1"/>
  <c r="C41" i="22" s="1"/>
  <c r="C42" i="22" s="1"/>
  <c r="C43" i="22" s="1"/>
  <c r="F22" i="22"/>
  <c r="B21" i="22"/>
  <c r="F20" i="22"/>
  <c r="B20" i="22"/>
  <c r="F19" i="22"/>
  <c r="B19" i="22"/>
  <c r="B30" i="22" s="1"/>
  <c r="D30" i="22" s="1"/>
  <c r="G18" i="22"/>
  <c r="B18" i="22"/>
  <c r="E7" i="22"/>
  <c r="E8" i="22" s="1"/>
  <c r="E9" i="22" s="1"/>
  <c r="E10" i="22" s="1"/>
  <c r="E11" i="22" s="1"/>
  <c r="C7" i="22"/>
  <c r="F7" i="22" s="1"/>
  <c r="G7" i="22" s="1"/>
  <c r="H7" i="22" s="1"/>
  <c r="C9" i="19"/>
  <c r="C10" i="19" s="1"/>
  <c r="E7" i="19"/>
  <c r="F7" i="19" s="1"/>
  <c r="C7" i="19"/>
  <c r="C8" i="19" s="1"/>
  <c r="G31" i="22" l="1"/>
  <c r="G32" i="22" s="1"/>
  <c r="G33" i="22" s="1"/>
  <c r="D29" i="22"/>
  <c r="C29" i="22"/>
  <c r="D20" i="22"/>
  <c r="B31" i="22"/>
  <c r="D31" i="22" s="1"/>
  <c r="D21" i="22"/>
  <c r="B32" i="22"/>
  <c r="D32" i="22" s="1"/>
  <c r="E40" i="22"/>
  <c r="E41" i="22" s="1"/>
  <c r="F39" i="22"/>
  <c r="I39" i="22" s="1"/>
  <c r="G51" i="26"/>
  <c r="E51" i="26"/>
  <c r="E29" i="23"/>
  <c r="E30" i="23" s="1"/>
  <c r="E31" i="23" s="1"/>
  <c r="E32" i="23" s="1"/>
  <c r="C21" i="23"/>
  <c r="H20" i="23"/>
  <c r="I20" i="23" s="1"/>
  <c r="J20" i="23" s="1"/>
  <c r="K20" i="23" s="1"/>
  <c r="F7" i="23"/>
  <c r="G7" i="23" s="1"/>
  <c r="H7" i="23" s="1"/>
  <c r="E8" i="19"/>
  <c r="F8" i="19" s="1"/>
  <c r="G8" i="19" s="1"/>
  <c r="G7" i="19"/>
  <c r="H7" i="19" s="1"/>
  <c r="G19" i="22"/>
  <c r="G20" i="22" s="1"/>
  <c r="G21" i="22" s="1"/>
  <c r="G22" i="22" s="1"/>
  <c r="E24" i="24"/>
  <c r="E36" i="24"/>
  <c r="E42" i="23"/>
  <c r="C8" i="23"/>
  <c r="F28" i="23"/>
  <c r="C29" i="23"/>
  <c r="C30" i="23" s="1"/>
  <c r="C31" i="23" s="1"/>
  <c r="C32" i="23" s="1"/>
  <c r="G66" i="24"/>
  <c r="C115" i="24"/>
  <c r="E115" i="24" s="1"/>
  <c r="E27" i="24"/>
  <c r="C65" i="24" s="1"/>
  <c r="E65" i="24" s="1"/>
  <c r="D19" i="22"/>
  <c r="C18" i="22"/>
  <c r="C19" i="22" s="1"/>
  <c r="C8" i="22"/>
  <c r="F8" i="22" s="1"/>
  <c r="G8" i="22" s="1"/>
  <c r="H8" i="22" s="1"/>
  <c r="D18" i="22"/>
  <c r="G39" i="22"/>
  <c r="H39" i="22" s="1"/>
  <c r="E52" i="22"/>
  <c r="C50" i="22"/>
  <c r="F40" i="22" l="1"/>
  <c r="I40" i="22" s="1"/>
  <c r="H29" i="22"/>
  <c r="I29" i="22" s="1"/>
  <c r="J29" i="22" s="1"/>
  <c r="K29" i="22" s="1"/>
  <c r="C30" i="22"/>
  <c r="F32" i="23"/>
  <c r="H21" i="23"/>
  <c r="I21" i="23" s="1"/>
  <c r="J21" i="23" s="1"/>
  <c r="K21" i="23" s="1"/>
  <c r="F29" i="23"/>
  <c r="G29" i="23" s="1"/>
  <c r="H19" i="22"/>
  <c r="I19" i="22" s="1"/>
  <c r="E9" i="19"/>
  <c r="E10" i="19" s="1"/>
  <c r="H8" i="19"/>
  <c r="C39" i="23"/>
  <c r="G32" i="23"/>
  <c r="I32" i="23"/>
  <c r="C63" i="24"/>
  <c r="E63" i="24" s="1"/>
  <c r="C9" i="23"/>
  <c r="F8" i="23"/>
  <c r="G8" i="23" s="1"/>
  <c r="H8" i="23" s="1"/>
  <c r="E43" i="23"/>
  <c r="F30" i="23"/>
  <c r="I28" i="23"/>
  <c r="G28" i="23"/>
  <c r="H28" i="23" s="1"/>
  <c r="F31" i="23"/>
  <c r="H18" i="22"/>
  <c r="I18" i="22" s="1"/>
  <c r="J18" i="22" s="1"/>
  <c r="K18" i="22" s="1"/>
  <c r="C20" i="22"/>
  <c r="H20" i="22" s="1"/>
  <c r="I20" i="22" s="1"/>
  <c r="J20" i="22" s="1"/>
  <c r="K20" i="22" s="1"/>
  <c r="C9" i="22"/>
  <c r="F9" i="22" s="1"/>
  <c r="G9" i="22" s="1"/>
  <c r="H9" i="22" s="1"/>
  <c r="G50" i="22"/>
  <c r="H50" i="22" s="1"/>
  <c r="C51" i="22"/>
  <c r="E42" i="22"/>
  <c r="F41" i="22"/>
  <c r="E53" i="22"/>
  <c r="F50" i="22"/>
  <c r="G40" i="22"/>
  <c r="H40" i="22" s="1"/>
  <c r="F9" i="19" l="1"/>
  <c r="G9" i="19" s="1"/>
  <c r="H9" i="19" s="1"/>
  <c r="H30" i="22"/>
  <c r="I30" i="22" s="1"/>
  <c r="J30" i="22" s="1"/>
  <c r="K30" i="22" s="1"/>
  <c r="C31" i="22"/>
  <c r="C21" i="22"/>
  <c r="H21" i="22" s="1"/>
  <c r="I21" i="22" s="1"/>
  <c r="J21" i="22" s="1"/>
  <c r="K21" i="22" s="1"/>
  <c r="I29" i="23"/>
  <c r="E11" i="19"/>
  <c r="F10" i="19"/>
  <c r="G10" i="19" s="1"/>
  <c r="H10" i="19" s="1"/>
  <c r="I30" i="23"/>
  <c r="G30" i="23"/>
  <c r="H30" i="23" s="1"/>
  <c r="C40" i="23"/>
  <c r="G39" i="23"/>
  <c r="H39" i="23" s="1"/>
  <c r="F39" i="23"/>
  <c r="H29" i="23"/>
  <c r="C10" i="23"/>
  <c r="F9" i="23"/>
  <c r="G9" i="23" s="1"/>
  <c r="H9" i="23" s="1"/>
  <c r="G31" i="23"/>
  <c r="H32" i="23" s="1"/>
  <c r="I31" i="23"/>
  <c r="J19" i="22"/>
  <c r="K19" i="22" s="1"/>
  <c r="C10" i="22"/>
  <c r="F10" i="22" s="1"/>
  <c r="G10" i="22" s="1"/>
  <c r="H10" i="22" s="1"/>
  <c r="G41" i="22"/>
  <c r="H41" i="22" s="1"/>
  <c r="I41" i="22"/>
  <c r="E43" i="22"/>
  <c r="F43" i="22" s="1"/>
  <c r="F42" i="22"/>
  <c r="C52" i="22"/>
  <c r="G51" i="22"/>
  <c r="H51" i="22" s="1"/>
  <c r="F51" i="22"/>
  <c r="E54" i="22"/>
  <c r="C32" i="22" l="1"/>
  <c r="H31" i="22"/>
  <c r="I31" i="22" s="1"/>
  <c r="J31" i="22" s="1"/>
  <c r="K31" i="22" s="1"/>
  <c r="G40" i="23"/>
  <c r="H40" i="23" s="1"/>
  <c r="C41" i="23"/>
  <c r="F40" i="23"/>
  <c r="F10" i="23"/>
  <c r="G10" i="23" s="1"/>
  <c r="H10" i="23" s="1"/>
  <c r="G56" i="24"/>
  <c r="E56" i="24"/>
  <c r="H31" i="23"/>
  <c r="I42" i="22"/>
  <c r="G42" i="22"/>
  <c r="H42" i="22" s="1"/>
  <c r="G52" i="22"/>
  <c r="H52" i="22" s="1"/>
  <c r="C53" i="22"/>
  <c r="F52" i="22"/>
  <c r="G43" i="22"/>
  <c r="H43" i="22" s="1"/>
  <c r="I43" i="22"/>
  <c r="H32" i="22" l="1"/>
  <c r="I32" i="22" s="1"/>
  <c r="J32" i="22" s="1"/>
  <c r="K32" i="22" s="1"/>
  <c r="G41" i="23"/>
  <c r="H41" i="23" s="1"/>
  <c r="C42" i="23"/>
  <c r="F41" i="23"/>
  <c r="G53" i="22"/>
  <c r="H53" i="22" s="1"/>
  <c r="F53" i="22"/>
  <c r="G42" i="23" l="1"/>
  <c r="H42" i="23" s="1"/>
  <c r="F42" i="23"/>
  <c r="D72" i="18" l="1"/>
  <c r="E72" i="18" s="1"/>
  <c r="E181" i="18"/>
  <c r="E182" i="18" s="1"/>
  <c r="E171" i="18"/>
  <c r="E38" i="21"/>
  <c r="D28" i="21"/>
  <c r="E28" i="21" s="1"/>
  <c r="C28" i="21"/>
  <c r="C29" i="21" s="1"/>
  <c r="C30" i="21" s="1"/>
  <c r="C31" i="21" s="1"/>
  <c r="E27" i="21"/>
  <c r="F27" i="21" s="1"/>
  <c r="C27" i="21"/>
  <c r="F21" i="21"/>
  <c r="F20" i="21"/>
  <c r="F19" i="21"/>
  <c r="F18" i="21"/>
  <c r="F17" i="21"/>
  <c r="G17" i="21" s="1"/>
  <c r="F9" i="21"/>
  <c r="B20" i="21"/>
  <c r="F8" i="21"/>
  <c r="D8" i="21"/>
  <c r="B19" i="21"/>
  <c r="B40" i="21" s="1"/>
  <c r="F7" i="21"/>
  <c r="D7" i="21"/>
  <c r="B18" i="21"/>
  <c r="G6" i="21"/>
  <c r="D6" i="21"/>
  <c r="D123" i="16"/>
  <c r="G123" i="16" s="1"/>
  <c r="D74" i="16"/>
  <c r="E74" i="16" s="1"/>
  <c r="C23" i="16"/>
  <c r="G163" i="16" s="1"/>
  <c r="F30" i="14"/>
  <c r="F31" i="14"/>
  <c r="F32" i="14"/>
  <c r="F33" i="14"/>
  <c r="F20" i="14"/>
  <c r="F21" i="14"/>
  <c r="F22" i="14"/>
  <c r="D22" i="14"/>
  <c r="B20" i="14"/>
  <c r="D20" i="14" s="1"/>
  <c r="B21" i="14"/>
  <c r="D21" i="14" s="1"/>
  <c r="B22" i="14"/>
  <c r="B33" i="14" s="1"/>
  <c r="D33" i="14" s="1"/>
  <c r="B18" i="14"/>
  <c r="B29" i="14" s="1"/>
  <c r="B50" i="14" s="1"/>
  <c r="C50" i="14" s="1"/>
  <c r="E160" i="20"/>
  <c r="E154" i="20"/>
  <c r="E151" i="20"/>
  <c r="E150" i="20"/>
  <c r="E149" i="20"/>
  <c r="E152" i="20" s="1"/>
  <c r="E153" i="20" s="1"/>
  <c r="E163" i="20" s="1"/>
  <c r="D164" i="20" s="1"/>
  <c r="E143" i="20"/>
  <c r="E145" i="20" s="1"/>
  <c r="D133" i="20"/>
  <c r="F133" i="20" s="1"/>
  <c r="D132" i="20"/>
  <c r="F132" i="20" s="1"/>
  <c r="D131" i="20"/>
  <c r="E131" i="20" s="1"/>
  <c r="D130" i="20"/>
  <c r="F124" i="20"/>
  <c r="D124" i="20"/>
  <c r="C121" i="20"/>
  <c r="E114" i="20"/>
  <c r="C98" i="20"/>
  <c r="C97" i="20"/>
  <c r="C93" i="20"/>
  <c r="C92" i="20"/>
  <c r="G64" i="20"/>
  <c r="F45" i="20"/>
  <c r="F42" i="20"/>
  <c r="E36" i="20"/>
  <c r="D27" i="20"/>
  <c r="D26" i="20"/>
  <c r="E26" i="20" s="1"/>
  <c r="C26" i="20"/>
  <c r="D25" i="20"/>
  <c r="D24" i="20"/>
  <c r="C24" i="20"/>
  <c r="E20" i="20"/>
  <c r="E155" i="18"/>
  <c r="E163" i="18"/>
  <c r="D164" i="18" s="1"/>
  <c r="E145" i="18"/>
  <c r="D133" i="18"/>
  <c r="F133" i="18" s="1"/>
  <c r="D132" i="18"/>
  <c r="F132" i="18" s="1"/>
  <c r="D131" i="18"/>
  <c r="E131" i="18" s="1"/>
  <c r="D130" i="18"/>
  <c r="D135" i="18" s="1"/>
  <c r="F124" i="18"/>
  <c r="D124" i="18"/>
  <c r="C98" i="18"/>
  <c r="C97" i="18"/>
  <c r="C93" i="18"/>
  <c r="C92" i="18"/>
  <c r="F45" i="18"/>
  <c r="F42" i="18"/>
  <c r="D36" i="18"/>
  <c r="E36" i="18" s="1"/>
  <c r="C36" i="18"/>
  <c r="D27" i="18"/>
  <c r="D26" i="18"/>
  <c r="C26" i="18"/>
  <c r="D25" i="18"/>
  <c r="D24" i="18"/>
  <c r="C24" i="18"/>
  <c r="C22" i="18"/>
  <c r="E32" i="16"/>
  <c r="C100" i="16"/>
  <c r="C99" i="16"/>
  <c r="C95" i="16"/>
  <c r="C94" i="16"/>
  <c r="F47" i="16"/>
  <c r="F44" i="16"/>
  <c r="D36" i="16"/>
  <c r="D27" i="16"/>
  <c r="D26" i="16"/>
  <c r="C26" i="16"/>
  <c r="C24" i="16"/>
  <c r="G164" i="16" s="1"/>
  <c r="E20" i="16"/>
  <c r="G18" i="21" l="1"/>
  <c r="G19" i="21" s="1"/>
  <c r="G20" i="21" s="1"/>
  <c r="G21" i="21" s="1"/>
  <c r="E160" i="16"/>
  <c r="G124" i="20"/>
  <c r="H124" i="20" s="1"/>
  <c r="D22" i="16"/>
  <c r="E22" i="16" s="1"/>
  <c r="D28" i="16"/>
  <c r="E28" i="16" s="1"/>
  <c r="D29" i="18"/>
  <c r="E29" i="18" s="1"/>
  <c r="E173" i="18"/>
  <c r="F131" i="18"/>
  <c r="B54" i="14"/>
  <c r="D135" i="20"/>
  <c r="F131" i="20"/>
  <c r="D22" i="20"/>
  <c r="E22" i="20" s="1"/>
  <c r="E130" i="20"/>
  <c r="F130" i="20"/>
  <c r="F135" i="20" s="1"/>
  <c r="E130" i="18"/>
  <c r="E174" i="18"/>
  <c r="F130" i="18"/>
  <c r="D22" i="18"/>
  <c r="E22" i="18" s="1"/>
  <c r="E24" i="20"/>
  <c r="E26" i="18"/>
  <c r="E24" i="18"/>
  <c r="G7" i="21"/>
  <c r="G8" i="21" s="1"/>
  <c r="G9" i="21" s="1"/>
  <c r="G10" i="21" s="1"/>
  <c r="D20" i="21"/>
  <c r="B41" i="21"/>
  <c r="E29" i="21"/>
  <c r="F28" i="21"/>
  <c r="D18" i="21"/>
  <c r="B39" i="21"/>
  <c r="G27" i="21"/>
  <c r="H27" i="21" s="1"/>
  <c r="I27" i="21"/>
  <c r="C6" i="21"/>
  <c r="D9" i="21"/>
  <c r="B17" i="21"/>
  <c r="D19" i="21"/>
  <c r="E39" i="21"/>
  <c r="E36" i="16"/>
  <c r="J73" i="16" s="1"/>
  <c r="E26" i="16"/>
  <c r="B32" i="14"/>
  <c r="B31" i="14"/>
  <c r="E155" i="20"/>
  <c r="E133" i="20"/>
  <c r="C164" i="20"/>
  <c r="E164" i="20" s="1"/>
  <c r="E132" i="20"/>
  <c r="E161" i="20"/>
  <c r="E162" i="20" s="1"/>
  <c r="E156" i="18"/>
  <c r="E157" i="18" s="1"/>
  <c r="E133" i="18"/>
  <c r="C164" i="18"/>
  <c r="E164" i="18" s="1"/>
  <c r="E132" i="18"/>
  <c r="E161" i="18"/>
  <c r="E162" i="18" s="1"/>
  <c r="E34" i="16"/>
  <c r="E33" i="16"/>
  <c r="J72" i="16" l="1"/>
  <c r="E161" i="16"/>
  <c r="E162" i="16" s="1"/>
  <c r="F135" i="18"/>
  <c r="E135" i="20"/>
  <c r="E135" i="18"/>
  <c r="E30" i="21"/>
  <c r="F29" i="21"/>
  <c r="I28" i="21"/>
  <c r="G28" i="21"/>
  <c r="H28" i="21" s="1"/>
  <c r="C17" i="21"/>
  <c r="B38" i="21"/>
  <c r="C38" i="21" s="1"/>
  <c r="D17" i="21"/>
  <c r="E40" i="21"/>
  <c r="C7" i="21"/>
  <c r="I6" i="21"/>
  <c r="J6" i="21" s="1"/>
  <c r="K6" i="21" s="1"/>
  <c r="D32" i="14"/>
  <c r="B53" i="14"/>
  <c r="D31" i="14"/>
  <c r="B52" i="14"/>
  <c r="E156" i="20"/>
  <c r="E157" i="20"/>
  <c r="C25" i="20"/>
  <c r="C27" i="20"/>
  <c r="E27" i="20" s="1"/>
  <c r="C25" i="18"/>
  <c r="C27" i="18"/>
  <c r="E27" i="18" s="1"/>
  <c r="C25" i="16"/>
  <c r="C27" i="16"/>
  <c r="E27" i="16" s="1"/>
  <c r="C68" i="16" l="1"/>
  <c r="G165" i="16"/>
  <c r="C163" i="16"/>
  <c r="C164" i="16" s="1"/>
  <c r="E25" i="20"/>
  <c r="C63" i="20" s="1"/>
  <c r="E63" i="20" s="1"/>
  <c r="C66" i="20"/>
  <c r="E25" i="18"/>
  <c r="C66" i="18"/>
  <c r="G29" i="21"/>
  <c r="H29" i="21" s="1"/>
  <c r="I29" i="21"/>
  <c r="H7" i="21"/>
  <c r="I7" i="21" s="1"/>
  <c r="J7" i="21" s="1"/>
  <c r="K7" i="21" s="1"/>
  <c r="C8" i="21"/>
  <c r="C39" i="21"/>
  <c r="G38" i="21"/>
  <c r="H38" i="21" s="1"/>
  <c r="F38" i="21"/>
  <c r="E41" i="21"/>
  <c r="H17" i="21"/>
  <c r="I17" i="21" s="1"/>
  <c r="J17" i="21" s="1"/>
  <c r="K17" i="21" s="1"/>
  <c r="C18" i="21"/>
  <c r="F30" i="21"/>
  <c r="E31" i="21"/>
  <c r="F31" i="21" s="1"/>
  <c r="E37" i="20"/>
  <c r="E164" i="16" l="1"/>
  <c r="C165" i="16"/>
  <c r="E163" i="16"/>
  <c r="B11" i="22"/>
  <c r="C51" i="20"/>
  <c r="C106" i="20"/>
  <c r="C55" i="20"/>
  <c r="G55" i="20" s="1"/>
  <c r="K34" i="20"/>
  <c r="C115" i="20"/>
  <c r="E115" i="20" s="1"/>
  <c r="E37" i="18"/>
  <c r="C116" i="18" s="1"/>
  <c r="C63" i="18"/>
  <c r="E63" i="18" s="1"/>
  <c r="C115" i="18"/>
  <c r="E115" i="18" s="1"/>
  <c r="I30" i="21"/>
  <c r="G30" i="21"/>
  <c r="H30" i="21" s="1"/>
  <c r="H8" i="21"/>
  <c r="I8" i="21" s="1"/>
  <c r="J8" i="21" s="1"/>
  <c r="K8" i="21" s="1"/>
  <c r="C9" i="21"/>
  <c r="C19" i="21"/>
  <c r="H18" i="21"/>
  <c r="I18" i="21" s="1"/>
  <c r="J18" i="21" s="1"/>
  <c r="K18" i="21" s="1"/>
  <c r="G31" i="21"/>
  <c r="H31" i="21" s="1"/>
  <c r="I31" i="21"/>
  <c r="E42" i="21"/>
  <c r="C40" i="21"/>
  <c r="G39" i="21"/>
  <c r="H39" i="21" s="1"/>
  <c r="F39" i="21"/>
  <c r="G68" i="16"/>
  <c r="E117" i="16" s="1"/>
  <c r="D91" i="20"/>
  <c r="C41" i="20"/>
  <c r="C53" i="20"/>
  <c r="G53" i="20" s="1"/>
  <c r="C48" i="20"/>
  <c r="E165" i="16" l="1"/>
  <c r="D25" i="16" s="1"/>
  <c r="E25" i="16" s="1"/>
  <c r="F165" i="16"/>
  <c r="H165" i="16" s="1"/>
  <c r="F164" i="16"/>
  <c r="H164" i="16" s="1"/>
  <c r="D24" i="16"/>
  <c r="E24" i="16" s="1"/>
  <c r="F163" i="16"/>
  <c r="H163" i="16" s="1"/>
  <c r="H166" i="16" s="1"/>
  <c r="D23" i="16"/>
  <c r="E23" i="16" s="1"/>
  <c r="C117" i="18"/>
  <c r="E117" i="18" s="1"/>
  <c r="E116" i="18"/>
  <c r="C107" i="20"/>
  <c r="E107" i="20" s="1"/>
  <c r="E106" i="20"/>
  <c r="C116" i="20"/>
  <c r="G41" i="20"/>
  <c r="B22" i="22"/>
  <c r="C11" i="22"/>
  <c r="F11" i="22" s="1"/>
  <c r="G11" i="22" s="1"/>
  <c r="J17" i="20" s="1"/>
  <c r="C101" i="20" s="1"/>
  <c r="E101" i="20" s="1"/>
  <c r="B11" i="19"/>
  <c r="C11" i="19" s="1"/>
  <c r="F11" i="19" s="1"/>
  <c r="G11" i="19" s="1"/>
  <c r="H11" i="19" s="1"/>
  <c r="G64" i="18" s="1"/>
  <c r="E114" i="18" s="1"/>
  <c r="C106" i="18"/>
  <c r="C55" i="18"/>
  <c r="G55" i="18" s="1"/>
  <c r="C53" i="18"/>
  <c r="G53" i="18" s="1"/>
  <c r="C41" i="18"/>
  <c r="C121" i="18"/>
  <c r="G124" i="18" s="1"/>
  <c r="H124" i="18" s="1"/>
  <c r="J17" i="18"/>
  <c r="C101" i="18" s="1"/>
  <c r="E101" i="18" s="1"/>
  <c r="E56" i="18"/>
  <c r="F41" i="18"/>
  <c r="C48" i="18"/>
  <c r="G48" i="18" s="1"/>
  <c r="D91" i="18"/>
  <c r="E96" i="18" s="1"/>
  <c r="C41" i="21"/>
  <c r="G40" i="21"/>
  <c r="H40" i="21" s="1"/>
  <c r="F40" i="21"/>
  <c r="H9" i="21"/>
  <c r="I9" i="21" s="1"/>
  <c r="J9" i="21" s="1"/>
  <c r="K9" i="21" s="1"/>
  <c r="C20" i="21"/>
  <c r="H19" i="21"/>
  <c r="I19" i="21" s="1"/>
  <c r="J19" i="21" s="1"/>
  <c r="K19" i="21" s="1"/>
  <c r="G44" i="20"/>
  <c r="K38" i="20" s="1"/>
  <c r="G48" i="20"/>
  <c r="E48" i="20"/>
  <c r="G56" i="20"/>
  <c r="E56" i="20"/>
  <c r="E94" i="20"/>
  <c r="E95" i="20"/>
  <c r="E96" i="20"/>
  <c r="E92" i="20"/>
  <c r="E97" i="20"/>
  <c r="E98" i="20"/>
  <c r="E93" i="20"/>
  <c r="B33" i="22" l="1"/>
  <c r="D33" i="22" s="1"/>
  <c r="B54" i="22"/>
  <c r="E37" i="16"/>
  <c r="E65" i="16"/>
  <c r="J76" i="16" s="1"/>
  <c r="E170" i="16"/>
  <c r="C33" i="22"/>
  <c r="H33" i="22" s="1"/>
  <c r="I33" i="22" s="1"/>
  <c r="J33" i="22" s="1"/>
  <c r="E118" i="18"/>
  <c r="E84" i="18" s="1"/>
  <c r="H11" i="22"/>
  <c r="J18" i="20" s="1"/>
  <c r="C117" i="20"/>
  <c r="E117" i="20" s="1"/>
  <c r="E116" i="20"/>
  <c r="D22" i="22"/>
  <c r="C22" i="22"/>
  <c r="H22" i="22" s="1"/>
  <c r="I22" i="22" s="1"/>
  <c r="J22" i="22" s="1"/>
  <c r="K22" i="22" s="1"/>
  <c r="G41" i="18"/>
  <c r="E93" i="18"/>
  <c r="C107" i="18"/>
  <c r="E107" i="18" s="1"/>
  <c r="E106" i="18"/>
  <c r="G56" i="18"/>
  <c r="E48" i="18"/>
  <c r="E92" i="18"/>
  <c r="E95" i="18"/>
  <c r="E98" i="18"/>
  <c r="E94" i="18"/>
  <c r="E97" i="18"/>
  <c r="H20" i="21"/>
  <c r="I20" i="21" s="1"/>
  <c r="J20" i="21" s="1"/>
  <c r="K20" i="21" s="1"/>
  <c r="G41" i="21"/>
  <c r="H41" i="21" s="1"/>
  <c r="F41" i="21"/>
  <c r="E169" i="16" l="1"/>
  <c r="E171" i="16" s="1"/>
  <c r="C172" i="16" s="1"/>
  <c r="E172" i="16" s="1"/>
  <c r="C109" i="16"/>
  <c r="C50" i="16"/>
  <c r="C55" i="16"/>
  <c r="C118" i="16"/>
  <c r="C57" i="16"/>
  <c r="G57" i="16" s="1"/>
  <c r="C58" i="16"/>
  <c r="D93" i="16"/>
  <c r="C43" i="16"/>
  <c r="B10" i="21"/>
  <c r="K33" i="22"/>
  <c r="E118" i="20"/>
  <c r="E84" i="20" s="1"/>
  <c r="C54" i="22"/>
  <c r="C45" i="18"/>
  <c r="G45" i="18" s="1"/>
  <c r="C47" i="18"/>
  <c r="C42" i="18"/>
  <c r="G42" i="18" s="1"/>
  <c r="C49" i="18"/>
  <c r="C45" i="20"/>
  <c r="G45" i="20" s="1"/>
  <c r="C49" i="20"/>
  <c r="C42" i="20"/>
  <c r="G42" i="20" s="1"/>
  <c r="C47" i="20"/>
  <c r="C50" i="20"/>
  <c r="C43" i="20"/>
  <c r="G43" i="20" s="1"/>
  <c r="C50" i="18"/>
  <c r="C43" i="18"/>
  <c r="G43" i="18" s="1"/>
  <c r="G50" i="16" l="1"/>
  <c r="E50" i="16"/>
  <c r="D10" i="21"/>
  <c r="B21" i="21"/>
  <c r="C10" i="21"/>
  <c r="H10" i="21" s="1"/>
  <c r="I10" i="21" s="1"/>
  <c r="J10" i="21" s="1"/>
  <c r="K10" i="21" s="1"/>
  <c r="G43" i="16" s="1"/>
  <c r="C108" i="16"/>
  <c r="E108" i="16" s="1"/>
  <c r="E109" i="16"/>
  <c r="E97" i="16"/>
  <c r="E99" i="16"/>
  <c r="E96" i="16"/>
  <c r="E100" i="16"/>
  <c r="E94" i="16"/>
  <c r="E98" i="16"/>
  <c r="E95" i="16"/>
  <c r="G58" i="16"/>
  <c r="E58" i="16"/>
  <c r="E118" i="16"/>
  <c r="E120" i="16" s="1"/>
  <c r="E86" i="16" s="1"/>
  <c r="C119" i="16"/>
  <c r="E119" i="16" s="1"/>
  <c r="G54" i="22"/>
  <c r="H54" i="22" s="1"/>
  <c r="F54" i="22"/>
  <c r="G47" i="20"/>
  <c r="E47" i="20"/>
  <c r="E47" i="18"/>
  <c r="G47" i="18"/>
  <c r="E49" i="18"/>
  <c r="G49" i="18"/>
  <c r="K37" i="20"/>
  <c r="C100" i="20"/>
  <c r="E100" i="20" s="1"/>
  <c r="C61" i="20"/>
  <c r="C100" i="18"/>
  <c r="E100" i="18" s="1"/>
  <c r="E103" i="18" s="1"/>
  <c r="G57" i="18" s="1"/>
  <c r="C61" i="18"/>
  <c r="G49" i="20"/>
  <c r="E49" i="20"/>
  <c r="E51" i="20"/>
  <c r="G51" i="20"/>
  <c r="E50" i="18"/>
  <c r="G50" i="18"/>
  <c r="E50" i="20"/>
  <c r="G50" i="20"/>
  <c r="G51" i="18"/>
  <c r="E51" i="18"/>
  <c r="D21" i="21" l="1"/>
  <c r="B42" i="21"/>
  <c r="C42" i="21" s="1"/>
  <c r="C21" i="21"/>
  <c r="H21" i="21" s="1"/>
  <c r="I21" i="21" s="1"/>
  <c r="J21" i="21" s="1"/>
  <c r="K21" i="21" s="1"/>
  <c r="G55" i="16" s="1"/>
  <c r="E103" i="20"/>
  <c r="G57" i="20" s="1"/>
  <c r="G67" i="20" s="1"/>
  <c r="E85" i="20" s="1"/>
  <c r="C62" i="18"/>
  <c r="E62" i="18" s="1"/>
  <c r="C108" i="18"/>
  <c r="E108" i="18" s="1"/>
  <c r="E110" i="18" s="1"/>
  <c r="G77" i="18" s="1"/>
  <c r="E61" i="18"/>
  <c r="G67" i="18"/>
  <c r="E85" i="18" s="1"/>
  <c r="C62" i="20"/>
  <c r="E62" i="20" s="1"/>
  <c r="C108" i="20"/>
  <c r="E108" i="20" s="1"/>
  <c r="E110" i="20" s="1"/>
  <c r="G77" i="20" s="1"/>
  <c r="E61" i="20"/>
  <c r="F42" i="21" l="1"/>
  <c r="G42" i="21"/>
  <c r="H42" i="21" s="1"/>
  <c r="C53" i="16" s="1"/>
  <c r="E67" i="20"/>
  <c r="K36" i="20"/>
  <c r="D23" i="15"/>
  <c r="D24" i="15" s="1"/>
  <c r="D7" i="15"/>
  <c r="F19" i="14"/>
  <c r="C18" i="14"/>
  <c r="E32" i="13"/>
  <c r="E50" i="14"/>
  <c r="E51" i="14" s="1"/>
  <c r="E52" i="14" s="1"/>
  <c r="E53" i="14" s="1"/>
  <c r="E54" i="14" s="1"/>
  <c r="D40" i="14"/>
  <c r="E39" i="14"/>
  <c r="C39" i="14"/>
  <c r="C40" i="14" s="1"/>
  <c r="C41" i="14" s="1"/>
  <c r="C42" i="14" s="1"/>
  <c r="C43" i="14" s="1"/>
  <c r="F29" i="14"/>
  <c r="G29" i="14" s="1"/>
  <c r="F18" i="14"/>
  <c r="G18" i="14" s="1"/>
  <c r="E7" i="14"/>
  <c r="C7" i="14"/>
  <c r="D9" i="15" l="1"/>
  <c r="D32" i="24"/>
  <c r="E32" i="24" s="1"/>
  <c r="B32" i="15"/>
  <c r="D32" i="15" s="1"/>
  <c r="K35" i="20"/>
  <c r="K39" i="20" s="1"/>
  <c r="D79" i="20"/>
  <c r="C80" i="20" s="1"/>
  <c r="E80" i="20" s="1"/>
  <c r="G76" i="18"/>
  <c r="C80" i="18"/>
  <c r="E80" i="18" s="1"/>
  <c r="G76" i="20"/>
  <c r="D26" i="15"/>
  <c r="D33" i="15"/>
  <c r="G30" i="14"/>
  <c r="G31" i="14" s="1"/>
  <c r="G32" i="14" s="1"/>
  <c r="G33" i="14" s="1"/>
  <c r="C29" i="14"/>
  <c r="E40" i="14"/>
  <c r="E41" i="14" s="1"/>
  <c r="E42" i="14" s="1"/>
  <c r="F7" i="14"/>
  <c r="G7" i="14" s="1"/>
  <c r="H7" i="14" s="1"/>
  <c r="F39" i="14"/>
  <c r="I39" i="14" s="1"/>
  <c r="G19" i="14"/>
  <c r="G20" i="14" s="1"/>
  <c r="G21" i="14" s="1"/>
  <c r="G22" i="14" s="1"/>
  <c r="D18" i="14"/>
  <c r="E8" i="14"/>
  <c r="E9" i="14" s="1"/>
  <c r="E10" i="14" s="1"/>
  <c r="E11" i="14" s="1"/>
  <c r="E34" i="13"/>
  <c r="E33" i="13"/>
  <c r="H18" i="14"/>
  <c r="I18" i="14" s="1"/>
  <c r="J18" i="14" s="1"/>
  <c r="D34" i="24" l="1"/>
  <c r="E34" i="24" s="1"/>
  <c r="E34" i="26"/>
  <c r="E37" i="26" s="1"/>
  <c r="J71" i="24"/>
  <c r="E33" i="24"/>
  <c r="E37" i="24" s="1"/>
  <c r="E83" i="20"/>
  <c r="K18" i="14"/>
  <c r="D27" i="15"/>
  <c r="D28" i="15" s="1"/>
  <c r="E74" i="24" s="1"/>
  <c r="F40" i="14"/>
  <c r="G40" i="14" s="1"/>
  <c r="F41" i="14"/>
  <c r="G41" i="14" s="1"/>
  <c r="D29" i="14"/>
  <c r="G39" i="14"/>
  <c r="H39" i="14" s="1"/>
  <c r="H29" i="14"/>
  <c r="I29" i="14" s="1"/>
  <c r="J29" i="14" s="1"/>
  <c r="E43" i="14"/>
  <c r="F43" i="14" s="1"/>
  <c r="F42" i="14"/>
  <c r="C41" i="26" l="1"/>
  <c r="C48" i="26"/>
  <c r="C55" i="26"/>
  <c r="G55" i="26" s="1"/>
  <c r="J17" i="26"/>
  <c r="C106" i="26"/>
  <c r="D91" i="26"/>
  <c r="C53" i="26"/>
  <c r="G53" i="26" s="1"/>
  <c r="C61" i="26"/>
  <c r="J72" i="24"/>
  <c r="J73" i="24" s="1"/>
  <c r="C61" i="24"/>
  <c r="C53" i="24"/>
  <c r="G53" i="24" s="1"/>
  <c r="C48" i="24"/>
  <c r="D91" i="24"/>
  <c r="C106" i="24"/>
  <c r="C55" i="24"/>
  <c r="G55" i="24" s="1"/>
  <c r="C41" i="24"/>
  <c r="K29" i="14"/>
  <c r="I41" i="14"/>
  <c r="I40" i="14"/>
  <c r="G50" i="14"/>
  <c r="H50" i="14" s="1"/>
  <c r="F50" i="14"/>
  <c r="H40" i="14"/>
  <c r="G42" i="14"/>
  <c r="H42" i="14" s="1"/>
  <c r="I42" i="14"/>
  <c r="I43" i="14"/>
  <c r="G43" i="14"/>
  <c r="H41" i="14"/>
  <c r="E95" i="26" l="1"/>
  <c r="E92" i="26"/>
  <c r="E96" i="26"/>
  <c r="E93" i="26"/>
  <c r="E97" i="26"/>
  <c r="E98" i="26"/>
  <c r="E94" i="26"/>
  <c r="E106" i="26"/>
  <c r="E110" i="26" s="1"/>
  <c r="G77" i="26" s="1"/>
  <c r="C107" i="26"/>
  <c r="E107" i="26" s="1"/>
  <c r="E48" i="26"/>
  <c r="G48" i="26"/>
  <c r="C62" i="26"/>
  <c r="E62" i="26" s="1"/>
  <c r="C108" i="26"/>
  <c r="E108" i="26" s="1"/>
  <c r="E61" i="26"/>
  <c r="C45" i="26"/>
  <c r="G45" i="26" s="1"/>
  <c r="C47" i="26"/>
  <c r="C101" i="26"/>
  <c r="E101" i="26" s="1"/>
  <c r="C49" i="26"/>
  <c r="C42" i="26"/>
  <c r="G42" i="26" s="1"/>
  <c r="C116" i="26"/>
  <c r="G41" i="26"/>
  <c r="C107" i="24"/>
  <c r="E107" i="24" s="1"/>
  <c r="E106" i="24"/>
  <c r="E96" i="24"/>
  <c r="E98" i="24"/>
  <c r="E92" i="24"/>
  <c r="E94" i="24"/>
  <c r="E95" i="24"/>
  <c r="E97" i="24"/>
  <c r="E93" i="24"/>
  <c r="C116" i="24"/>
  <c r="G41" i="24"/>
  <c r="E51" i="24"/>
  <c r="G51" i="24"/>
  <c r="G48" i="24"/>
  <c r="E48" i="24"/>
  <c r="E61" i="24"/>
  <c r="C108" i="24"/>
  <c r="E108" i="24" s="1"/>
  <c r="C62" i="24"/>
  <c r="E62" i="24" s="1"/>
  <c r="H43" i="14"/>
  <c r="C117" i="26" l="1"/>
  <c r="E117" i="26" s="1"/>
  <c r="E116" i="26"/>
  <c r="E47" i="26"/>
  <c r="G47" i="26"/>
  <c r="E103" i="26"/>
  <c r="G57" i="26" s="1"/>
  <c r="G49" i="26"/>
  <c r="E49" i="26"/>
  <c r="E116" i="24"/>
  <c r="C117" i="24"/>
  <c r="E117" i="24" s="1"/>
  <c r="E110" i="24"/>
  <c r="G77" i="24" s="1"/>
  <c r="D131" i="13"/>
  <c r="E131" i="13" s="1"/>
  <c r="D130" i="13"/>
  <c r="F130" i="13" s="1"/>
  <c r="D129" i="13"/>
  <c r="F129" i="13" s="1"/>
  <c r="D128" i="13"/>
  <c r="F128" i="13" s="1"/>
  <c r="F122" i="13"/>
  <c r="C119" i="13"/>
  <c r="E115" i="13"/>
  <c r="E114" i="13"/>
  <c r="C96" i="13"/>
  <c r="F45" i="13"/>
  <c r="F42" i="13"/>
  <c r="D36" i="13"/>
  <c r="C26" i="13"/>
  <c r="D25" i="13"/>
  <c r="D24" i="13"/>
  <c r="C24" i="13"/>
  <c r="C22" i="13"/>
  <c r="E20" i="13"/>
  <c r="D22" i="13" s="1"/>
  <c r="E22" i="13" s="1"/>
  <c r="C90" i="13"/>
  <c r="E24" i="13" l="1"/>
  <c r="E118" i="26"/>
  <c r="E84" i="26" s="1"/>
  <c r="E67" i="26"/>
  <c r="G67" i="26"/>
  <c r="E85" i="26" s="1"/>
  <c r="E118" i="24"/>
  <c r="E84" i="24" s="1"/>
  <c r="E36" i="13"/>
  <c r="E130" i="13"/>
  <c r="F131" i="13"/>
  <c r="F133" i="13" s="1"/>
  <c r="D27" i="13"/>
  <c r="D26" i="13"/>
  <c r="E26" i="13" s="1"/>
  <c r="C91" i="13"/>
  <c r="E129" i="13"/>
  <c r="D133" i="13"/>
  <c r="C95" i="13"/>
  <c r="E128" i="13"/>
  <c r="G76" i="26" l="1"/>
  <c r="E79" i="26"/>
  <c r="C80" i="26" s="1"/>
  <c r="E80" i="26" s="1"/>
  <c r="E133" i="13"/>
  <c r="E113" i="13"/>
  <c r="C25" i="13"/>
  <c r="E25" i="13" s="1"/>
  <c r="C27" i="13"/>
  <c r="E27" i="13" s="1"/>
  <c r="E37" i="13" l="1"/>
  <c r="C105" i="13" s="1"/>
  <c r="C63" i="13"/>
  <c r="E63" i="13" s="1"/>
  <c r="C53" i="13" l="1"/>
  <c r="G53" i="13" s="1"/>
  <c r="C41" i="13"/>
  <c r="G41" i="13" s="1"/>
  <c r="D122" i="13"/>
  <c r="G122" i="13" s="1"/>
  <c r="H122" i="13" s="1"/>
  <c r="C56" i="13"/>
  <c r="D89" i="13"/>
  <c r="C48" i="13"/>
  <c r="G55" i="13" l="1"/>
  <c r="C8" i="14"/>
  <c r="C9" i="14" s="1"/>
  <c r="B19" i="14"/>
  <c r="G56" i="13"/>
  <c r="E56" i="13"/>
  <c r="E112" i="13"/>
  <c r="E116" i="13" s="1"/>
  <c r="G64" i="13"/>
  <c r="G48" i="13"/>
  <c r="E48" i="13"/>
  <c r="E92" i="13"/>
  <c r="E93" i="13"/>
  <c r="E94" i="13"/>
  <c r="E96" i="13"/>
  <c r="E90" i="13"/>
  <c r="E95" i="13"/>
  <c r="E91" i="13"/>
  <c r="E104" i="13" l="1"/>
  <c r="D19" i="14"/>
  <c r="B30" i="14"/>
  <c r="C30" i="14" s="1"/>
  <c r="F8" i="14"/>
  <c r="G8" i="14" s="1"/>
  <c r="C10" i="14"/>
  <c r="F9" i="14"/>
  <c r="C19" i="14"/>
  <c r="B51" i="14" l="1"/>
  <c r="C51" i="14" s="1"/>
  <c r="D30" i="14"/>
  <c r="C31" i="14"/>
  <c r="H30" i="14"/>
  <c r="I30" i="14" s="1"/>
  <c r="J30" i="14" s="1"/>
  <c r="K30" i="14" s="1"/>
  <c r="G9" i="14"/>
  <c r="H9" i="14" s="1"/>
  <c r="H19" i="14"/>
  <c r="I19" i="14" s="1"/>
  <c r="J19" i="14" s="1"/>
  <c r="K19" i="14" s="1"/>
  <c r="C20" i="14"/>
  <c r="H8" i="14"/>
  <c r="C11" i="14"/>
  <c r="F11" i="14" s="1"/>
  <c r="F10" i="14"/>
  <c r="G10" i="14" s="1"/>
  <c r="H10" i="14" s="1"/>
  <c r="C52" i="14" l="1"/>
  <c r="G51" i="14"/>
  <c r="H51" i="14" s="1"/>
  <c r="F51" i="14"/>
  <c r="H31" i="14"/>
  <c r="I31" i="14" s="1"/>
  <c r="J31" i="14" s="1"/>
  <c r="K31" i="14" s="1"/>
  <c r="C32" i="14"/>
  <c r="C21" i="14"/>
  <c r="H20" i="14"/>
  <c r="I20" i="14" s="1"/>
  <c r="J20" i="14" s="1"/>
  <c r="K20" i="14" s="1"/>
  <c r="G11" i="14"/>
  <c r="J18" i="16" s="1"/>
  <c r="C49" i="16" s="1"/>
  <c r="C51" i="16" l="1"/>
  <c r="G51" i="16" s="1"/>
  <c r="C103" i="16"/>
  <c r="E103" i="16" s="1"/>
  <c r="J19" i="16"/>
  <c r="C44" i="16"/>
  <c r="G44" i="16" s="1"/>
  <c r="H11" i="14"/>
  <c r="J18" i="13" s="1"/>
  <c r="J17" i="13"/>
  <c r="C53" i="14"/>
  <c r="F52" i="14"/>
  <c r="G52" i="14"/>
  <c r="H52" i="14" s="1"/>
  <c r="C33" i="14"/>
  <c r="H33" i="14" s="1"/>
  <c r="I33" i="14" s="1"/>
  <c r="H32" i="14"/>
  <c r="I32" i="14" s="1"/>
  <c r="J32" i="14" s="1"/>
  <c r="K32" i="14" s="1"/>
  <c r="C102" i="16"/>
  <c r="E102" i="16" s="1"/>
  <c r="E51" i="16"/>
  <c r="G49" i="16"/>
  <c r="E49" i="16"/>
  <c r="C22" i="14"/>
  <c r="H22" i="14" s="1"/>
  <c r="I22" i="14" s="1"/>
  <c r="H21" i="14"/>
  <c r="I21" i="14" s="1"/>
  <c r="J21" i="14" s="1"/>
  <c r="K21" i="14" s="1"/>
  <c r="E105" i="16" l="1"/>
  <c r="G59" i="16" s="1"/>
  <c r="C52" i="16"/>
  <c r="C47" i="16"/>
  <c r="G47" i="16" s="1"/>
  <c r="C45" i="16"/>
  <c r="G45" i="16" s="1"/>
  <c r="J22" i="14"/>
  <c r="K22" i="14" s="1"/>
  <c r="C50" i="13"/>
  <c r="C43" i="13"/>
  <c r="G43" i="13" s="1"/>
  <c r="C99" i="13"/>
  <c r="E99" i="13" s="1"/>
  <c r="C47" i="13"/>
  <c r="C45" i="13"/>
  <c r="G45" i="13" s="1"/>
  <c r="C42" i="13"/>
  <c r="G42" i="13" s="1"/>
  <c r="C49" i="13"/>
  <c r="C54" i="14"/>
  <c r="F53" i="14"/>
  <c r="G53" i="14"/>
  <c r="H53" i="14" s="1"/>
  <c r="G53" i="16"/>
  <c r="E53" i="16"/>
  <c r="J33" i="14"/>
  <c r="K33" i="14" s="1"/>
  <c r="E173" i="16" l="1"/>
  <c r="G52" i="16"/>
  <c r="G69" i="16" s="1"/>
  <c r="E87" i="16" s="1"/>
  <c r="E52" i="16"/>
  <c r="J62" i="16" s="1"/>
  <c r="J63" i="16" s="1"/>
  <c r="F54" i="14"/>
  <c r="G54" i="14"/>
  <c r="H54" i="14" s="1"/>
  <c r="C51" i="13" s="1"/>
  <c r="C98" i="13"/>
  <c r="E98" i="13" s="1"/>
  <c r="E101" i="13" s="1"/>
  <c r="G57" i="13" s="1"/>
  <c r="C61" i="13"/>
  <c r="G49" i="13"/>
  <c r="E49" i="13"/>
  <c r="E50" i="13"/>
  <c r="G50" i="13"/>
  <c r="G47" i="13"/>
  <c r="E47" i="13"/>
  <c r="E174" i="16" l="1"/>
  <c r="C63" i="16" s="1"/>
  <c r="G51" i="13"/>
  <c r="E51" i="13"/>
  <c r="D67" i="16"/>
  <c r="E67" i="16" s="1"/>
  <c r="G65" i="13"/>
  <c r="E83" i="13" s="1"/>
  <c r="C106" i="13"/>
  <c r="E106" i="13" s="1"/>
  <c r="C62" i="13"/>
  <c r="E62" i="13" s="1"/>
  <c r="E61" i="13"/>
  <c r="I87" i="16"/>
  <c r="C64" i="16" l="1"/>
  <c r="E64" i="16" s="1"/>
  <c r="J75" i="16" s="1"/>
  <c r="E63" i="16"/>
  <c r="C110" i="16"/>
  <c r="E110" i="16" s="1"/>
  <c r="E112" i="16" s="1"/>
  <c r="G79" i="16" s="1"/>
  <c r="E69" i="16"/>
  <c r="G78" i="16" s="1"/>
  <c r="E65" i="13"/>
  <c r="G74" i="13" s="1"/>
  <c r="E81" i="16" l="1"/>
  <c r="C82" i="16" s="1"/>
  <c r="E82" i="16" s="1"/>
  <c r="E85" i="16" s="1"/>
  <c r="J77" i="16"/>
  <c r="J78" i="16" s="1"/>
  <c r="E77" i="13"/>
  <c r="C11" i="23"/>
  <c r="F11" i="23"/>
  <c r="G11" i="23" s="1"/>
  <c r="C78" i="13" l="1"/>
  <c r="E78" i="13" s="1"/>
  <c r="E81" i="13" s="1"/>
  <c r="H11" i="23"/>
  <c r="J18" i="24" s="1"/>
  <c r="J17" i="24"/>
  <c r="B22" i="23"/>
  <c r="C49" i="24" l="1"/>
  <c r="C101" i="24"/>
  <c r="E101" i="24" s="1"/>
  <c r="E103" i="24" s="1"/>
  <c r="G57" i="24" s="1"/>
  <c r="C47" i="24"/>
  <c r="C45" i="24"/>
  <c r="G45" i="24" s="1"/>
  <c r="C42" i="24"/>
  <c r="G42" i="24" s="1"/>
  <c r="C43" i="24"/>
  <c r="G43" i="24" s="1"/>
  <c r="C50" i="24"/>
  <c r="C22" i="23"/>
  <c r="H22" i="23" s="1"/>
  <c r="I22" i="23" s="1"/>
  <c r="J22" i="23" s="1"/>
  <c r="C43" i="23"/>
  <c r="D22" i="23"/>
  <c r="E50" i="24" l="1"/>
  <c r="G50" i="24"/>
  <c r="E47" i="24"/>
  <c r="G47" i="24"/>
  <c r="G67" i="24" s="1"/>
  <c r="E85" i="24" s="1"/>
  <c r="K22" i="23"/>
  <c r="G49" i="24"/>
  <c r="E49" i="24"/>
  <c r="F43" i="23"/>
  <c r="G43" i="23"/>
  <c r="H43" i="23" s="1"/>
  <c r="E67" i="24" l="1"/>
  <c r="G76" i="24" s="1"/>
  <c r="E79" i="24" l="1"/>
  <c r="J70" i="24" s="1"/>
  <c r="J74" i="24" s="1"/>
  <c r="C80" i="24" s="1"/>
  <c r="E80" i="24" s="1"/>
  <c r="E83" i="24" s="1"/>
</calcChain>
</file>

<file path=xl/sharedStrings.xml><?xml version="1.0" encoding="utf-8"?>
<sst xmlns="http://schemas.openxmlformats.org/spreadsheetml/2006/main" count="1681" uniqueCount="343">
  <si>
    <t>Durée hebdomadaire</t>
  </si>
  <si>
    <t>Mutuelle salariale</t>
  </si>
  <si>
    <t>Mutuelle patronale</t>
  </si>
  <si>
    <t>jeudi</t>
  </si>
  <si>
    <t>vendredi</t>
  </si>
  <si>
    <t>lundi</t>
  </si>
  <si>
    <t>mardi</t>
  </si>
  <si>
    <t>mercredi</t>
  </si>
  <si>
    <t>Effectif</t>
  </si>
  <si>
    <t>ARRET DE TRAVAIL MALADIE</t>
  </si>
  <si>
    <t>Retenues sur salaires</t>
  </si>
  <si>
    <t>Salaire de base</t>
  </si>
  <si>
    <t>Jours calendaires</t>
  </si>
  <si>
    <t>Retenue par journée</t>
  </si>
  <si>
    <t>Nombre de jours d'absence</t>
  </si>
  <si>
    <t>Retenue sur salaires</t>
  </si>
  <si>
    <t>Indemnités journalières de sécutité sociale</t>
  </si>
  <si>
    <t>Maladie</t>
  </si>
  <si>
    <t>Bruts</t>
  </si>
  <si>
    <t>Limite</t>
  </si>
  <si>
    <t>Salaires N-1</t>
  </si>
  <si>
    <t>Salaires N-2</t>
  </si>
  <si>
    <t>Salaires N-3</t>
  </si>
  <si>
    <t>Total des salaires</t>
  </si>
  <si>
    <t>Par jour</t>
  </si>
  <si>
    <t>IJSS Brutes</t>
  </si>
  <si>
    <t>CSG CRDS 6,70%</t>
  </si>
  <si>
    <t xml:space="preserve">IJSS Nettes </t>
  </si>
  <si>
    <t>Maintien de salaire</t>
  </si>
  <si>
    <t>Jours de maintien de salaire</t>
  </si>
  <si>
    <t>Maintien par jour de maladie</t>
  </si>
  <si>
    <t>Maintien de salaire brut</t>
  </si>
  <si>
    <t>IJSS Brutes par journée</t>
  </si>
  <si>
    <t>IJSS Brutes sur la durée du maintien</t>
  </si>
  <si>
    <t>BULLETIN DE SALAIRE</t>
  </si>
  <si>
    <t>SAISIE DES VARIABLES</t>
  </si>
  <si>
    <t>Employeur</t>
  </si>
  <si>
    <t>Salarié</t>
  </si>
  <si>
    <t>Nom :</t>
  </si>
  <si>
    <t>Adresse  :</t>
  </si>
  <si>
    <t>Prénom :</t>
  </si>
  <si>
    <t>Horaire mensuel</t>
  </si>
  <si>
    <t>Complément :</t>
  </si>
  <si>
    <t>N° de S.S. :</t>
  </si>
  <si>
    <t>Nombre d'heures travaillées durant le mois pour absence</t>
  </si>
  <si>
    <t>Adresse :</t>
  </si>
  <si>
    <t>Code postal :</t>
  </si>
  <si>
    <t>Taux accident du travail</t>
  </si>
  <si>
    <t>Ville :</t>
  </si>
  <si>
    <t>CP/ Ville</t>
  </si>
  <si>
    <t>Taux de versement de mobilité</t>
  </si>
  <si>
    <t>Le versement de mobilité ne peut pas être appliqué car l'effectif est inférieur à 11 salariés.</t>
  </si>
  <si>
    <t>N° SIRET :</t>
  </si>
  <si>
    <t>Emploi :</t>
  </si>
  <si>
    <t>Gérant</t>
  </si>
  <si>
    <t>SMIC horaire</t>
  </si>
  <si>
    <t>Code NAF(APE) :</t>
  </si>
  <si>
    <t>Contrat :</t>
  </si>
  <si>
    <t>Site d'emploi :</t>
  </si>
  <si>
    <t>Position :</t>
  </si>
  <si>
    <t>Heures d'absences</t>
  </si>
  <si>
    <t>Effectif :</t>
  </si>
  <si>
    <t>Embauche :</t>
  </si>
  <si>
    <t>Heures supplémentaires à 125%</t>
  </si>
  <si>
    <t>Convention collective :</t>
  </si>
  <si>
    <t>Horaire mensualisé :</t>
  </si>
  <si>
    <t>Heures supplémentaires à 150%</t>
  </si>
  <si>
    <t>Autre :</t>
  </si>
  <si>
    <t>Heures complémentaires à 110%</t>
  </si>
  <si>
    <t>Heures complémentaires à 125%</t>
  </si>
  <si>
    <t>Statut salarié</t>
  </si>
  <si>
    <t>Période du :</t>
  </si>
  <si>
    <t>Au :</t>
  </si>
  <si>
    <t xml:space="preserve">Tranche 1  </t>
  </si>
  <si>
    <t>Eléments de revenu brut</t>
  </si>
  <si>
    <t>Tranche 2</t>
  </si>
  <si>
    <t>Nombre/Base</t>
  </si>
  <si>
    <t>Taux/Val unitaire</t>
  </si>
  <si>
    <t>Montants</t>
  </si>
  <si>
    <t>Coefficient de réduction de cotisations patronales</t>
  </si>
  <si>
    <t>Taux de prélèvement à la source</t>
  </si>
  <si>
    <t>Taux de mutuelle salariale</t>
  </si>
  <si>
    <t>Absences</t>
  </si>
  <si>
    <t>Taux de mutuelle patronale</t>
  </si>
  <si>
    <t>Taux de prévoyance salariale</t>
  </si>
  <si>
    <t>Taux de prévoyance patronale</t>
  </si>
  <si>
    <t>Taux de la prime d'ancienneté</t>
  </si>
  <si>
    <t>Salaire minimum de la catégorie du salarié SMIC</t>
  </si>
  <si>
    <t>Retenues pour congés payés</t>
  </si>
  <si>
    <t>Indemnité pour congés payés</t>
  </si>
  <si>
    <t>Retenue absence arrêt de travail</t>
  </si>
  <si>
    <t xml:space="preserve">IJSS </t>
  </si>
  <si>
    <t>Prime d'ancienneté</t>
  </si>
  <si>
    <t>Salaire brut</t>
  </si>
  <si>
    <t>Cotisations et contributions sociales</t>
  </si>
  <si>
    <t>Assiettes</t>
  </si>
  <si>
    <t>Taux</t>
  </si>
  <si>
    <t>Retenues
salariales</t>
  </si>
  <si>
    <t>Retenues
patronales</t>
  </si>
  <si>
    <t>SANTE</t>
  </si>
  <si>
    <t>Sécurité sociale - Maladie - Maternité - Invalidité décès</t>
  </si>
  <si>
    <t>Complémentaire incapacité invalidité décès Tranche 1</t>
  </si>
  <si>
    <t>Complémentaire incapacité invalidité décès Tranche 2</t>
  </si>
  <si>
    <t xml:space="preserve">Complémentaire santé </t>
  </si>
  <si>
    <t xml:space="preserve">Accident du travail - Maladies professionnelles </t>
  </si>
  <si>
    <t>Retraite</t>
  </si>
  <si>
    <t xml:space="preserve">Sécurité sociale plafonnée </t>
  </si>
  <si>
    <t>Sécurité sociale déplafonnée</t>
  </si>
  <si>
    <t>Complémentaire Tranche 1</t>
  </si>
  <si>
    <r>
      <t>Complémentaire Tranche 2</t>
    </r>
    <r>
      <rPr>
        <sz val="11"/>
        <color rgb="FFFF0000"/>
        <rFont val="Times New Roman"/>
        <family val="1"/>
      </rPr>
      <t xml:space="preserve"> </t>
    </r>
  </si>
  <si>
    <t>Contribution équilibre technique CET</t>
  </si>
  <si>
    <t>Retraite Supplémentaire</t>
  </si>
  <si>
    <t xml:space="preserve"> Famille </t>
  </si>
  <si>
    <t xml:space="preserve">Assurance chômage </t>
  </si>
  <si>
    <t xml:space="preserve">Chômage </t>
  </si>
  <si>
    <t>APEC (Cadres)</t>
  </si>
  <si>
    <t xml:space="preserve">Autres contributions dues par l'employeur </t>
  </si>
  <si>
    <t>COTISATIONS STATUTAIRES OU PREVUES PAR LA CONVENTION COLLECTIVE</t>
  </si>
  <si>
    <t>CSG déductible de l'impôt sur le revenu</t>
  </si>
  <si>
    <t>CSG CRDS non-déductible de l'impôt sur le revenu</t>
  </si>
  <si>
    <t>CSG/CRDS non-déductibles de l'impôt sur le revenu sur heures supplémentaires</t>
  </si>
  <si>
    <t xml:space="preserve">Réduction générale de cotisations patronales </t>
  </si>
  <si>
    <t>Réduction cotisations heures supplémentaires et complémentaires</t>
  </si>
  <si>
    <t>Exonération de cotisation employeur sur heures supplémentaires</t>
  </si>
  <si>
    <t>Total de cotisations et contributions</t>
  </si>
  <si>
    <t>Acompte</t>
  </si>
  <si>
    <t>Avantage en nature</t>
  </si>
  <si>
    <t>Saisie sur salaires</t>
  </si>
  <si>
    <t>Titres repas</t>
  </si>
  <si>
    <t>Frais de déplacement professionnel</t>
  </si>
  <si>
    <t>NET A PAYER AVANT IMPOT SUR LE REVENU</t>
  </si>
  <si>
    <t>dont évolution de la rémunération liée à la suppression des cotisations chômage et maladie</t>
  </si>
  <si>
    <t>IMPOT SUR LE REVENU</t>
  </si>
  <si>
    <t>Bases</t>
  </si>
  <si>
    <t>Montant</t>
  </si>
  <si>
    <t>Salaires bruts</t>
  </si>
  <si>
    <t>Salaires imposables</t>
  </si>
  <si>
    <t>Dans votre intérêt et pour vous aider à faire valoir vos droits, conserver ce bulletin de paie sans limitation de durée</t>
  </si>
  <si>
    <t>versement transport :</t>
  </si>
  <si>
    <t>FNAL : 0,50%</t>
  </si>
  <si>
    <t>Dialogue social : 0,016%</t>
  </si>
  <si>
    <t>Solidarité autonomie : 0,30%</t>
  </si>
  <si>
    <t>Apprentissage : 0,68%</t>
  </si>
  <si>
    <t>Formation : %</t>
  </si>
  <si>
    <t>Forfait social</t>
  </si>
  <si>
    <t>FNAL 0,10%</t>
  </si>
  <si>
    <t>AU TOTAL</t>
  </si>
  <si>
    <t xml:space="preserve"> Rubrique dont évolution de la rémunération liée à la suppression des cotisations chômage et maladie</t>
  </si>
  <si>
    <t>Assurance chômage</t>
  </si>
  <si>
    <t>CSG CRDS</t>
  </si>
  <si>
    <t>Rubrique d'évolution</t>
  </si>
  <si>
    <t xml:space="preserve"> Rubrique Allègement de cotisations employeur</t>
  </si>
  <si>
    <t>Réduction générale de cotisation</t>
  </si>
  <si>
    <t>Abattement sur heures supplémentaires</t>
  </si>
  <si>
    <t>Allègement dû à la réduction d'allocation familiale</t>
  </si>
  <si>
    <t>Allègement dû à la réduction de cotisation maladie</t>
  </si>
  <si>
    <t>Allègement total</t>
  </si>
  <si>
    <t>coeff maximum cumulé</t>
  </si>
  <si>
    <t>MOIS</t>
  </si>
  <si>
    <t>BRUTS</t>
  </si>
  <si>
    <t>CUMULS</t>
  </si>
  <si>
    <t>smics</t>
  </si>
  <si>
    <t>SMICS
 CUMULES</t>
  </si>
  <si>
    <t>COEF ALLEGT
CUMULES</t>
  </si>
  <si>
    <t>ALLEGT 
CUMULES</t>
  </si>
  <si>
    <t>ALLEGT 
DU MOIS</t>
  </si>
  <si>
    <t>janvier</t>
  </si>
  <si>
    <t>Heures supplémentaire</t>
  </si>
  <si>
    <t>Décompte</t>
  </si>
  <si>
    <t xml:space="preserve">Heures effectuées </t>
  </si>
  <si>
    <t>Heure Compl</t>
  </si>
  <si>
    <t>Heure Comp 110%</t>
  </si>
  <si>
    <t>Heure Comp 125%</t>
  </si>
  <si>
    <t>Semaine du 3 au 7 janvier</t>
  </si>
  <si>
    <t>Semaine du 10 au 14</t>
  </si>
  <si>
    <t>Semaine du 17 au 21</t>
  </si>
  <si>
    <t>Semaine du 24 au 28</t>
  </si>
  <si>
    <t>Semaine du 31 au -</t>
  </si>
  <si>
    <t>report au mois suivant- non complet</t>
  </si>
  <si>
    <t>Total</t>
  </si>
  <si>
    <t>Nombre de jours d'arret pris en charge</t>
  </si>
  <si>
    <t>21-3</t>
  </si>
  <si>
    <t>Regularisation mensuelle progressive des plafonds de sécurité sociale</t>
  </si>
  <si>
    <t>Plafond de sécurité sociale</t>
  </si>
  <si>
    <t>Cumuls bruts</t>
  </si>
  <si>
    <t>Plafonds</t>
  </si>
  <si>
    <t>Plafonds 
cumulés</t>
  </si>
  <si>
    <t>TA/T1 
cumulées</t>
  </si>
  <si>
    <t>TA/T1
du mois</t>
  </si>
  <si>
    <t>TB/T2
 du mois</t>
  </si>
  <si>
    <t>JANVIER</t>
  </si>
  <si>
    <t>FÉVRIER</t>
  </si>
  <si>
    <t>MARS</t>
  </si>
  <si>
    <t>AVRIL</t>
  </si>
  <si>
    <t>MAI</t>
  </si>
  <si>
    <t>Regularisation mensuelle progressive des cotisations de maladie</t>
  </si>
  <si>
    <t>Assiette 
 7%</t>
  </si>
  <si>
    <t>2,5 SMIC</t>
  </si>
  <si>
    <t>CUMUL 2,5 SMIC</t>
  </si>
  <si>
    <t xml:space="preserve">Complément
6% </t>
  </si>
  <si>
    <t>Assiette cumulé
6%</t>
  </si>
  <si>
    <t>Assiette 6%
du mois</t>
  </si>
  <si>
    <t>Patronale
maladie</t>
  </si>
  <si>
    <t>Regularisation mensuelle progressive des cotisations d'allocations familiales</t>
  </si>
  <si>
    <t>Assiette 
 3,45%</t>
  </si>
  <si>
    <t>3,5 SMIC</t>
  </si>
  <si>
    <t>CUMUL 3,5 SMIC</t>
  </si>
  <si>
    <t xml:space="preserve">Complément
1,8% </t>
  </si>
  <si>
    <t>Assiette cumulée
1,8%</t>
  </si>
  <si>
    <t>Assiette 1,8%
du mois</t>
  </si>
  <si>
    <t xml:space="preserve">ALLEGEMENT GENERAL DE COTISATIONS </t>
  </si>
  <si>
    <t>Remarque</t>
  </si>
  <si>
    <t>Regularisation mensuelle progressive de la cotisation CET</t>
  </si>
  <si>
    <t>CET à payer</t>
  </si>
  <si>
    <t>CET 
cumulées</t>
  </si>
  <si>
    <t>Jours rémunérés</t>
  </si>
  <si>
    <t>28-7</t>
  </si>
  <si>
    <t>IJSS nettes</t>
  </si>
  <si>
    <t>REVENU FISCAL</t>
  </si>
  <si>
    <t>Retenues salariales</t>
  </si>
  <si>
    <t>CSG 2,90%</t>
  </si>
  <si>
    <t>Prévoyance patronale</t>
  </si>
  <si>
    <t>IJSS</t>
  </si>
  <si>
    <t>CADRE</t>
  </si>
  <si>
    <t>Salaire minimum de la catégorie du salarié</t>
  </si>
  <si>
    <t>Assiette CET 
du mois</t>
  </si>
  <si>
    <t>DUREE</t>
  </si>
  <si>
    <t>HS110%</t>
  </si>
  <si>
    <t>HS125%</t>
  </si>
  <si>
    <t>HS150%</t>
  </si>
  <si>
    <t>11 au 15</t>
  </si>
  <si>
    <t>HS</t>
  </si>
  <si>
    <t>Heures bonifiées à 25%</t>
  </si>
  <si>
    <t>Samedi 30</t>
  </si>
  <si>
    <t>Heures supplémentaires à 110%</t>
  </si>
  <si>
    <t>Bonification du samedi</t>
  </si>
  <si>
    <t>Cotisations salariales</t>
  </si>
  <si>
    <t>ce taux est inférieur à 11,31%</t>
  </si>
  <si>
    <t>1/26</t>
  </si>
  <si>
    <t>Nombre de jours pris</t>
  </si>
  <si>
    <t>Indemnité de congé</t>
  </si>
  <si>
    <t>Indemnité payés sur les 4 semaines de congés en juillet et aout</t>
  </si>
  <si>
    <t>CONGES PAYES</t>
  </si>
  <si>
    <t>Régle du dicième</t>
  </si>
  <si>
    <t>Salaire mensuel</t>
  </si>
  <si>
    <t>Prime de rendement</t>
  </si>
  <si>
    <t>Assiette</t>
  </si>
  <si>
    <t>1/10</t>
  </si>
  <si>
    <t>31-3</t>
  </si>
  <si>
    <t>Abonnement transport</t>
  </si>
  <si>
    <t>Commissions</t>
  </si>
  <si>
    <t>Exonération, écrètement et allègements de cotisations</t>
  </si>
  <si>
    <t>Cumul annuel</t>
  </si>
  <si>
    <t>Montant net imposable</t>
  </si>
  <si>
    <t>Impot sur le revenu prélevé à la source</t>
  </si>
  <si>
    <t>Montant des heures compl/suppl exonérées</t>
  </si>
  <si>
    <t>NET A PAYER AU SALARIE</t>
  </si>
  <si>
    <t>Allègement de cotisations employeurs</t>
  </si>
  <si>
    <t>Total versé par l'employeur</t>
  </si>
  <si>
    <t>REDUCTION  GENERALE DE COTISATIONS</t>
  </si>
  <si>
    <t>SMIC</t>
  </si>
  <si>
    <t>Prime exceptionnelle</t>
  </si>
  <si>
    <t>160,42*11,52</t>
  </si>
  <si>
    <t>3666*28/31</t>
  </si>
  <si>
    <t>Bonification</t>
  </si>
  <si>
    <t>Prime ancienneté</t>
  </si>
  <si>
    <t>mutuelle patronale</t>
  </si>
  <si>
    <t>CSG CRDS 2,9%</t>
  </si>
  <si>
    <t>CSG CRDS 9,70% sur heures supp</t>
  </si>
  <si>
    <t>Salaire imposable</t>
  </si>
  <si>
    <t xml:space="preserve"> 2,5 SMIC</t>
  </si>
  <si>
    <t>Patronale
AF</t>
  </si>
  <si>
    <t>1700*12</t>
  </si>
  <si>
    <t>Régularisation des congés au 1/10</t>
  </si>
  <si>
    <t>Indemnité sur la 5eme semaine</t>
  </si>
  <si>
    <t>Indemnité totale en règle de maintien sur 5 semaines</t>
  </si>
  <si>
    <t>Le plus favorable = 1/10</t>
  </si>
  <si>
    <t>Selon le maintien</t>
  </si>
  <si>
    <t>Régularisation au 1/10</t>
  </si>
  <si>
    <t>Mutuelle salariale facultative</t>
  </si>
  <si>
    <t>Jours ouvrés</t>
  </si>
  <si>
    <t>14-3</t>
  </si>
  <si>
    <t>du lundi 18 au mercredi 20</t>
  </si>
  <si>
    <t>IJSS en cal</t>
  </si>
  <si>
    <t>Maintien en
réel</t>
  </si>
  <si>
    <t>du jeudi 21 au dimanche 31</t>
  </si>
  <si>
    <t>IJSS BRUTES</t>
  </si>
  <si>
    <t>CSG CRDS déductible</t>
  </si>
  <si>
    <t>IJSS imposable</t>
  </si>
  <si>
    <t>Assiette prélèvement</t>
  </si>
  <si>
    <t>absences sans maintien</t>
  </si>
  <si>
    <t>calendaires de présence</t>
  </si>
  <si>
    <t>Indemnité compensatrice de  congés payés</t>
  </si>
  <si>
    <t>signature de la convention</t>
  </si>
  <si>
    <t>Période de rétractation (15 jours calendaires)</t>
  </si>
  <si>
    <t>Envoi de la demande d'homologation</t>
  </si>
  <si>
    <t>Réception de la demande d'homologation</t>
  </si>
  <si>
    <t>Période d'homologation (15 jours ouvrables)</t>
  </si>
  <si>
    <t>rupture possible</t>
  </si>
  <si>
    <t>samedi</t>
  </si>
  <si>
    <t>dimanche</t>
  </si>
  <si>
    <t xml:space="preserve">Absences </t>
  </si>
  <si>
    <t>Durée en jours ouvrés</t>
  </si>
  <si>
    <t>Février</t>
  </si>
  <si>
    <t>Mars</t>
  </si>
  <si>
    <t>Avril</t>
  </si>
  <si>
    <t>salaire de base</t>
  </si>
  <si>
    <t>Salaires de la période de référence des IJSS</t>
  </si>
  <si>
    <t>3666*15/31</t>
  </si>
  <si>
    <t>Indemnité de rupture conventionnelle</t>
  </si>
  <si>
    <t>Salaire moyen</t>
  </si>
  <si>
    <t>Indemnité</t>
  </si>
  <si>
    <t>Ancienneté en année et mois</t>
  </si>
  <si>
    <t>2 ans et 10 mois</t>
  </si>
  <si>
    <t>Ancienneté arrondie</t>
  </si>
  <si>
    <t>1/4*2,83333*2900</t>
  </si>
  <si>
    <t>Indemnité de rupture</t>
  </si>
  <si>
    <t>Assiette CSG CRDS</t>
  </si>
  <si>
    <t>Heures supplémentaires</t>
  </si>
  <si>
    <t>Prévoyance et mutuelle</t>
  </si>
  <si>
    <t>Salaire hors heures supplémentaires</t>
  </si>
  <si>
    <t>Salaire hors heures supplémentaires * 0,9825</t>
  </si>
  <si>
    <t>Lundi</t>
  </si>
  <si>
    <t>Mardi</t>
  </si>
  <si>
    <t>Mercredi</t>
  </si>
  <si>
    <t>Jeudi</t>
  </si>
  <si>
    <t xml:space="preserve">Salaire </t>
  </si>
  <si>
    <t>absence</t>
  </si>
  <si>
    <t>brut à prendre en compte dans la formule</t>
  </si>
  <si>
    <t>1747,20*3171,43/3700</t>
  </si>
  <si>
    <t>Il ne faut pas prendre en compte les éléments fixes telles la prime d'ancienneté ou la prime exceptionnelle</t>
  </si>
  <si>
    <t>Bonification week-end</t>
  </si>
  <si>
    <t>Taux horaire HS à 110%</t>
  </si>
  <si>
    <t>Taux horaire HS à 125%</t>
  </si>
  <si>
    <t>Taux horaire HS à 150%</t>
  </si>
  <si>
    <t>Allègement sur heures supplémentaires</t>
  </si>
  <si>
    <t>Moyenne cotisations / salaires 496,80 / 4 416,93</t>
  </si>
  <si>
    <t>Heures exonérées</t>
  </si>
  <si>
    <t>Heures supp exonérées</t>
  </si>
  <si>
    <t>Heures supplémentaires à 150% Attention l'exonération ne porte que sur un taux de 125% et non de 150%</t>
  </si>
  <si>
    <t>Attention sur les 35 € seule la partie obligatoire sera déductible et non les 15 € pour l'enfant</t>
  </si>
  <si>
    <t>Jours sans maintien</t>
  </si>
  <si>
    <t>Jours calendaires maintenus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</si>
</sst>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.00\ &quot;€&quot;"/>
    <numFmt numFmtId="167" formatCode="_-* #,##0.00\ [$€-40C]_-;\-* #,##0.00\ [$€-40C]_-;_-* &quot;-&quot;??\ [$€-40C]_-;_-@_-"/>
    <numFmt numFmtId="168" formatCode="0.000%"/>
    <numFmt numFmtId="169" formatCode="0.0000%"/>
    <numFmt numFmtId="170" formatCode="0.00000%"/>
    <numFmt numFmtId="171" formatCode="_-* #,##0\ &quot;€&quot;_-;\-* #,##0\ &quot;€&quot;_-;_-* &quot;-&quot;??\ &quot;€&quot;_-;_-@_-"/>
    <numFmt numFmtId="172" formatCode="#,##0.00\ [$€-40C];[Red]\-#,##0.00\ [$€-40C]"/>
    <numFmt numFmtId="173" formatCode="_-* #,##0.0000_-;\-* #,##0.0000_-;_-* &quot;-&quot;??_-;_-@_-"/>
    <numFmt numFmtId="174" formatCode="[$-40C]d\-mmm;@"/>
    <numFmt numFmtId="175" formatCode="[$-F800]dddd\,\ mmmm\ dd\,\ yyyy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8"/>
      <color rgb="FFFF0000"/>
      <name val="Times New Roman"/>
      <family val="1"/>
    </font>
    <font>
      <b/>
      <sz val="10"/>
      <name val="Arial"/>
      <family val="2"/>
    </font>
    <font>
      <sz val="10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b/>
      <sz val="22"/>
      <color rgb="FFFF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b/>
      <sz val="14"/>
      <color rgb="FFFF0000"/>
      <name val="Times New Roman"/>
      <family val="1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b/>
      <sz val="10"/>
      <color rgb="FFFF0000"/>
      <name val="Times New Roman"/>
      <family val="1"/>
    </font>
    <font>
      <b/>
      <u/>
      <sz val="14"/>
      <color theme="1"/>
      <name val="Times New Roman"/>
      <family val="1"/>
    </font>
    <font>
      <u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8"/>
      <name val="Times New Roman"/>
      <family val="1"/>
    </font>
    <font>
      <sz val="10"/>
      <color rgb="FFFF0000"/>
      <name val="Times New Roman"/>
      <family val="1"/>
    </font>
    <font>
      <b/>
      <sz val="11"/>
      <name val="Calibri"/>
      <family val="2"/>
      <scheme val="minor"/>
    </font>
    <font>
      <b/>
      <sz val="10.5"/>
      <color rgb="FF000000"/>
      <name val="Calibri"/>
      <family val="2"/>
    </font>
    <font>
      <sz val="10"/>
      <name val="Times New Roman"/>
      <family val="1"/>
    </font>
    <font>
      <b/>
      <u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</fills>
  <borders count="10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</cellStyleXfs>
  <cellXfs count="559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/>
    <xf numFmtId="44" fontId="0" fillId="0" borderId="0" xfId="0" applyNumberFormat="1"/>
    <xf numFmtId="0" fontId="7" fillId="0" borderId="0" xfId="0" applyFont="1" applyAlignment="1">
      <alignment vertical="center"/>
    </xf>
    <xf numFmtId="0" fontId="9" fillId="3" borderId="12" xfId="4" applyFont="1" applyFill="1" applyBorder="1" applyAlignment="1">
      <alignment horizontal="centerContinuous" vertical="center"/>
    </xf>
    <xf numFmtId="0" fontId="7" fillId="3" borderId="13" xfId="0" applyFont="1" applyFill="1" applyBorder="1" applyAlignment="1">
      <alignment horizontal="centerContinuous" vertical="center"/>
    </xf>
    <xf numFmtId="0" fontId="7" fillId="3" borderId="14" xfId="0" applyFont="1" applyFill="1" applyBorder="1" applyAlignment="1">
      <alignment horizontal="centerContinuous" vertical="center"/>
    </xf>
    <xf numFmtId="0" fontId="10" fillId="2" borderId="0" xfId="0" applyFont="1" applyFill="1" applyAlignment="1">
      <alignment horizontal="center" vertical="center"/>
    </xf>
    <xf numFmtId="0" fontId="11" fillId="0" borderId="1" xfId="4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4" fontId="8" fillId="0" borderId="4" xfId="4" applyNumberForma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44" fontId="7" fillId="0" borderId="3" xfId="1" applyFont="1" applyBorder="1" applyAlignment="1">
      <alignment vertical="center"/>
    </xf>
    <xf numFmtId="2" fontId="7" fillId="0" borderId="6" xfId="0" applyNumberFormat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64" fontId="7" fillId="0" borderId="6" xfId="3" applyNumberFormat="1" applyFont="1" applyBorder="1" applyAlignment="1">
      <alignment vertical="center"/>
    </xf>
    <xf numFmtId="165" fontId="7" fillId="0" borderId="6" xfId="0" applyNumberFormat="1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10" fontId="13" fillId="0" borderId="6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7" fillId="0" borderId="5" xfId="0" applyFont="1" applyBorder="1" applyAlignment="1">
      <alignment horizontal="right" vertical="center"/>
    </xf>
    <xf numFmtId="8" fontId="7" fillId="0" borderId="6" xfId="0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14" fontId="7" fillId="0" borderId="5" xfId="0" applyNumberFormat="1" applyFont="1" applyBorder="1" applyAlignment="1">
      <alignment vertical="center"/>
    </xf>
    <xf numFmtId="14" fontId="7" fillId="0" borderId="6" xfId="0" applyNumberFormat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1" fillId="4" borderId="19" xfId="4" applyFont="1" applyFill="1" applyBorder="1" applyAlignment="1">
      <alignment horizontal="center" vertical="center"/>
    </xf>
    <xf numFmtId="0" fontId="11" fillId="4" borderId="20" xfId="4" applyFont="1" applyFill="1" applyBorder="1" applyAlignment="1">
      <alignment horizontal="center" vertical="center"/>
    </xf>
    <xf numFmtId="44" fontId="12" fillId="0" borderId="6" xfId="1" applyFont="1" applyFill="1" applyBorder="1" applyAlignment="1">
      <alignment vertical="center"/>
    </xf>
    <xf numFmtId="0" fontId="9" fillId="3" borderId="19" xfId="4" applyFont="1" applyFill="1" applyBorder="1" applyAlignment="1">
      <alignment horizontal="centerContinuous" vertical="center"/>
    </xf>
    <xf numFmtId="0" fontId="7" fillId="3" borderId="20" xfId="0" applyFont="1" applyFill="1" applyBorder="1" applyAlignment="1">
      <alignment horizontal="centerContinuous" vertical="center"/>
    </xf>
    <xf numFmtId="0" fontId="7" fillId="3" borderId="21" xfId="0" applyFont="1" applyFill="1" applyBorder="1" applyAlignment="1">
      <alignment horizontal="centerContinuous" vertical="center"/>
    </xf>
    <xf numFmtId="44" fontId="12" fillId="0" borderId="6" xfId="0" applyNumberFormat="1" applyFont="1" applyBorder="1" applyAlignment="1">
      <alignment vertical="center"/>
    </xf>
    <xf numFmtId="0" fontId="11" fillId="0" borderId="22" xfId="4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7" fillId="6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2" fontId="7" fillId="0" borderId="2" xfId="0" applyNumberFormat="1" applyFont="1" applyBorder="1" applyAlignment="1">
      <alignment vertical="center"/>
    </xf>
    <xf numFmtId="166" fontId="7" fillId="0" borderId="2" xfId="0" applyNumberFormat="1" applyFont="1" applyBorder="1" applyAlignment="1">
      <alignment horizontal="right" vertical="center"/>
    </xf>
    <xf numFmtId="0" fontId="7" fillId="6" borderId="24" xfId="0" applyFont="1" applyFill="1" applyBorder="1" applyAlignment="1">
      <alignment vertical="center"/>
    </xf>
    <xf numFmtId="44" fontId="7" fillId="6" borderId="3" xfId="1" applyFont="1" applyFill="1" applyBorder="1" applyAlignment="1">
      <alignment vertical="center"/>
    </xf>
    <xf numFmtId="0" fontId="15" fillId="0" borderId="4" xfId="0" applyFont="1" applyBorder="1" applyAlignment="1">
      <alignment vertical="center"/>
    </xf>
    <xf numFmtId="165" fontId="15" fillId="0" borderId="6" xfId="0" applyNumberFormat="1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2" fontId="7" fillId="0" borderId="11" xfId="0" applyNumberFormat="1" applyFont="1" applyBorder="1" applyAlignment="1">
      <alignment vertical="center"/>
    </xf>
    <xf numFmtId="166" fontId="7" fillId="0" borderId="11" xfId="0" applyNumberFormat="1" applyFont="1" applyBorder="1" applyAlignment="1">
      <alignment horizontal="right" vertical="center"/>
    </xf>
    <xf numFmtId="44" fontId="7" fillId="0" borderId="26" xfId="1" applyFont="1" applyBorder="1" applyAlignment="1">
      <alignment vertical="center"/>
    </xf>
    <xf numFmtId="0" fontId="7" fillId="6" borderId="27" xfId="0" applyFont="1" applyFill="1" applyBorder="1" applyAlignment="1">
      <alignment vertical="center"/>
    </xf>
    <xf numFmtId="44" fontId="7" fillId="6" borderId="26" xfId="1" applyFont="1" applyFill="1" applyBorder="1" applyAlignment="1">
      <alignment vertical="center"/>
    </xf>
    <xf numFmtId="2" fontId="7" fillId="0" borderId="11" xfId="0" applyNumberFormat="1" applyFont="1" applyBorder="1" applyAlignment="1">
      <alignment horizontal="right" vertical="center"/>
    </xf>
    <xf numFmtId="9" fontId="7" fillId="0" borderId="6" xfId="0" applyNumberFormat="1" applyFont="1" applyBorder="1" applyAlignment="1">
      <alignment vertical="center"/>
    </xf>
    <xf numFmtId="44" fontId="7" fillId="0" borderId="5" xfId="1" applyFont="1" applyBorder="1" applyAlignment="1">
      <alignment vertical="center"/>
    </xf>
    <xf numFmtId="44" fontId="7" fillId="0" borderId="6" xfId="1" applyFont="1" applyBorder="1" applyAlignment="1">
      <alignment vertical="center"/>
    </xf>
    <xf numFmtId="0" fontId="7" fillId="6" borderId="28" xfId="0" applyFont="1" applyFill="1" applyBorder="1" applyAlignment="1">
      <alignment vertical="center"/>
    </xf>
    <xf numFmtId="44" fontId="7" fillId="6" borderId="6" xfId="0" applyNumberFormat="1" applyFont="1" applyFill="1" applyBorder="1" applyAlignment="1">
      <alignment vertical="center"/>
    </xf>
    <xf numFmtId="165" fontId="7" fillId="0" borderId="9" xfId="2" applyNumberFormat="1" applyFont="1" applyBorder="1" applyAlignment="1">
      <alignment vertical="center"/>
    </xf>
    <xf numFmtId="0" fontId="7" fillId="6" borderId="6" xfId="0" applyFont="1" applyFill="1" applyBorder="1" applyAlignment="1">
      <alignment vertical="center"/>
    </xf>
    <xf numFmtId="10" fontId="0" fillId="0" borderId="6" xfId="2" applyNumberFormat="1" applyFont="1" applyBorder="1" applyAlignment="1">
      <alignment horizontal="center" vertical="center"/>
    </xf>
    <xf numFmtId="0" fontId="16" fillId="0" borderId="0" xfId="0" applyFont="1"/>
    <xf numFmtId="0" fontId="0" fillId="0" borderId="7" xfId="0" applyBorder="1" applyAlignment="1">
      <alignment vertical="center"/>
    </xf>
    <xf numFmtId="44" fontId="0" fillId="0" borderId="9" xfId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7" fontId="7" fillId="6" borderId="28" xfId="0" applyNumberFormat="1" applyFont="1" applyFill="1" applyBorder="1" applyAlignment="1">
      <alignment vertical="center"/>
    </xf>
    <xf numFmtId="167" fontId="7" fillId="6" borderId="6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vertical="center"/>
    </xf>
    <xf numFmtId="44" fontId="7" fillId="0" borderId="29" xfId="1" applyFont="1" applyBorder="1" applyAlignment="1">
      <alignment vertical="center"/>
    </xf>
    <xf numFmtId="167" fontId="7" fillId="6" borderId="30" xfId="0" applyNumberFormat="1" applyFont="1" applyFill="1" applyBorder="1" applyAlignment="1">
      <alignment vertical="center"/>
    </xf>
    <xf numFmtId="167" fontId="7" fillId="6" borderId="31" xfId="0" applyNumberFormat="1" applyFont="1" applyFill="1" applyBorder="1" applyAlignment="1">
      <alignment vertical="center"/>
    </xf>
    <xf numFmtId="0" fontId="7" fillId="0" borderId="32" xfId="0" applyFont="1" applyBorder="1" applyAlignment="1">
      <alignment vertical="center"/>
    </xf>
    <xf numFmtId="44" fontId="13" fillId="7" borderId="33" xfId="1" applyFont="1" applyFill="1" applyBorder="1" applyAlignment="1">
      <alignment horizontal="right" vertical="center" wrapText="1"/>
    </xf>
    <xf numFmtId="9" fontId="12" fillId="0" borderId="10" xfId="0" applyNumberFormat="1" applyFont="1" applyBorder="1" applyAlignment="1">
      <alignment vertical="center"/>
    </xf>
    <xf numFmtId="44" fontId="12" fillId="0" borderId="29" xfId="1" applyFont="1" applyBorder="1" applyAlignment="1">
      <alignment vertical="center"/>
    </xf>
    <xf numFmtId="9" fontId="12" fillId="6" borderId="34" xfId="0" applyNumberFormat="1" applyFont="1" applyFill="1" applyBorder="1" applyAlignment="1">
      <alignment vertical="center"/>
    </xf>
    <xf numFmtId="44" fontId="7" fillId="6" borderId="18" xfId="1" applyFont="1" applyFill="1" applyBorder="1" applyAlignment="1">
      <alignment vertical="center"/>
    </xf>
    <xf numFmtId="44" fontId="12" fillId="0" borderId="35" xfId="1" applyFont="1" applyBorder="1" applyAlignment="1">
      <alignment vertical="center"/>
    </xf>
    <xf numFmtId="44" fontId="13" fillId="7" borderId="36" xfId="1" applyFont="1" applyFill="1" applyBorder="1" applyAlignment="1">
      <alignment horizontal="right" vertical="center" wrapText="1"/>
    </xf>
    <xf numFmtId="9" fontId="12" fillId="0" borderId="36" xfId="0" applyNumberFormat="1" applyFont="1" applyBorder="1" applyAlignment="1">
      <alignment vertical="center"/>
    </xf>
    <xf numFmtId="44" fontId="12" fillId="0" borderId="37" xfId="1" applyFont="1" applyBorder="1" applyAlignment="1">
      <alignment vertical="center"/>
    </xf>
    <xf numFmtId="9" fontId="12" fillId="6" borderId="0" xfId="0" applyNumberFormat="1" applyFont="1" applyFill="1" applyAlignment="1">
      <alignment vertical="center"/>
    </xf>
    <xf numFmtId="44" fontId="7" fillId="6" borderId="38" xfId="1" applyFont="1" applyFill="1" applyBorder="1" applyAlignment="1">
      <alignment vertical="center"/>
    </xf>
    <xf numFmtId="44" fontId="12" fillId="0" borderId="22" xfId="1" applyFont="1" applyBorder="1" applyAlignment="1">
      <alignment vertical="center"/>
    </xf>
    <xf numFmtId="44" fontId="12" fillId="0" borderId="39" xfId="1" applyFont="1" applyBorder="1" applyAlignment="1">
      <alignment vertical="center"/>
    </xf>
    <xf numFmtId="0" fontId="18" fillId="7" borderId="40" xfId="0" applyFont="1" applyFill="1" applyBorder="1" applyAlignment="1">
      <alignment horizontal="left" vertical="center" wrapText="1" readingOrder="1"/>
    </xf>
    <xf numFmtId="0" fontId="7" fillId="0" borderId="33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44" fontId="7" fillId="2" borderId="42" xfId="1" applyFont="1" applyFill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13" fillId="7" borderId="44" xfId="0" applyFont="1" applyFill="1" applyBorder="1" applyAlignment="1">
      <alignment horizontal="right" vertical="center" wrapText="1"/>
    </xf>
    <xf numFmtId="0" fontId="19" fillId="7" borderId="44" xfId="0" applyFont="1" applyFill="1" applyBorder="1" applyAlignment="1">
      <alignment horizontal="left" vertical="center" wrapText="1" readingOrder="1"/>
    </xf>
    <xf numFmtId="0" fontId="19" fillId="7" borderId="45" xfId="0" applyFont="1" applyFill="1" applyBorder="1" applyAlignment="1">
      <alignment horizontal="left" vertical="center" wrapText="1" readingOrder="1"/>
    </xf>
    <xf numFmtId="44" fontId="19" fillId="7" borderId="46" xfId="0" applyNumberFormat="1" applyFont="1" applyFill="1" applyBorder="1" applyAlignment="1">
      <alignment horizontal="left" vertical="center" wrapText="1" readingOrder="1"/>
    </xf>
    <xf numFmtId="0" fontId="18" fillId="3" borderId="47" xfId="0" applyFont="1" applyFill="1" applyBorder="1" applyAlignment="1">
      <alignment horizontal="left" vertical="center" wrapText="1" readingOrder="1"/>
    </xf>
    <xf numFmtId="0" fontId="18" fillId="3" borderId="48" xfId="0" applyFont="1" applyFill="1" applyBorder="1" applyAlignment="1">
      <alignment horizontal="center" vertical="center" wrapText="1" readingOrder="1"/>
    </xf>
    <xf numFmtId="0" fontId="18" fillId="3" borderId="49" xfId="0" applyFont="1" applyFill="1" applyBorder="1" applyAlignment="1">
      <alignment horizontal="center" vertical="center" wrapText="1" readingOrder="1"/>
    </xf>
    <xf numFmtId="0" fontId="18" fillId="8" borderId="35" xfId="0" applyFont="1" applyFill="1" applyBorder="1" applyAlignment="1">
      <alignment horizontal="left" vertical="center" wrapText="1" readingOrder="1"/>
    </xf>
    <xf numFmtId="0" fontId="13" fillId="8" borderId="36" xfId="0" applyFont="1" applyFill="1" applyBorder="1" applyAlignment="1">
      <alignment horizontal="center" vertical="center" wrapText="1"/>
    </xf>
    <xf numFmtId="0" fontId="18" fillId="8" borderId="36" xfId="0" applyFont="1" applyFill="1" applyBorder="1" applyAlignment="1">
      <alignment horizontal="center" vertical="center" wrapText="1" readingOrder="1"/>
    </xf>
    <xf numFmtId="0" fontId="18" fillId="8" borderId="50" xfId="0" applyFont="1" applyFill="1" applyBorder="1" applyAlignment="1">
      <alignment horizontal="center" vertical="center" wrapText="1" readingOrder="1"/>
    </xf>
    <xf numFmtId="0" fontId="18" fillId="8" borderId="37" xfId="0" applyFont="1" applyFill="1" applyBorder="1" applyAlignment="1">
      <alignment horizontal="center" vertical="center" wrapText="1" readingOrder="1"/>
    </xf>
    <xf numFmtId="0" fontId="19" fillId="7" borderId="35" xfId="0" applyFont="1" applyFill="1" applyBorder="1" applyAlignment="1">
      <alignment horizontal="left" vertical="center" wrapText="1" readingOrder="1"/>
    </xf>
    <xf numFmtId="0" fontId="13" fillId="7" borderId="36" xfId="0" applyFont="1" applyFill="1" applyBorder="1" applyAlignment="1">
      <alignment vertical="center" wrapText="1"/>
    </xf>
    <xf numFmtId="44" fontId="13" fillId="7" borderId="36" xfId="1" applyFont="1" applyFill="1" applyBorder="1" applyAlignment="1">
      <alignment vertical="center" wrapText="1"/>
    </xf>
    <xf numFmtId="10" fontId="12" fillId="0" borderId="6" xfId="0" applyNumberFormat="1" applyFont="1" applyBorder="1" applyAlignment="1">
      <alignment vertical="center"/>
    </xf>
    <xf numFmtId="44" fontId="13" fillId="7" borderId="37" xfId="1" applyFont="1" applyFill="1" applyBorder="1" applyAlignment="1">
      <alignment horizontal="right" vertical="center" wrapText="1"/>
    </xf>
    <xf numFmtId="10" fontId="19" fillId="7" borderId="36" xfId="0" applyNumberFormat="1" applyFont="1" applyFill="1" applyBorder="1" applyAlignment="1">
      <alignment horizontal="center" vertical="center" wrapText="1" readingOrder="1"/>
    </xf>
    <xf numFmtId="44" fontId="19" fillId="7" borderId="36" xfId="1" applyFont="1" applyFill="1" applyBorder="1" applyAlignment="1">
      <alignment horizontal="right" vertical="center" wrapText="1" readingOrder="1"/>
    </xf>
    <xf numFmtId="168" fontId="19" fillId="7" borderId="50" xfId="1" applyNumberFormat="1" applyFont="1" applyFill="1" applyBorder="1" applyAlignment="1">
      <alignment horizontal="right" vertical="center" wrapText="1" readingOrder="1"/>
    </xf>
    <xf numFmtId="0" fontId="18" fillId="7" borderId="35" xfId="0" applyFont="1" applyFill="1" applyBorder="1" applyAlignment="1">
      <alignment horizontal="left" vertical="center" wrapText="1" readingOrder="1"/>
    </xf>
    <xf numFmtId="168" fontId="19" fillId="0" borderId="36" xfId="0" applyNumberFormat="1" applyFont="1" applyBorder="1" applyAlignment="1">
      <alignment horizontal="right" vertical="center" wrapText="1" readingOrder="1"/>
    </xf>
    <xf numFmtId="0" fontId="19" fillId="7" borderId="36" xfId="0" applyFont="1" applyFill="1" applyBorder="1" applyAlignment="1">
      <alignment horizontal="center" vertical="center" wrapText="1" readingOrder="1"/>
    </xf>
    <xf numFmtId="44" fontId="20" fillId="2" borderId="37" xfId="1" applyFont="1" applyFill="1" applyBorder="1" applyAlignment="1">
      <alignment horizontal="right" vertical="center" wrapText="1"/>
    </xf>
    <xf numFmtId="168" fontId="13" fillId="7" borderId="50" xfId="1" applyNumberFormat="1" applyFont="1" applyFill="1" applyBorder="1" applyAlignment="1">
      <alignment horizontal="right" vertical="center" wrapText="1"/>
    </xf>
    <xf numFmtId="10" fontId="13" fillId="7" borderId="50" xfId="1" applyNumberFormat="1" applyFont="1" applyFill="1" applyBorder="1" applyAlignment="1">
      <alignment horizontal="right" vertical="center" wrapText="1"/>
    </xf>
    <xf numFmtId="168" fontId="19" fillId="7" borderId="36" xfId="0" applyNumberFormat="1" applyFont="1" applyFill="1" applyBorder="1" applyAlignment="1">
      <alignment horizontal="center" vertical="center" wrapText="1" readingOrder="1"/>
    </xf>
    <xf numFmtId="44" fontId="13" fillId="2" borderId="36" xfId="1" applyFont="1" applyFill="1" applyBorder="1" applyAlignment="1">
      <alignment horizontal="right" vertical="center" wrapText="1"/>
    </xf>
    <xf numFmtId="44" fontId="13" fillId="2" borderId="37" xfId="1" applyFont="1" applyFill="1" applyBorder="1" applyAlignment="1">
      <alignment horizontal="right" vertical="center" wrapText="1"/>
    </xf>
    <xf numFmtId="8" fontId="13" fillId="7" borderId="37" xfId="1" applyNumberFormat="1" applyFont="1" applyFill="1" applyBorder="1" applyAlignment="1">
      <alignment horizontal="right" vertical="center" wrapText="1"/>
    </xf>
    <xf numFmtId="0" fontId="21" fillId="8" borderId="35" xfId="0" applyFont="1" applyFill="1" applyBorder="1" applyAlignment="1">
      <alignment horizontal="left" vertical="center" wrapText="1" readingOrder="1"/>
    </xf>
    <xf numFmtId="168" fontId="19" fillId="7" borderId="36" xfId="0" applyNumberFormat="1" applyFont="1" applyFill="1" applyBorder="1" applyAlignment="1">
      <alignment horizontal="right" vertical="center" wrapText="1" readingOrder="1"/>
    </xf>
    <xf numFmtId="0" fontId="21" fillId="7" borderId="35" xfId="0" applyFont="1" applyFill="1" applyBorder="1" applyAlignment="1">
      <alignment horizontal="left" vertical="center" wrapText="1" readingOrder="1"/>
    </xf>
    <xf numFmtId="44" fontId="7" fillId="0" borderId="0" xfId="1" applyFont="1" applyBorder="1" applyAlignment="1">
      <alignment vertical="center"/>
    </xf>
    <xf numFmtId="0" fontId="18" fillId="7" borderId="51" xfId="0" applyFont="1" applyFill="1" applyBorder="1" applyAlignment="1">
      <alignment horizontal="left" vertical="center" wrapText="1" readingOrder="1"/>
    </xf>
    <xf numFmtId="43" fontId="13" fillId="7" borderId="52" xfId="3" applyFont="1" applyFill="1" applyBorder="1" applyAlignment="1">
      <alignment horizontal="right" vertical="center" wrapText="1"/>
    </xf>
    <xf numFmtId="0" fontId="7" fillId="0" borderId="53" xfId="0" applyFont="1" applyBorder="1" applyAlignment="1">
      <alignment vertical="center"/>
    </xf>
    <xf numFmtId="44" fontId="19" fillId="7" borderId="52" xfId="1" applyFont="1" applyFill="1" applyBorder="1" applyAlignment="1">
      <alignment horizontal="right" vertical="center" wrapText="1" readingOrder="1"/>
    </xf>
    <xf numFmtId="44" fontId="19" fillId="7" borderId="54" xfId="1" applyFont="1" applyFill="1" applyBorder="1" applyAlignment="1">
      <alignment horizontal="right" vertical="center" wrapText="1" readingOrder="1"/>
    </xf>
    <xf numFmtId="44" fontId="13" fillId="7" borderId="55" xfId="1" applyFont="1" applyFill="1" applyBorder="1" applyAlignment="1">
      <alignment horizontal="right" vertical="center" wrapText="1"/>
    </xf>
    <xf numFmtId="0" fontId="18" fillId="7" borderId="43" xfId="0" applyFont="1" applyFill="1" applyBorder="1" applyAlignment="1">
      <alignment horizontal="left" vertical="center" wrapText="1" readingOrder="1"/>
    </xf>
    <xf numFmtId="44" fontId="19" fillId="7" borderId="44" xfId="1" applyFont="1" applyFill="1" applyBorder="1" applyAlignment="1">
      <alignment horizontal="right" vertical="center" wrapText="1" readingOrder="1"/>
    </xf>
    <xf numFmtId="0" fontId="18" fillId="7" borderId="44" xfId="0" applyFont="1" applyFill="1" applyBorder="1" applyAlignment="1">
      <alignment horizontal="center" vertical="center" wrapText="1" readingOrder="1"/>
    </xf>
    <xf numFmtId="44" fontId="18" fillId="7" borderId="44" xfId="1" applyFont="1" applyFill="1" applyBorder="1" applyAlignment="1">
      <alignment horizontal="right" vertical="center" wrapText="1" readingOrder="1"/>
    </xf>
    <xf numFmtId="44" fontId="18" fillId="7" borderId="45" xfId="1" applyFont="1" applyFill="1" applyBorder="1" applyAlignment="1">
      <alignment horizontal="right" vertical="center" wrapText="1" readingOrder="1"/>
    </xf>
    <xf numFmtId="44" fontId="18" fillId="7" borderId="46" xfId="1" applyFont="1" applyFill="1" applyBorder="1" applyAlignment="1">
      <alignment horizontal="right" vertical="center" wrapText="1" readingOrder="1"/>
    </xf>
    <xf numFmtId="0" fontId="18" fillId="7" borderId="47" xfId="0" applyFont="1" applyFill="1" applyBorder="1" applyAlignment="1">
      <alignment horizontal="left" vertical="center" wrapText="1" readingOrder="1"/>
    </xf>
    <xf numFmtId="44" fontId="19" fillId="7" borderId="48" xfId="1" applyFont="1" applyFill="1" applyBorder="1" applyAlignment="1">
      <alignment horizontal="right" vertical="center" wrapText="1" readingOrder="1"/>
    </xf>
    <xf numFmtId="0" fontId="18" fillId="7" borderId="48" xfId="0" applyFont="1" applyFill="1" applyBorder="1" applyAlignment="1">
      <alignment horizontal="center" vertical="center" wrapText="1" readingOrder="1"/>
    </xf>
    <xf numFmtId="44" fontId="18" fillId="7" borderId="48" xfId="1" applyFont="1" applyFill="1" applyBorder="1" applyAlignment="1">
      <alignment horizontal="right" vertical="center" wrapText="1" readingOrder="1"/>
    </xf>
    <xf numFmtId="44" fontId="18" fillId="7" borderId="56" xfId="1" applyFont="1" applyFill="1" applyBorder="1" applyAlignment="1">
      <alignment horizontal="right" vertical="center" wrapText="1" readingOrder="1"/>
    </xf>
    <xf numFmtId="44" fontId="18" fillId="7" borderId="57" xfId="1" applyFont="1" applyFill="1" applyBorder="1" applyAlignment="1">
      <alignment horizontal="right" vertical="center" wrapText="1" readingOrder="1"/>
    </xf>
    <xf numFmtId="0" fontId="18" fillId="7" borderId="36" xfId="0" applyFont="1" applyFill="1" applyBorder="1" applyAlignment="1">
      <alignment horizontal="center" vertical="center" wrapText="1" readingOrder="1"/>
    </xf>
    <xf numFmtId="44" fontId="18" fillId="7" borderId="36" xfId="1" applyFont="1" applyFill="1" applyBorder="1" applyAlignment="1">
      <alignment horizontal="right" vertical="center" wrapText="1" readingOrder="1"/>
    </xf>
    <xf numFmtId="44" fontId="18" fillId="7" borderId="50" xfId="1" applyFont="1" applyFill="1" applyBorder="1" applyAlignment="1">
      <alignment horizontal="right" vertical="center" wrapText="1" readingOrder="1"/>
    </xf>
    <xf numFmtId="44" fontId="18" fillId="7" borderId="39" xfId="1" applyFont="1" applyFill="1" applyBorder="1" applyAlignment="1">
      <alignment horizontal="right" vertical="center" wrapText="1" readingOrder="1"/>
    </xf>
    <xf numFmtId="0" fontId="19" fillId="7" borderId="40" xfId="0" applyFont="1" applyFill="1" applyBorder="1" applyAlignment="1">
      <alignment horizontal="left" vertical="center" wrapText="1" readingOrder="1"/>
    </xf>
    <xf numFmtId="44" fontId="18" fillId="7" borderId="33" xfId="1" applyFont="1" applyFill="1" applyBorder="1" applyAlignment="1">
      <alignment horizontal="right" vertical="center" wrapText="1" readingOrder="1"/>
    </xf>
    <xf numFmtId="0" fontId="0" fillId="0" borderId="4" xfId="0" applyBorder="1" applyAlignment="1">
      <alignment horizontal="left" vertical="center"/>
    </xf>
    <xf numFmtId="0" fontId="18" fillId="7" borderId="50" xfId="0" applyFont="1" applyFill="1" applyBorder="1" applyAlignment="1">
      <alignment horizontal="center" vertical="center" wrapText="1" readingOrder="1"/>
    </xf>
    <xf numFmtId="6" fontId="7" fillId="0" borderId="5" xfId="0" applyNumberFormat="1" applyFont="1" applyBorder="1" applyAlignment="1">
      <alignment horizontal="right" vertical="center"/>
    </xf>
    <xf numFmtId="44" fontId="18" fillId="7" borderId="58" xfId="1" applyFont="1" applyFill="1" applyBorder="1" applyAlignment="1">
      <alignment horizontal="right" vertical="center" wrapText="1" readingOrder="1"/>
    </xf>
    <xf numFmtId="0" fontId="19" fillId="7" borderId="59" xfId="0" applyFont="1" applyFill="1" applyBorder="1" applyAlignment="1">
      <alignment horizontal="left" vertical="center" wrapText="1" readingOrder="1"/>
    </xf>
    <xf numFmtId="44" fontId="18" fillId="7" borderId="60" xfId="1" applyFont="1" applyFill="1" applyBorder="1" applyAlignment="1">
      <alignment horizontal="right" vertical="center" wrapText="1" readingOrder="1"/>
    </xf>
    <xf numFmtId="0" fontId="18" fillId="7" borderId="52" xfId="0" applyFont="1" applyFill="1" applyBorder="1" applyAlignment="1">
      <alignment horizontal="center" vertical="center" wrapText="1" readingOrder="1"/>
    </xf>
    <xf numFmtId="44" fontId="18" fillId="7" borderId="52" xfId="1" applyFont="1" applyFill="1" applyBorder="1" applyAlignment="1">
      <alignment horizontal="right" vertical="center" wrapText="1" readingOrder="1"/>
    </xf>
    <xf numFmtId="44" fontId="18" fillId="7" borderId="54" xfId="1" applyFont="1" applyFill="1" applyBorder="1" applyAlignment="1">
      <alignment horizontal="right" vertical="center" wrapText="1" readingOrder="1"/>
    </xf>
    <xf numFmtId="0" fontId="22" fillId="7" borderId="43" xfId="0" applyFont="1" applyFill="1" applyBorder="1" applyAlignment="1">
      <alignment horizontal="left" vertical="center" wrapText="1" readingOrder="1"/>
    </xf>
    <xf numFmtId="44" fontId="23" fillId="7" borderId="61" xfId="1" applyFont="1" applyFill="1" applyBorder="1" applyAlignment="1">
      <alignment horizontal="right" vertical="center" wrapText="1"/>
    </xf>
    <xf numFmtId="0" fontId="18" fillId="7" borderId="62" xfId="0" applyFont="1" applyFill="1" applyBorder="1" applyAlignment="1">
      <alignment horizontal="left" vertical="center" wrapText="1" readingOrder="1"/>
    </xf>
    <xf numFmtId="44" fontId="19" fillId="2" borderId="60" xfId="1" applyFont="1" applyFill="1" applyBorder="1" applyAlignment="1">
      <alignment horizontal="right" vertical="center" wrapText="1" readingOrder="1"/>
    </xf>
    <xf numFmtId="0" fontId="18" fillId="2" borderId="60" xfId="0" applyFont="1" applyFill="1" applyBorder="1" applyAlignment="1">
      <alignment horizontal="center" vertical="center" wrapText="1" readingOrder="1"/>
    </xf>
    <xf numFmtId="44" fontId="18" fillId="2" borderId="60" xfId="1" applyFont="1" applyFill="1" applyBorder="1" applyAlignment="1">
      <alignment horizontal="right" vertical="center" wrapText="1" readingOrder="1"/>
    </xf>
    <xf numFmtId="44" fontId="18" fillId="2" borderId="63" xfId="1" applyFont="1" applyFill="1" applyBorder="1" applyAlignment="1">
      <alignment horizontal="right" vertical="center" wrapText="1" readingOrder="1"/>
    </xf>
    <xf numFmtId="44" fontId="13" fillId="2" borderId="64" xfId="1" applyFont="1" applyFill="1" applyBorder="1" applyAlignment="1">
      <alignment horizontal="right" vertical="center" wrapText="1"/>
    </xf>
    <xf numFmtId="0" fontId="18" fillId="7" borderId="66" xfId="0" applyFont="1" applyFill="1" applyBorder="1" applyAlignment="1">
      <alignment horizontal="left" vertical="center" wrapText="1" readingOrder="1"/>
    </xf>
    <xf numFmtId="0" fontId="24" fillId="0" borderId="74" xfId="4" applyFont="1" applyBorder="1" applyAlignment="1">
      <alignment horizontal="left" vertical="center"/>
    </xf>
    <xf numFmtId="0" fontId="24" fillId="0" borderId="75" xfId="4" applyFont="1" applyBorder="1" applyAlignment="1">
      <alignment horizontal="center" vertical="center"/>
    </xf>
    <xf numFmtId="0" fontId="24" fillId="0" borderId="76" xfId="4" applyFont="1" applyBorder="1" applyAlignment="1">
      <alignment horizontal="center" vertical="center"/>
    </xf>
    <xf numFmtId="44" fontId="23" fillId="7" borderId="73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26" fillId="7" borderId="1" xfId="0" applyFont="1" applyFill="1" applyBorder="1" applyAlignment="1">
      <alignment vertical="center" wrapText="1"/>
    </xf>
    <xf numFmtId="169" fontId="26" fillId="7" borderId="2" xfId="2" applyNumberFormat="1" applyFont="1" applyFill="1" applyBorder="1" applyAlignment="1">
      <alignment horizontal="right" vertical="center"/>
    </xf>
    <xf numFmtId="8" fontId="27" fillId="7" borderId="3" xfId="0" applyNumberFormat="1" applyFont="1" applyFill="1" applyBorder="1" applyAlignment="1">
      <alignment horizontal="right" vertical="center"/>
    </xf>
    <xf numFmtId="0" fontId="26" fillId="7" borderId="4" xfId="0" applyFont="1" applyFill="1" applyBorder="1" applyAlignment="1">
      <alignment vertical="center" wrapText="1"/>
    </xf>
    <xf numFmtId="169" fontId="26" fillId="7" borderId="5" xfId="2" applyNumberFormat="1" applyFont="1" applyFill="1" applyBorder="1" applyAlignment="1">
      <alignment horizontal="right" vertical="center"/>
    </xf>
    <xf numFmtId="44" fontId="27" fillId="7" borderId="6" xfId="1" applyFont="1" applyFill="1" applyBorder="1" applyAlignment="1">
      <alignment horizontal="right" vertical="center"/>
    </xf>
    <xf numFmtId="167" fontId="7" fillId="0" borderId="5" xfId="0" applyNumberFormat="1" applyFont="1" applyBorder="1" applyAlignment="1">
      <alignment vertical="center"/>
    </xf>
    <xf numFmtId="10" fontId="7" fillId="0" borderId="5" xfId="0" applyNumberFormat="1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167" fontId="7" fillId="0" borderId="8" xfId="0" applyNumberFormat="1" applyFont="1" applyBorder="1" applyAlignment="1">
      <alignment vertical="center"/>
    </xf>
    <xf numFmtId="10" fontId="7" fillId="0" borderId="8" xfId="0" applyNumberFormat="1" applyFont="1" applyBorder="1" applyAlignment="1">
      <alignment vertical="center"/>
    </xf>
    <xf numFmtId="167" fontId="7" fillId="0" borderId="9" xfId="0" applyNumberFormat="1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44" fontId="22" fillId="2" borderId="21" xfId="0" applyNumberFormat="1" applyFont="1" applyFill="1" applyBorder="1" applyAlignment="1">
      <alignment vertical="center"/>
    </xf>
    <xf numFmtId="0" fontId="7" fillId="0" borderId="68" xfId="0" applyFont="1" applyBorder="1" applyAlignment="1">
      <alignment vertical="center"/>
    </xf>
    <xf numFmtId="44" fontId="7" fillId="0" borderId="36" xfId="0" applyNumberFormat="1" applyFont="1" applyBorder="1" applyAlignment="1">
      <alignment vertical="center"/>
    </xf>
    <xf numFmtId="10" fontId="7" fillId="0" borderId="70" xfId="0" applyNumberFormat="1" applyFont="1" applyBorder="1" applyAlignment="1">
      <alignment vertical="center"/>
    </xf>
    <xf numFmtId="44" fontId="7" fillId="0" borderId="69" xfId="0" applyNumberFormat="1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10" fontId="7" fillId="0" borderId="36" xfId="0" applyNumberFormat="1" applyFont="1" applyBorder="1" applyAlignment="1">
      <alignment vertical="center"/>
    </xf>
    <xf numFmtId="44" fontId="7" fillId="0" borderId="71" xfId="0" applyNumberFormat="1" applyFont="1" applyBorder="1" applyAlignment="1">
      <alignment vertical="center"/>
    </xf>
    <xf numFmtId="167" fontId="19" fillId="7" borderId="36" xfId="0" applyNumberFormat="1" applyFont="1" applyFill="1" applyBorder="1" applyAlignment="1">
      <alignment horizontal="right" vertical="center" wrapText="1" readingOrder="1"/>
    </xf>
    <xf numFmtId="10" fontId="19" fillId="7" borderId="36" xfId="0" applyNumberFormat="1" applyFont="1" applyFill="1" applyBorder="1" applyAlignment="1">
      <alignment horizontal="right" vertical="center" wrapText="1" readingOrder="1"/>
    </xf>
    <xf numFmtId="8" fontId="19" fillId="7" borderId="36" xfId="0" applyNumberFormat="1" applyFont="1" applyFill="1" applyBorder="1" applyAlignment="1">
      <alignment horizontal="right" vertical="center" wrapText="1" readingOrder="1"/>
    </xf>
    <xf numFmtId="0" fontId="14" fillId="0" borderId="72" xfId="0" applyFont="1" applyBorder="1" applyAlignment="1">
      <alignment vertical="center"/>
    </xf>
    <xf numFmtId="44" fontId="7" fillId="0" borderId="76" xfId="0" applyNumberFormat="1" applyFont="1" applyBorder="1" applyAlignment="1">
      <alignment vertical="center"/>
    </xf>
    <xf numFmtId="170" fontId="7" fillId="0" borderId="76" xfId="0" applyNumberFormat="1" applyFont="1" applyBorder="1" applyAlignment="1">
      <alignment vertical="center"/>
    </xf>
    <xf numFmtId="44" fontId="22" fillId="2" borderId="73" xfId="1" applyFont="1" applyFill="1" applyBorder="1" applyAlignment="1">
      <alignment vertical="center"/>
    </xf>
    <xf numFmtId="0" fontId="12" fillId="0" borderId="68" xfId="0" applyFont="1" applyBorder="1" applyAlignment="1">
      <alignment vertical="center"/>
    </xf>
    <xf numFmtId="0" fontId="12" fillId="0" borderId="70" xfId="0" applyFont="1" applyBorder="1" applyAlignment="1">
      <alignment vertical="center"/>
    </xf>
    <xf numFmtId="44" fontId="12" fillId="0" borderId="69" xfId="1" applyFont="1" applyBorder="1" applyAlignment="1">
      <alignment vertical="center"/>
    </xf>
    <xf numFmtId="0" fontId="12" fillId="0" borderId="66" xfId="0" applyFont="1" applyBorder="1" applyAlignment="1">
      <alignment vertical="center"/>
    </xf>
    <xf numFmtId="43" fontId="12" fillId="0" borderId="36" xfId="0" applyNumberFormat="1" applyFont="1" applyBorder="1" applyAlignment="1">
      <alignment vertical="center"/>
    </xf>
    <xf numFmtId="8" fontId="7" fillId="0" borderId="36" xfId="0" applyNumberFormat="1" applyFont="1" applyBorder="1" applyAlignment="1">
      <alignment vertical="center"/>
    </xf>
    <xf numFmtId="44" fontId="12" fillId="0" borderId="71" xfId="1" applyFont="1" applyBorder="1" applyAlignment="1">
      <alignment vertical="center"/>
    </xf>
    <xf numFmtId="44" fontId="12" fillId="0" borderId="36" xfId="0" applyNumberFormat="1" applyFont="1" applyBorder="1" applyAlignment="1">
      <alignment vertical="center"/>
    </xf>
    <xf numFmtId="0" fontId="15" fillId="0" borderId="72" xfId="0" applyFont="1" applyBorder="1" applyAlignment="1">
      <alignment vertical="center"/>
    </xf>
    <xf numFmtId="0" fontId="12" fillId="0" borderId="76" xfId="0" applyFont="1" applyBorder="1" applyAlignment="1">
      <alignment vertical="center"/>
    </xf>
    <xf numFmtId="44" fontId="28" fillId="2" borderId="73" xfId="1" applyFont="1" applyFill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0" fillId="0" borderId="8" xfId="1" applyFont="1" applyBorder="1" applyAlignment="1">
      <alignment vertical="center"/>
    </xf>
    <xf numFmtId="44" fontId="0" fillId="0" borderId="8" xfId="0" applyNumberFormat="1" applyBorder="1" applyAlignment="1">
      <alignment vertical="center"/>
    </xf>
    <xf numFmtId="44" fontId="0" fillId="2" borderId="8" xfId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44" fontId="2" fillId="2" borderId="9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0" fillId="0" borderId="29" xfId="0" applyBorder="1"/>
    <xf numFmtId="0" fontId="0" fillId="0" borderId="22" xfId="0" applyBorder="1"/>
    <xf numFmtId="0" fontId="0" fillId="0" borderId="7" xfId="0" applyBorder="1"/>
    <xf numFmtId="0" fontId="2" fillId="0" borderId="80" xfId="0" applyFont="1" applyBorder="1"/>
    <xf numFmtId="0" fontId="2" fillId="0" borderId="81" xfId="0" applyFont="1" applyBorder="1"/>
    <xf numFmtId="44" fontId="0" fillId="0" borderId="0" xfId="1" applyFont="1" applyBorder="1"/>
    <xf numFmtId="11" fontId="0" fillId="0" borderId="0" xfId="0" applyNumberFormat="1" applyAlignment="1">
      <alignment horizontal="center"/>
    </xf>
    <xf numFmtId="0" fontId="13" fillId="0" borderId="66" xfId="0" applyFont="1" applyBorder="1" applyAlignment="1">
      <alignment horizontal="left" vertical="center" wrapText="1" readingOrder="1"/>
    </xf>
    <xf numFmtId="0" fontId="23" fillId="0" borderId="36" xfId="0" applyFont="1" applyBorder="1" applyAlignment="1">
      <alignment horizontal="left" vertical="center" wrapText="1" readingOrder="1"/>
    </xf>
    <xf numFmtId="43" fontId="23" fillId="0" borderId="71" xfId="3" applyFont="1" applyFill="1" applyBorder="1" applyAlignment="1">
      <alignment horizontal="left" vertical="center" wrapText="1" readingOrder="1"/>
    </xf>
    <xf numFmtId="0" fontId="13" fillId="0" borderId="72" xfId="0" applyFont="1" applyBorder="1" applyAlignment="1">
      <alignment horizontal="left" vertical="center" wrapText="1" readingOrder="1"/>
    </xf>
    <xf numFmtId="0" fontId="23" fillId="0" borderId="76" xfId="0" applyFont="1" applyBorder="1" applyAlignment="1">
      <alignment horizontal="left" vertical="center" wrapText="1" readingOrder="1"/>
    </xf>
    <xf numFmtId="0" fontId="23" fillId="0" borderId="82" xfId="0" applyFont="1" applyBorder="1" applyAlignment="1">
      <alignment horizontal="left" vertical="center" wrapText="1" readingOrder="1"/>
    </xf>
    <xf numFmtId="0" fontId="22" fillId="0" borderId="0" xfId="0" applyFont="1" applyAlignment="1">
      <alignment horizontal="left" vertical="center" wrapText="1" readingOrder="1"/>
    </xf>
    <xf numFmtId="0" fontId="23" fillId="0" borderId="68" xfId="0" applyFont="1" applyBorder="1" applyAlignment="1">
      <alignment horizontal="left" vertical="center" wrapText="1" readingOrder="1"/>
    </xf>
    <xf numFmtId="0" fontId="7" fillId="0" borderId="70" xfId="0" applyFont="1" applyBorder="1" applyAlignment="1">
      <alignment vertical="center"/>
    </xf>
    <xf numFmtId="0" fontId="14" fillId="0" borderId="70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7" fillId="0" borderId="36" xfId="0" applyFont="1" applyBorder="1" applyAlignment="1">
      <alignment vertical="center"/>
    </xf>
    <xf numFmtId="0" fontId="7" fillId="0" borderId="71" xfId="0" applyFont="1" applyBorder="1" applyAlignment="1">
      <alignment vertical="center"/>
    </xf>
    <xf numFmtId="0" fontId="7" fillId="0" borderId="72" xfId="0" applyFont="1" applyBorder="1" applyAlignment="1">
      <alignment vertical="center"/>
    </xf>
    <xf numFmtId="0" fontId="7" fillId="0" borderId="76" xfId="0" applyFont="1" applyBorder="1" applyAlignment="1">
      <alignment vertical="center"/>
    </xf>
    <xf numFmtId="44" fontId="23" fillId="0" borderId="71" xfId="1" applyFont="1" applyBorder="1" applyAlignment="1">
      <alignment horizontal="left" vertical="center" wrapText="1" readingOrder="1"/>
    </xf>
    <xf numFmtId="0" fontId="23" fillId="0" borderId="65" xfId="0" applyFont="1" applyBorder="1" applyAlignment="1">
      <alignment horizontal="right" vertical="center" wrapText="1" readingOrder="1"/>
    </xf>
    <xf numFmtId="17" fontId="7" fillId="0" borderId="36" xfId="0" applyNumberFormat="1" applyFont="1" applyBorder="1" applyAlignment="1">
      <alignment vertical="center"/>
    </xf>
    <xf numFmtId="44" fontId="7" fillId="0" borderId="36" xfId="1" applyFont="1" applyBorder="1" applyAlignment="1">
      <alignment vertical="center"/>
    </xf>
    <xf numFmtId="44" fontId="23" fillId="0" borderId="71" xfId="1" applyFont="1" applyFill="1" applyBorder="1" applyAlignment="1">
      <alignment horizontal="left" vertical="center" wrapText="1" readingOrder="1"/>
    </xf>
    <xf numFmtId="44" fontId="23" fillId="2" borderId="83" xfId="1" applyFont="1" applyFill="1" applyBorder="1" applyAlignment="1">
      <alignment horizontal="left" vertical="center" wrapText="1" readingOrder="1"/>
    </xf>
    <xf numFmtId="44" fontId="7" fillId="0" borderId="71" xfId="1" applyFont="1" applyBorder="1" applyAlignment="1">
      <alignment vertical="center"/>
    </xf>
    <xf numFmtId="44" fontId="7" fillId="2" borderId="73" xfId="0" applyNumberFormat="1" applyFont="1" applyFill="1" applyBorder="1" applyAlignment="1">
      <alignment vertical="center"/>
    </xf>
    <xf numFmtId="16" fontId="7" fillId="0" borderId="36" xfId="0" quotePrefix="1" applyNumberFormat="1" applyFont="1" applyBorder="1" applyAlignment="1">
      <alignment horizontal="center" vertical="center"/>
    </xf>
    <xf numFmtId="0" fontId="23" fillId="0" borderId="71" xfId="0" applyFont="1" applyBorder="1" applyAlignment="1">
      <alignment horizontal="right" vertical="center" wrapText="1" readingOrder="1"/>
    </xf>
    <xf numFmtId="44" fontId="23" fillId="0" borderId="71" xfId="0" applyNumberFormat="1" applyFont="1" applyBorder="1" applyAlignment="1">
      <alignment horizontal="left" vertical="center" wrapText="1" readingOrder="1"/>
    </xf>
    <xf numFmtId="44" fontId="23" fillId="0" borderId="76" xfId="0" quotePrefix="1" applyNumberFormat="1" applyFont="1" applyBorder="1" applyAlignment="1">
      <alignment horizontal="left" vertical="center" wrapText="1" readingOrder="1"/>
    </xf>
    <xf numFmtId="44" fontId="14" fillId="2" borderId="71" xfId="0" applyNumberFormat="1" applyFont="1" applyFill="1" applyBorder="1" applyAlignment="1">
      <alignment vertical="center"/>
    </xf>
    <xf numFmtId="0" fontId="23" fillId="0" borderId="76" xfId="0" applyFont="1" applyBorder="1" applyAlignment="1">
      <alignment horizontal="right" vertical="center" wrapText="1" readingOrder="1"/>
    </xf>
    <xf numFmtId="0" fontId="3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vertical="center"/>
    </xf>
    <xf numFmtId="171" fontId="3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" fontId="2" fillId="0" borderId="4" xfId="0" applyNumberFormat="1" applyFont="1" applyBorder="1" applyAlignment="1">
      <alignment horizontal="left" vertical="center"/>
    </xf>
    <xf numFmtId="171" fontId="2" fillId="0" borderId="5" xfId="1" applyNumberFormat="1" applyFont="1" applyBorder="1" applyAlignment="1">
      <alignment vertical="center"/>
    </xf>
    <xf numFmtId="171" fontId="2" fillId="0" borderId="5" xfId="0" applyNumberFormat="1" applyFont="1" applyBorder="1" applyAlignment="1">
      <alignment vertical="center"/>
    </xf>
    <xf numFmtId="0" fontId="33" fillId="2" borderId="0" xfId="0" applyFont="1" applyFill="1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7" fontId="2" fillId="2" borderId="3" xfId="0" applyNumberFormat="1" applyFont="1" applyFill="1" applyBorder="1" applyAlignment="1">
      <alignment horizontal="center" vertical="center" wrapText="1"/>
    </xf>
    <xf numFmtId="167" fontId="0" fillId="9" borderId="5" xfId="0" applyNumberFormat="1" applyFill="1" applyBorder="1" applyAlignment="1">
      <alignment vertical="center"/>
    </xf>
    <xf numFmtId="167" fontId="0" fillId="0" borderId="5" xfId="0" applyNumberFormat="1" applyBorder="1" applyAlignment="1">
      <alignment vertical="center"/>
    </xf>
    <xf numFmtId="0" fontId="0" fillId="9" borderId="5" xfId="0" applyFill="1" applyBorder="1" applyAlignment="1">
      <alignment horizontal="center" vertical="center"/>
    </xf>
    <xf numFmtId="167" fontId="0" fillId="9" borderId="5" xfId="0" applyNumberFormat="1" applyFill="1" applyBorder="1" applyAlignment="1">
      <alignment horizontal="center" vertical="center"/>
    </xf>
    <xf numFmtId="167" fontId="0" fillId="2" borderId="6" xfId="0" applyNumberForma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44" fontId="0" fillId="0" borderId="5" xfId="1" applyFont="1" applyBorder="1" applyAlignment="1">
      <alignment vertical="center"/>
    </xf>
    <xf numFmtId="44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8" fontId="2" fillId="2" borderId="5" xfId="0" applyNumberFormat="1" applyFont="1" applyFill="1" applyBorder="1" applyAlignment="1">
      <alignment vertical="center"/>
    </xf>
    <xf numFmtId="43" fontId="0" fillId="9" borderId="5" xfId="3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171" fontId="0" fillId="0" borderId="5" xfId="0" applyNumberForma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72" fontId="0" fillId="0" borderId="6" xfId="0" applyNumberFormat="1" applyBorder="1" applyAlignment="1">
      <alignment vertical="center"/>
    </xf>
    <xf numFmtId="2" fontId="0" fillId="9" borderId="5" xfId="0" applyNumberFormat="1" applyFill="1" applyBorder="1" applyAlignment="1">
      <alignment horizontal="center" vertical="center"/>
    </xf>
    <xf numFmtId="16" fontId="2" fillId="0" borderId="0" xfId="0" quotePrefix="1" applyNumberFormat="1" applyFont="1" applyAlignment="1">
      <alignment vertical="center"/>
    </xf>
    <xf numFmtId="0" fontId="23" fillId="0" borderId="36" xfId="0" quotePrefix="1" applyFont="1" applyBorder="1" applyAlignment="1">
      <alignment horizontal="center" vertical="center" wrapText="1" readingOrder="1"/>
    </xf>
    <xf numFmtId="16" fontId="14" fillId="0" borderId="36" xfId="0" quotePrefix="1" applyNumberFormat="1" applyFont="1" applyBorder="1" applyAlignment="1">
      <alignment horizontal="center" vertical="center"/>
    </xf>
    <xf numFmtId="44" fontId="7" fillId="0" borderId="0" xfId="0" applyNumberFormat="1" applyFont="1" applyAlignment="1">
      <alignment vertical="center"/>
    </xf>
    <xf numFmtId="44" fontId="2" fillId="2" borderId="6" xfId="0" applyNumberFormat="1" applyFont="1" applyFill="1" applyBorder="1" applyAlignment="1">
      <alignment vertical="center"/>
    </xf>
    <xf numFmtId="44" fontId="7" fillId="0" borderId="6" xfId="0" applyNumberFormat="1" applyFont="1" applyBorder="1" applyAlignment="1">
      <alignment vertical="center"/>
    </xf>
    <xf numFmtId="44" fontId="7" fillId="0" borderId="9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44" fontId="22" fillId="2" borderId="37" xfId="1" applyFont="1" applyFill="1" applyBorder="1" applyAlignment="1">
      <alignment horizontal="right" vertical="center" wrapText="1"/>
    </xf>
    <xf numFmtId="44" fontId="23" fillId="7" borderId="37" xfId="1" applyFont="1" applyFill="1" applyBorder="1" applyAlignment="1">
      <alignment horizontal="right" vertical="center" wrapText="1"/>
    </xf>
    <xf numFmtId="17" fontId="2" fillId="0" borderId="0" xfId="0" applyNumberFormat="1" applyFont="1" applyAlignment="1">
      <alignment horizontal="left" vertical="center"/>
    </xf>
    <xf numFmtId="171" fontId="2" fillId="0" borderId="0" xfId="1" applyNumberFormat="1" applyFont="1" applyBorder="1" applyAlignment="1">
      <alignment vertical="center"/>
    </xf>
    <xf numFmtId="171" fontId="2" fillId="0" borderId="0" xfId="0" applyNumberFormat="1" applyFont="1" applyAlignment="1">
      <alignment vertical="center"/>
    </xf>
    <xf numFmtId="167" fontId="0" fillId="9" borderId="0" xfId="0" applyNumberFormat="1" applyFill="1" applyAlignment="1">
      <alignment vertical="center"/>
    </xf>
    <xf numFmtId="167" fontId="0" fillId="0" borderId="0" xfId="0" applyNumberFormat="1" applyAlignment="1">
      <alignment vertical="center"/>
    </xf>
    <xf numFmtId="2" fontId="0" fillId="9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67" fontId="0" fillId="9" borderId="0" xfId="0" applyNumberForma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17" fontId="2" fillId="0" borderId="7" xfId="0" applyNumberFormat="1" applyFont="1" applyBorder="1" applyAlignment="1">
      <alignment horizontal="left" vertical="center"/>
    </xf>
    <xf numFmtId="167" fontId="0" fillId="9" borderId="8" xfId="0" applyNumberFormat="1" applyFill="1" applyBorder="1" applyAlignment="1">
      <alignment vertical="center"/>
    </xf>
    <xf numFmtId="171" fontId="2" fillId="0" borderId="8" xfId="0" applyNumberFormat="1" applyFont="1" applyBorder="1" applyAlignment="1">
      <alignment vertical="center"/>
    </xf>
    <xf numFmtId="171" fontId="0" fillId="0" borderId="8" xfId="0" applyNumberForma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167" fontId="0" fillId="0" borderId="8" xfId="0" applyNumberFormat="1" applyBorder="1" applyAlignment="1">
      <alignment vertical="center"/>
    </xf>
    <xf numFmtId="172" fontId="0" fillId="0" borderId="9" xfId="0" applyNumberFormat="1" applyBorder="1" applyAlignment="1">
      <alignment vertical="center"/>
    </xf>
    <xf numFmtId="171" fontId="2" fillId="0" borderId="6" xfId="0" applyNumberFormat="1" applyFont="1" applyBorder="1" applyAlignment="1">
      <alignment vertical="center"/>
    </xf>
    <xf numFmtId="171" fontId="32" fillId="0" borderId="5" xfId="0" applyNumberFormat="1" applyFont="1" applyBorder="1" applyAlignment="1">
      <alignment vertical="center"/>
    </xf>
    <xf numFmtId="44" fontId="19" fillId="7" borderId="50" xfId="1" applyFont="1" applyFill="1" applyBorder="1" applyAlignment="1">
      <alignment horizontal="right" vertical="center" wrapText="1" readingOrder="1"/>
    </xf>
    <xf numFmtId="171" fontId="2" fillId="0" borderId="8" xfId="1" applyNumberFormat="1" applyFont="1" applyBorder="1" applyAlignment="1">
      <alignment vertical="center"/>
    </xf>
    <xf numFmtId="171" fontId="32" fillId="0" borderId="8" xfId="0" applyNumberFormat="1" applyFont="1" applyBorder="1" applyAlignment="1">
      <alignment vertical="center"/>
    </xf>
    <xf numFmtId="171" fontId="2" fillId="2" borderId="8" xfId="0" applyNumberFormat="1" applyFont="1" applyFill="1" applyBorder="1" applyAlignment="1">
      <alignment vertical="center"/>
    </xf>
    <xf numFmtId="0" fontId="0" fillId="0" borderId="1" xfId="0" applyBorder="1"/>
    <xf numFmtId="0" fontId="2" fillId="0" borderId="7" xfId="0" applyFont="1" applyBorder="1"/>
    <xf numFmtId="44" fontId="7" fillId="0" borderId="11" xfId="1" applyFont="1" applyBorder="1" applyAlignment="1">
      <alignment horizontal="right" vertical="center"/>
    </xf>
    <xf numFmtId="43" fontId="19" fillId="7" borderId="36" xfId="3" applyFont="1" applyFill="1" applyBorder="1" applyAlignment="1">
      <alignment horizontal="right" vertical="center" wrapText="1" readingOrder="1"/>
    </xf>
    <xf numFmtId="44" fontId="7" fillId="0" borderId="5" xfId="0" applyNumberFormat="1" applyFont="1" applyBorder="1" applyAlignment="1">
      <alignment vertical="center"/>
    </xf>
    <xf numFmtId="43" fontId="7" fillId="0" borderId="11" xfId="3" applyFont="1" applyBorder="1" applyAlignment="1">
      <alignment vertical="center"/>
    </xf>
    <xf numFmtId="43" fontId="7" fillId="0" borderId="5" xfId="3" applyFont="1" applyBorder="1" applyAlignment="1">
      <alignment vertical="center"/>
    </xf>
    <xf numFmtId="43" fontId="13" fillId="7" borderId="52" xfId="3" applyFont="1" applyFill="1" applyBorder="1" applyAlignment="1">
      <alignment horizontal="center" vertical="center" wrapText="1"/>
    </xf>
    <xf numFmtId="17" fontId="7" fillId="0" borderId="4" xfId="0" quotePrefix="1" applyNumberFormat="1" applyFont="1" applyBorder="1" applyAlignment="1">
      <alignment vertical="center"/>
    </xf>
    <xf numFmtId="44" fontId="7" fillId="0" borderId="9" xfId="1" applyFont="1" applyBorder="1" applyAlignment="1">
      <alignment vertical="center"/>
    </xf>
    <xf numFmtId="44" fontId="7" fillId="0" borderId="0" xfId="1" applyFont="1" applyAlignment="1">
      <alignment vertical="center"/>
    </xf>
    <xf numFmtId="0" fontId="2" fillId="0" borderId="21" xfId="0" applyFont="1" applyBorder="1" applyAlignment="1">
      <alignment vertical="center"/>
    </xf>
    <xf numFmtId="44" fontId="0" fillId="9" borderId="5" xfId="1" applyFont="1" applyFill="1" applyBorder="1" applyAlignment="1">
      <alignment vertical="center"/>
    </xf>
    <xf numFmtId="173" fontId="12" fillId="0" borderId="6" xfId="3" applyNumberFormat="1" applyFont="1" applyBorder="1" applyAlignment="1">
      <alignment vertical="center"/>
    </xf>
    <xf numFmtId="44" fontId="0" fillId="0" borderId="6" xfId="1" applyFont="1" applyBorder="1" applyAlignment="1">
      <alignment horizontal="center" vertical="center"/>
    </xf>
    <xf numFmtId="9" fontId="18" fillId="7" borderId="50" xfId="0" applyNumberFormat="1" applyFont="1" applyFill="1" applyBorder="1" applyAlignment="1">
      <alignment horizontal="center" vertical="center" wrapText="1" readingOrder="1"/>
    </xf>
    <xf numFmtId="171" fontId="2" fillId="0" borderId="5" xfId="0" applyNumberFormat="1" applyFont="1" applyBorder="1" applyAlignment="1">
      <alignment horizontal="left" vertical="center" indent="1"/>
    </xf>
    <xf numFmtId="171" fontId="2" fillId="0" borderId="6" xfId="0" applyNumberFormat="1" applyFont="1" applyBorder="1" applyAlignment="1">
      <alignment horizontal="left" vertical="center" indent="1"/>
    </xf>
    <xf numFmtId="171" fontId="32" fillId="0" borderId="5" xfId="0" applyNumberFormat="1" applyFont="1" applyBorder="1" applyAlignment="1">
      <alignment horizontal="left" vertical="center" indent="1"/>
    </xf>
    <xf numFmtId="171" fontId="2" fillId="0" borderId="8" xfId="0" applyNumberFormat="1" applyFont="1" applyBorder="1" applyAlignment="1">
      <alignment horizontal="left" vertical="center" indent="1"/>
    </xf>
    <xf numFmtId="171" fontId="32" fillId="0" borderId="8" xfId="0" applyNumberFormat="1" applyFont="1" applyBorder="1" applyAlignment="1">
      <alignment horizontal="left" vertical="center" indent="1"/>
    </xf>
    <xf numFmtId="171" fontId="2" fillId="2" borderId="8" xfId="0" applyNumberFormat="1" applyFont="1" applyFill="1" applyBorder="1" applyAlignment="1">
      <alignment horizontal="left" vertical="center" indent="1"/>
    </xf>
    <xf numFmtId="171" fontId="2" fillId="2" borderId="9" xfId="0" applyNumberFormat="1" applyFont="1" applyFill="1" applyBorder="1" applyAlignment="1">
      <alignment horizontal="left" vertical="center" indent="1"/>
    </xf>
    <xf numFmtId="171" fontId="2" fillId="0" borderId="5" xfId="0" applyNumberFormat="1" applyFont="1" applyBorder="1" applyAlignment="1">
      <alignment horizontal="left" vertical="center"/>
    </xf>
    <xf numFmtId="169" fontId="7" fillId="0" borderId="0" xfId="2" applyNumberFormat="1" applyFont="1" applyAlignment="1">
      <alignment vertical="center"/>
    </xf>
    <xf numFmtId="0" fontId="14" fillId="0" borderId="58" xfId="0" applyFont="1" applyBorder="1" applyAlignment="1">
      <alignment vertical="center"/>
    </xf>
    <xf numFmtId="44" fontId="18" fillId="0" borderId="36" xfId="1" applyFont="1" applyFill="1" applyBorder="1" applyAlignment="1">
      <alignment horizontal="center" vertical="center" wrapText="1" readingOrder="1"/>
    </xf>
    <xf numFmtId="0" fontId="18" fillId="0" borderId="36" xfId="0" applyFont="1" applyBorder="1" applyAlignment="1">
      <alignment horizontal="center" vertical="center" readingOrder="1"/>
    </xf>
    <xf numFmtId="44" fontId="18" fillId="0" borderId="37" xfId="1" applyFont="1" applyFill="1" applyBorder="1" applyAlignment="1">
      <alignment horizontal="center" vertical="center" wrapText="1" readingOrder="1"/>
    </xf>
    <xf numFmtId="0" fontId="19" fillId="0" borderId="66" xfId="0" applyFont="1" applyBorder="1" applyAlignment="1">
      <alignment horizontal="left" vertical="center" wrapText="1" readingOrder="1"/>
    </xf>
    <xf numFmtId="0" fontId="19" fillId="0" borderId="36" xfId="0" applyFont="1" applyBorder="1" applyAlignment="1">
      <alignment horizontal="center" vertical="center" wrapText="1" readingOrder="1"/>
    </xf>
    <xf numFmtId="0" fontId="18" fillId="0" borderId="36" xfId="0" applyFont="1" applyBorder="1" applyAlignment="1">
      <alignment horizontal="center" vertical="center" wrapText="1" readingOrder="1"/>
    </xf>
    <xf numFmtId="44" fontId="18" fillId="0" borderId="36" xfId="0" applyNumberFormat="1" applyFont="1" applyBorder="1" applyAlignment="1">
      <alignment horizontal="center" vertical="center" wrapText="1" readingOrder="1"/>
    </xf>
    <xf numFmtId="0" fontId="18" fillId="0" borderId="50" xfId="0" applyFont="1" applyBorder="1" applyAlignment="1">
      <alignment horizontal="center" vertical="center" wrapText="1" readingOrder="1"/>
    </xf>
    <xf numFmtId="44" fontId="13" fillId="0" borderId="37" xfId="0" applyNumberFormat="1" applyFont="1" applyBorder="1" applyAlignment="1">
      <alignment horizontal="center" vertical="center" wrapText="1"/>
    </xf>
    <xf numFmtId="44" fontId="19" fillId="0" borderId="36" xfId="0" applyNumberFormat="1" applyFont="1" applyBorder="1" applyAlignment="1">
      <alignment horizontal="center" vertical="center" wrapText="1" readingOrder="1"/>
    </xf>
    <xf numFmtId="10" fontId="18" fillId="0" borderId="36" xfId="0" applyNumberFormat="1" applyFont="1" applyBorder="1" applyAlignment="1">
      <alignment horizontal="center" vertical="center" wrapText="1" readingOrder="1"/>
    </xf>
    <xf numFmtId="0" fontId="18" fillId="0" borderId="37" xfId="0" applyFont="1" applyBorder="1" applyAlignment="1">
      <alignment horizontal="center" vertical="center" wrapText="1" readingOrder="1"/>
    </xf>
    <xf numFmtId="0" fontId="22" fillId="0" borderId="66" xfId="0" applyFont="1" applyBorder="1" applyAlignment="1">
      <alignment horizontal="left" vertical="center" wrapText="1" readingOrder="1"/>
    </xf>
    <xf numFmtId="0" fontId="14" fillId="0" borderId="36" xfId="0" applyFont="1" applyBorder="1" applyAlignment="1">
      <alignment horizontal="center" vertical="center" wrapText="1" readingOrder="1"/>
    </xf>
    <xf numFmtId="0" fontId="34" fillId="0" borderId="72" xfId="4" applyFont="1" applyBorder="1" applyAlignment="1">
      <alignment horizontal="center" vertical="center"/>
    </xf>
    <xf numFmtId="0" fontId="24" fillId="0" borderId="82" xfId="4" applyFont="1" applyBorder="1" applyAlignment="1">
      <alignment horizontal="center" vertical="center"/>
    </xf>
    <xf numFmtId="44" fontId="23" fillId="7" borderId="84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7" fillId="0" borderId="38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4" fillId="0" borderId="72" xfId="4" applyFont="1" applyBorder="1" applyAlignment="1">
      <alignment horizontal="left" vertical="center"/>
    </xf>
    <xf numFmtId="44" fontId="2" fillId="0" borderId="5" xfId="1" applyFont="1" applyBorder="1" applyAlignment="1">
      <alignment vertical="center"/>
    </xf>
    <xf numFmtId="43" fontId="0" fillId="9" borderId="5" xfId="3" applyFont="1" applyFill="1" applyBorder="1" applyAlignment="1">
      <alignment horizontal="center" vertical="center"/>
    </xf>
    <xf numFmtId="44" fontId="2" fillId="0" borderId="5" xfId="1" applyFont="1" applyBorder="1" applyAlignment="1">
      <alignment horizontal="left" vertical="center"/>
    </xf>
    <xf numFmtId="44" fontId="0" fillId="0" borderId="0" xfId="1" applyFont="1" applyAlignment="1">
      <alignment vertical="center"/>
    </xf>
    <xf numFmtId="44" fontId="0" fillId="9" borderId="5" xfId="0" applyNumberFormat="1" applyFill="1" applyBorder="1" applyAlignment="1">
      <alignment horizontal="center" vertical="center"/>
    </xf>
    <xf numFmtId="44" fontId="0" fillId="0" borderId="6" xfId="1" applyFont="1" applyBorder="1"/>
    <xf numFmtId="172" fontId="0" fillId="2" borderId="6" xfId="0" applyNumberFormat="1" applyFill="1" applyBorder="1" applyAlignment="1">
      <alignment vertical="center"/>
    </xf>
    <xf numFmtId="172" fontId="0" fillId="2" borderId="9" xfId="0" applyNumberFormat="1" applyFill="1" applyBorder="1" applyAlignment="1">
      <alignment vertical="center"/>
    </xf>
    <xf numFmtId="44" fontId="2" fillId="0" borderId="5" xfId="0" applyNumberFormat="1" applyFont="1" applyBorder="1" applyAlignment="1">
      <alignment vertical="center"/>
    </xf>
    <xf numFmtId="44" fontId="2" fillId="0" borderId="6" xfId="0" applyNumberFormat="1" applyFont="1" applyBorder="1" applyAlignment="1">
      <alignment vertical="center"/>
    </xf>
    <xf numFmtId="44" fontId="2" fillId="0" borderId="8" xfId="1" applyFont="1" applyBorder="1" applyAlignment="1">
      <alignment vertical="center"/>
    </xf>
    <xf numFmtId="44" fontId="2" fillId="0" borderId="8" xfId="0" applyNumberFormat="1" applyFont="1" applyBorder="1" applyAlignment="1">
      <alignment vertical="center"/>
    </xf>
    <xf numFmtId="44" fontId="2" fillId="2" borderId="8" xfId="0" applyNumberFormat="1" applyFont="1" applyFill="1" applyBorder="1" applyAlignment="1">
      <alignment vertical="center"/>
    </xf>
    <xf numFmtId="44" fontId="12" fillId="0" borderId="10" xfId="0" applyNumberFormat="1" applyFont="1" applyBorder="1" applyAlignment="1">
      <alignment vertical="center"/>
    </xf>
    <xf numFmtId="43" fontId="13" fillId="7" borderId="33" xfId="3" applyFont="1" applyFill="1" applyBorder="1" applyAlignment="1">
      <alignment horizontal="right" vertical="center" wrapText="1"/>
    </xf>
    <xf numFmtId="43" fontId="35" fillId="0" borderId="36" xfId="0" applyNumberFormat="1" applyFont="1" applyBorder="1" applyAlignment="1">
      <alignment vertical="center"/>
    </xf>
    <xf numFmtId="8" fontId="20" fillId="0" borderId="36" xfId="0" applyNumberFormat="1" applyFont="1" applyBorder="1" applyAlignment="1">
      <alignment vertical="center"/>
    </xf>
    <xf numFmtId="44" fontId="35" fillId="0" borderId="71" xfId="1" applyFont="1" applyBorder="1" applyAlignment="1">
      <alignment vertical="center"/>
    </xf>
    <xf numFmtId="0" fontId="7" fillId="9" borderId="1" xfId="0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44" fontId="7" fillId="9" borderId="3" xfId="1" applyFont="1" applyFill="1" applyBorder="1" applyAlignment="1">
      <alignment vertical="center"/>
    </xf>
    <xf numFmtId="0" fontId="7" fillId="9" borderId="4" xfId="0" applyFont="1" applyFill="1" applyBorder="1" applyAlignment="1">
      <alignment vertical="center"/>
    </xf>
    <xf numFmtId="0" fontId="7" fillId="9" borderId="5" xfId="0" applyFont="1" applyFill="1" applyBorder="1" applyAlignment="1">
      <alignment vertical="center"/>
    </xf>
    <xf numFmtId="44" fontId="7" fillId="9" borderId="6" xfId="0" applyNumberFormat="1" applyFont="1" applyFill="1" applyBorder="1" applyAlignment="1">
      <alignment vertical="center"/>
    </xf>
    <xf numFmtId="0" fontId="7" fillId="9" borderId="4" xfId="0" quotePrefix="1" applyFont="1" applyFill="1" applyBorder="1" applyAlignment="1">
      <alignment vertical="center"/>
    </xf>
    <xf numFmtId="44" fontId="14" fillId="9" borderId="6" xfId="0" applyNumberFormat="1" applyFont="1" applyFill="1" applyBorder="1" applyAlignment="1">
      <alignment vertical="center"/>
    </xf>
    <xf numFmtId="0" fontId="7" fillId="9" borderId="7" xfId="0" applyFont="1" applyFill="1" applyBorder="1" applyAlignment="1">
      <alignment vertical="center"/>
    </xf>
    <xf numFmtId="0" fontId="7" fillId="9" borderId="8" xfId="0" applyFont="1" applyFill="1" applyBorder="1" applyAlignment="1">
      <alignment vertical="center"/>
    </xf>
    <xf numFmtId="44" fontId="7" fillId="9" borderId="6" xfId="1" applyFont="1" applyFill="1" applyBorder="1" applyAlignment="1">
      <alignment vertical="center"/>
    </xf>
    <xf numFmtId="44" fontId="14" fillId="9" borderId="9" xfId="0" applyNumberFormat="1" applyFont="1" applyFill="1" applyBorder="1" applyAlignment="1">
      <alignment vertical="center"/>
    </xf>
    <xf numFmtId="44" fontId="14" fillId="2" borderId="3" xfId="0" applyNumberFormat="1" applyFont="1" applyFill="1" applyBorder="1" applyAlignment="1">
      <alignment vertical="center"/>
    </xf>
    <xf numFmtId="44" fontId="14" fillId="0" borderId="6" xfId="0" applyNumberFormat="1" applyFont="1" applyBorder="1" applyAlignment="1">
      <alignment vertical="center"/>
    </xf>
    <xf numFmtId="44" fontId="14" fillId="2" borderId="9" xfId="0" applyNumberFormat="1" applyFont="1" applyFill="1" applyBorder="1" applyAlignment="1">
      <alignment vertical="center"/>
    </xf>
    <xf numFmtId="44" fontId="36" fillId="0" borderId="5" xfId="0" applyNumberFormat="1" applyFont="1" applyBorder="1" applyAlignment="1">
      <alignment vertical="center"/>
    </xf>
    <xf numFmtId="44" fontId="36" fillId="0" borderId="8" xfId="0" applyNumberFormat="1" applyFont="1" applyBorder="1" applyAlignment="1">
      <alignment vertical="center"/>
    </xf>
    <xf numFmtId="44" fontId="23" fillId="0" borderId="36" xfId="0" applyNumberFormat="1" applyFont="1" applyBorder="1" applyAlignment="1">
      <alignment horizontal="left" vertical="center" wrapText="1" readingOrder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44" fontId="7" fillId="0" borderId="3" xfId="0" applyNumberFormat="1" applyFont="1" applyBorder="1" applyAlignment="1">
      <alignment vertical="center"/>
    </xf>
    <xf numFmtId="164" fontId="19" fillId="7" borderId="36" xfId="3" applyNumberFormat="1" applyFont="1" applyFill="1" applyBorder="1" applyAlignment="1">
      <alignment horizontal="right" vertical="center" wrapText="1" readingOrder="1"/>
    </xf>
    <xf numFmtId="0" fontId="0" fillId="0" borderId="72" xfId="0" applyBorder="1"/>
    <xf numFmtId="0" fontId="0" fillId="0" borderId="68" xfId="0" applyBorder="1"/>
    <xf numFmtId="174" fontId="0" fillId="0" borderId="69" xfId="0" applyNumberFormat="1" applyBorder="1"/>
    <xf numFmtId="0" fontId="0" fillId="0" borderId="66" xfId="0" applyBorder="1"/>
    <xf numFmtId="174" fontId="0" fillId="0" borderId="71" xfId="0" applyNumberFormat="1" applyBorder="1"/>
    <xf numFmtId="174" fontId="0" fillId="0" borderId="73" xfId="0" applyNumberFormat="1" applyBorder="1"/>
    <xf numFmtId="0" fontId="0" fillId="0" borderId="85" xfId="0" applyBorder="1"/>
    <xf numFmtId="174" fontId="0" fillId="0" borderId="87" xfId="0" applyNumberFormat="1" applyBorder="1"/>
    <xf numFmtId="0" fontId="37" fillId="0" borderId="79" xfId="0" applyFont="1" applyBorder="1" applyAlignment="1">
      <alignment horizontal="center" vertical="center" wrapText="1"/>
    </xf>
    <xf numFmtId="174" fontId="0" fillId="0" borderId="70" xfId="0" applyNumberFormat="1" applyBorder="1"/>
    <xf numFmtId="174" fontId="0" fillId="0" borderId="36" xfId="0" applyNumberFormat="1" applyBorder="1"/>
    <xf numFmtId="174" fontId="0" fillId="0" borderId="76" xfId="0" applyNumberFormat="1" applyBorder="1"/>
    <xf numFmtId="0" fontId="0" fillId="0" borderId="74" xfId="0" applyBorder="1"/>
    <xf numFmtId="174" fontId="0" fillId="0" borderId="89" xfId="0" applyNumberFormat="1" applyBorder="1"/>
    <xf numFmtId="0" fontId="37" fillId="0" borderId="90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/>
    </xf>
    <xf numFmtId="165" fontId="7" fillId="0" borderId="6" xfId="2" applyNumberFormat="1" applyFont="1" applyBorder="1" applyAlignment="1">
      <alignment vertical="center"/>
    </xf>
    <xf numFmtId="0" fontId="0" fillId="0" borderId="91" xfId="0" applyBorder="1"/>
    <xf numFmtId="0" fontId="0" fillId="0" borderId="92" xfId="0" applyBorder="1"/>
    <xf numFmtId="0" fontId="13" fillId="0" borderId="68" xfId="0" applyFont="1" applyBorder="1" applyAlignment="1">
      <alignment horizontal="left" vertical="center" wrapText="1" readingOrder="1"/>
    </xf>
    <xf numFmtId="0" fontId="23" fillId="0" borderId="70" xfId="0" applyFont="1" applyBorder="1" applyAlignment="1">
      <alignment horizontal="center" vertical="center" wrapText="1" readingOrder="1"/>
    </xf>
    <xf numFmtId="0" fontId="23" fillId="0" borderId="69" xfId="0" applyFont="1" applyBorder="1" applyAlignment="1">
      <alignment horizontal="center" vertical="center" wrapText="1" readingOrder="1"/>
    </xf>
    <xf numFmtId="44" fontId="38" fillId="0" borderId="36" xfId="1" applyFont="1" applyBorder="1" applyAlignment="1">
      <alignment horizontal="right" vertical="center" wrapText="1" readingOrder="1"/>
    </xf>
    <xf numFmtId="44" fontId="38" fillId="0" borderId="71" xfId="1" applyFont="1" applyBorder="1" applyAlignment="1">
      <alignment horizontal="right" vertical="center" wrapText="1" readingOrder="1"/>
    </xf>
    <xf numFmtId="44" fontId="38" fillId="0" borderId="76" xfId="1" applyFont="1" applyBorder="1" applyAlignment="1">
      <alignment horizontal="right" vertical="center" wrapText="1" readingOrder="1"/>
    </xf>
    <xf numFmtId="44" fontId="38" fillId="0" borderId="73" xfId="1" applyFont="1" applyBorder="1" applyAlignment="1">
      <alignment horizontal="right" vertical="center" wrapText="1" readingOrder="1"/>
    </xf>
    <xf numFmtId="9" fontId="23" fillId="0" borderId="36" xfId="0" applyNumberFormat="1" applyFont="1" applyBorder="1" applyAlignment="1">
      <alignment horizontal="center" vertical="center" wrapText="1" readingOrder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39" fillId="2" borderId="0" xfId="0" applyFont="1" applyFill="1"/>
    <xf numFmtId="17" fontId="0" fillId="0" borderId="4" xfId="0" applyNumberFormat="1" applyBorder="1" applyAlignment="1">
      <alignment horizontal="left" vertical="center"/>
    </xf>
    <xf numFmtId="44" fontId="1" fillId="0" borderId="5" xfId="1" applyFont="1" applyBorder="1" applyAlignment="1">
      <alignment horizontal="left" vertical="center"/>
    </xf>
    <xf numFmtId="171" fontId="0" fillId="0" borderId="5" xfId="0" applyNumberFormat="1" applyBorder="1" applyAlignment="1">
      <alignment horizontal="left" vertical="center"/>
    </xf>
    <xf numFmtId="171" fontId="0" fillId="0" borderId="5" xfId="0" applyNumberFormat="1" applyBorder="1" applyAlignment="1">
      <alignment horizontal="left" vertical="center" indent="1"/>
    </xf>
    <xf numFmtId="171" fontId="40" fillId="0" borderId="5" xfId="0" applyNumberFormat="1" applyFont="1" applyBorder="1" applyAlignment="1">
      <alignment horizontal="left" vertical="center" indent="1"/>
    </xf>
    <xf numFmtId="171" fontId="0" fillId="0" borderId="6" xfId="0" applyNumberFormat="1" applyBorder="1" applyAlignment="1">
      <alignment horizontal="left" vertical="center" indent="1"/>
    </xf>
    <xf numFmtId="17" fontId="0" fillId="0" borderId="7" xfId="0" applyNumberFormat="1" applyBorder="1" applyAlignment="1">
      <alignment horizontal="left" vertical="center"/>
    </xf>
    <xf numFmtId="171" fontId="0" fillId="0" borderId="8" xfId="0" applyNumberFormat="1" applyBorder="1" applyAlignment="1">
      <alignment horizontal="left" vertical="center" indent="1"/>
    </xf>
    <xf numFmtId="171" fontId="40" fillId="0" borderId="8" xfId="0" applyNumberFormat="1" applyFont="1" applyBorder="1" applyAlignment="1">
      <alignment horizontal="left" vertical="center" indent="1"/>
    </xf>
    <xf numFmtId="171" fontId="0" fillId="2" borderId="8" xfId="0" applyNumberFormat="1" applyFill="1" applyBorder="1" applyAlignment="1">
      <alignment horizontal="left" vertical="center" indent="1"/>
    </xf>
    <xf numFmtId="171" fontId="0" fillId="2" borderId="9" xfId="0" applyNumberFormat="1" applyFill="1" applyBorder="1" applyAlignment="1">
      <alignment horizontal="left" vertical="center" indent="1"/>
    </xf>
    <xf numFmtId="44" fontId="1" fillId="0" borderId="8" xfId="1" applyFont="1" applyBorder="1" applyAlignment="1">
      <alignment horizontal="left" vertical="center"/>
    </xf>
    <xf numFmtId="10" fontId="7" fillId="0" borderId="6" xfId="2" applyNumberFormat="1" applyFont="1" applyBorder="1" applyAlignment="1">
      <alignment vertical="center"/>
    </xf>
    <xf numFmtId="0" fontId="0" fillId="0" borderId="0" xfId="0" quotePrefix="1"/>
    <xf numFmtId="6" fontId="0" fillId="0" borderId="3" xfId="0" applyNumberFormat="1" applyBorder="1"/>
    <xf numFmtId="0" fontId="2" fillId="0" borderId="8" xfId="0" quotePrefix="1" applyFont="1" applyBorder="1"/>
    <xf numFmtId="8" fontId="2" fillId="0" borderId="9" xfId="0" applyNumberFormat="1" applyFont="1" applyBorder="1"/>
    <xf numFmtId="8" fontId="19" fillId="7" borderId="36" xfId="1" applyNumberFormat="1" applyFont="1" applyFill="1" applyBorder="1" applyAlignment="1">
      <alignment horizontal="right" vertical="center" wrapText="1" readingOrder="1"/>
    </xf>
    <xf numFmtId="173" fontId="7" fillId="0" borderId="36" xfId="3" applyNumberFormat="1" applyFont="1" applyBorder="1" applyAlignment="1">
      <alignment vertical="center"/>
    </xf>
    <xf numFmtId="0" fontId="0" fillId="2" borderId="97" xfId="0" applyFill="1" applyBorder="1" applyAlignment="1">
      <alignment horizontal="center"/>
    </xf>
    <xf numFmtId="0" fontId="0" fillId="2" borderId="98" xfId="0" applyFill="1" applyBorder="1" applyAlignment="1">
      <alignment horizontal="center"/>
    </xf>
    <xf numFmtId="0" fontId="0" fillId="2" borderId="99" xfId="0" applyFill="1" applyBorder="1" applyAlignment="1">
      <alignment horizontal="center"/>
    </xf>
    <xf numFmtId="175" fontId="0" fillId="0" borderId="0" xfId="0" applyNumberFormat="1"/>
    <xf numFmtId="0" fontId="3" fillId="2" borderId="0" xfId="0" applyFont="1" applyFill="1" applyAlignment="1">
      <alignment vertical="center"/>
    </xf>
    <xf numFmtId="44" fontId="12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43" fontId="0" fillId="0" borderId="8" xfId="3" applyFont="1" applyBorder="1" applyAlignment="1">
      <alignment vertical="center"/>
    </xf>
    <xf numFmtId="43" fontId="0" fillId="0" borderId="9" xfId="3" applyFont="1" applyBorder="1" applyAlignment="1">
      <alignment vertical="center"/>
    </xf>
    <xf numFmtId="44" fontId="0" fillId="0" borderId="0" xfId="0" applyNumberFormat="1" applyAlignment="1">
      <alignment vertical="center"/>
    </xf>
    <xf numFmtId="43" fontId="0" fillId="0" borderId="21" xfId="3" applyFont="1" applyBorder="1" applyAlignment="1">
      <alignment horizontal="center" vertical="center"/>
    </xf>
    <xf numFmtId="44" fontId="0" fillId="0" borderId="0" xfId="1" applyFont="1" applyBorder="1" applyAlignment="1">
      <alignment vertical="center"/>
    </xf>
    <xf numFmtId="11" fontId="0" fillId="0" borderId="0" xfId="0" applyNumberFormat="1" applyAlignment="1">
      <alignment horizontal="center" vertical="center"/>
    </xf>
    <xf numFmtId="0" fontId="6" fillId="2" borderId="0" xfId="0" applyFont="1" applyFill="1" applyAlignment="1">
      <alignment vertical="center"/>
    </xf>
    <xf numFmtId="10" fontId="7" fillId="0" borderId="36" xfId="2" applyNumberFormat="1" applyFont="1" applyBorder="1" applyAlignment="1">
      <alignment vertical="center"/>
    </xf>
    <xf numFmtId="0" fontId="13" fillId="0" borderId="88" xfId="0" applyFont="1" applyBorder="1" applyAlignment="1">
      <alignment horizontal="left" vertical="center" wrapText="1" readingOrder="1"/>
    </xf>
    <xf numFmtId="0" fontId="23" fillId="0" borderId="33" xfId="0" applyFont="1" applyBorder="1" applyAlignment="1">
      <alignment horizontal="right" vertical="center" wrapText="1" readingOrder="1"/>
    </xf>
    <xf numFmtId="44" fontId="23" fillId="0" borderId="33" xfId="0" quotePrefix="1" applyNumberFormat="1" applyFont="1" applyBorder="1" applyAlignment="1">
      <alignment horizontal="left" vertical="center" wrapText="1" readingOrder="1"/>
    </xf>
    <xf numFmtId="44" fontId="23" fillId="2" borderId="100" xfId="1" applyFont="1" applyFill="1" applyBorder="1" applyAlignment="1">
      <alignment horizontal="left" vertical="center" wrapText="1" readingOrder="1"/>
    </xf>
    <xf numFmtId="0" fontId="12" fillId="0" borderId="36" xfId="0" applyFont="1" applyBorder="1" applyAlignment="1">
      <alignment vertical="center"/>
    </xf>
    <xf numFmtId="0" fontId="12" fillId="0" borderId="72" xfId="0" applyFont="1" applyBorder="1" applyAlignment="1">
      <alignment vertical="center"/>
    </xf>
    <xf numFmtId="44" fontId="12" fillId="0" borderId="76" xfId="0" applyNumberFormat="1" applyFont="1" applyBorder="1" applyAlignment="1">
      <alignment vertical="center"/>
    </xf>
    <xf numFmtId="10" fontId="7" fillId="0" borderId="76" xfId="0" applyNumberFormat="1" applyFont="1" applyBorder="1" applyAlignment="1">
      <alignment vertical="center"/>
    </xf>
    <xf numFmtId="44" fontId="12" fillId="0" borderId="73" xfId="1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44" fontId="7" fillId="0" borderId="66" xfId="0" applyNumberFormat="1" applyFont="1" applyBorder="1" applyAlignment="1">
      <alignment vertical="center"/>
    </xf>
    <xf numFmtId="43" fontId="7" fillId="0" borderId="36" xfId="0" applyNumberFormat="1" applyFont="1" applyBorder="1" applyAlignment="1">
      <alignment vertical="center"/>
    </xf>
    <xf numFmtId="44" fontId="7" fillId="0" borderId="72" xfId="0" applyNumberFormat="1" applyFont="1" applyBorder="1" applyAlignment="1">
      <alignment vertical="center"/>
    </xf>
    <xf numFmtId="43" fontId="7" fillId="0" borderId="76" xfId="0" applyNumberFormat="1" applyFont="1" applyBorder="1" applyAlignment="1">
      <alignment vertical="center"/>
    </xf>
    <xf numFmtId="44" fontId="7" fillId="0" borderId="73" xfId="1" applyFont="1" applyBorder="1" applyAlignment="1">
      <alignment vertical="center"/>
    </xf>
    <xf numFmtId="44" fontId="14" fillId="2" borderId="0" xfId="0" applyNumberFormat="1" applyFont="1" applyFill="1" applyAlignment="1">
      <alignment vertical="center"/>
    </xf>
    <xf numFmtId="0" fontId="18" fillId="7" borderId="101" xfId="0" applyFont="1" applyFill="1" applyBorder="1" applyAlignment="1">
      <alignment horizontal="left" vertical="center" wrapText="1" readingOrder="1"/>
    </xf>
    <xf numFmtId="0" fontId="7" fillId="0" borderId="102" xfId="0" applyFont="1" applyBorder="1" applyAlignment="1">
      <alignment vertical="center"/>
    </xf>
    <xf numFmtId="0" fontId="7" fillId="0" borderId="103" xfId="0" applyFont="1" applyBorder="1" applyAlignment="1">
      <alignment vertical="center"/>
    </xf>
    <xf numFmtId="44" fontId="7" fillId="2" borderId="0" xfId="1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22" fillId="2" borderId="4" xfId="0" applyFont="1" applyFill="1" applyBorder="1" applyAlignment="1">
      <alignment vertical="center"/>
    </xf>
    <xf numFmtId="44" fontId="22" fillId="2" borderId="6" xfId="0" applyNumberFormat="1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2" fillId="2" borderId="93" xfId="0" applyFont="1" applyFill="1" applyBorder="1" applyAlignment="1">
      <alignment horizontal="left" vertical="center" wrapText="1" readingOrder="1"/>
    </xf>
    <xf numFmtId="0" fontId="22" fillId="2" borderId="94" xfId="0" applyFont="1" applyFill="1" applyBorder="1" applyAlignment="1">
      <alignment horizontal="left" vertical="center" wrapText="1" readingOrder="1"/>
    </xf>
    <xf numFmtId="0" fontId="22" fillId="2" borderId="86" xfId="0" applyFont="1" applyFill="1" applyBorder="1" applyAlignment="1">
      <alignment horizontal="left" vertical="center" wrapText="1" readingOrder="1"/>
    </xf>
    <xf numFmtId="0" fontId="22" fillId="2" borderId="77" xfId="0" applyFont="1" applyFill="1" applyBorder="1" applyAlignment="1">
      <alignment horizontal="left" vertical="center" wrapText="1" readingOrder="1"/>
    </xf>
    <xf numFmtId="0" fontId="22" fillId="2" borderId="78" xfId="0" applyFont="1" applyFill="1" applyBorder="1" applyAlignment="1">
      <alignment horizontal="left" vertical="center" wrapText="1" readingOrder="1"/>
    </xf>
    <xf numFmtId="0" fontId="22" fillId="2" borderId="79" xfId="0" applyFont="1" applyFill="1" applyBorder="1" applyAlignment="1">
      <alignment horizontal="left" vertical="center" wrapText="1" readingOrder="1"/>
    </xf>
    <xf numFmtId="0" fontId="29" fillId="0" borderId="0" xfId="0" applyFont="1" applyAlignment="1">
      <alignment horizontal="center" vertical="center"/>
    </xf>
    <xf numFmtId="14" fontId="11" fillId="5" borderId="20" xfId="4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vertical="center"/>
    </xf>
    <xf numFmtId="0" fontId="30" fillId="0" borderId="0" xfId="0" applyFont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vertical="center"/>
    </xf>
    <xf numFmtId="0" fontId="25" fillId="2" borderId="67" xfId="0" applyFont="1" applyFill="1" applyBorder="1" applyAlignment="1">
      <alignment horizontal="left" vertical="center" wrapText="1" readingOrder="1"/>
    </xf>
    <xf numFmtId="0" fontId="0" fillId="0" borderId="0" xfId="0" applyAlignment="1">
      <alignment vertical="center"/>
    </xf>
    <xf numFmtId="44" fontId="26" fillId="7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22" fillId="2" borderId="68" xfId="0" applyFont="1" applyFill="1" applyBorder="1" applyAlignment="1">
      <alignment horizontal="left" vertical="center" wrapText="1" readingOrder="1"/>
    </xf>
    <xf numFmtId="0" fontId="22" fillId="2" borderId="70" xfId="0" applyFont="1" applyFill="1" applyBorder="1" applyAlignment="1">
      <alignment horizontal="left" vertical="center" wrapText="1" readingOrder="1"/>
    </xf>
    <xf numFmtId="0" fontId="22" fillId="2" borderId="69" xfId="0" applyFont="1" applyFill="1" applyBorder="1" applyAlignment="1">
      <alignment horizontal="left" vertical="center" wrapText="1" readingOrder="1"/>
    </xf>
    <xf numFmtId="0" fontId="14" fillId="0" borderId="93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37" fillId="0" borderId="69" xfId="0" applyFont="1" applyBorder="1" applyAlignment="1">
      <alignment horizontal="center" vertical="center" wrapText="1"/>
    </xf>
    <xf numFmtId="0" fontId="37" fillId="0" borderId="71" xfId="0" applyFont="1" applyBorder="1" applyAlignment="1">
      <alignment horizontal="center" vertical="center" wrapText="1"/>
    </xf>
    <xf numFmtId="0" fontId="37" fillId="0" borderId="73" xfId="0" applyFont="1" applyBorder="1" applyAlignment="1">
      <alignment horizontal="center" vertical="center" wrapText="1"/>
    </xf>
    <xf numFmtId="0" fontId="37" fillId="0" borderId="95" xfId="0" applyFont="1" applyBorder="1" applyAlignment="1">
      <alignment horizontal="center" vertical="center" wrapText="1"/>
    </xf>
    <xf numFmtId="0" fontId="37" fillId="0" borderId="96" xfId="0" applyFont="1" applyBorder="1" applyAlignment="1">
      <alignment horizontal="center" vertical="center" wrapText="1"/>
    </xf>
    <xf numFmtId="0" fontId="0" fillId="0" borderId="96" xfId="0" applyBorder="1" applyAlignment="1">
      <alignment vertical="center"/>
    </xf>
    <xf numFmtId="0" fontId="0" fillId="0" borderId="90" xfId="0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5">
    <cellStyle name="Milliers" xfId="3" builtinId="3"/>
    <cellStyle name="Monétaire" xfId="1" builtinId="4"/>
    <cellStyle name="Normal" xfId="0" builtinId="0"/>
    <cellStyle name="Normal_Fiche de paie TEPA plus 20 salariés" xfId="4" xr:uid="{0E76391E-D5DF-4C29-9E01-5E54F37F57E1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16</xdr:row>
      <xdr:rowOff>0</xdr:rowOff>
    </xdr:from>
    <xdr:to>
      <xdr:col>16</xdr:col>
      <xdr:colOff>371475</xdr:colOff>
      <xdr:row>17</xdr:row>
      <xdr:rowOff>85725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FA5A228B-8770-4A3D-85F4-42CA8437A2B0}"/>
            </a:ext>
          </a:extLst>
        </xdr:cNvPr>
        <xdr:cNvSpPr txBox="1"/>
      </xdr:nvSpPr>
      <xdr:spPr>
        <a:xfrm>
          <a:off x="11010900" y="3514725"/>
          <a:ext cx="3790950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2,5 SMIC</a:t>
          </a:r>
        </a:p>
      </xdr:txBody>
    </xdr:sp>
    <xdr:clientData/>
  </xdr:twoCellAnchor>
  <xdr:twoCellAnchor>
    <xdr:from>
      <xdr:col>13</xdr:col>
      <xdr:colOff>152400</xdr:colOff>
      <xdr:row>27</xdr:row>
      <xdr:rowOff>0</xdr:rowOff>
    </xdr:from>
    <xdr:to>
      <xdr:col>18</xdr:col>
      <xdr:colOff>133350</xdr:colOff>
      <xdr:row>28</xdr:row>
      <xdr:rowOff>123825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E1C45FF7-E1E5-4FE6-896A-7852B89C42A8}"/>
            </a:ext>
          </a:extLst>
        </xdr:cNvPr>
        <xdr:cNvSpPr txBox="1"/>
      </xdr:nvSpPr>
      <xdr:spPr>
        <a:xfrm>
          <a:off x="12296775" y="6096000"/>
          <a:ext cx="379095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3,5 SMIC</a:t>
          </a:r>
        </a:p>
      </xdr:txBody>
    </xdr:sp>
    <xdr:clientData/>
  </xdr:twoCellAnchor>
  <xdr:twoCellAnchor>
    <xdr:from>
      <xdr:col>9</xdr:col>
      <xdr:colOff>647700</xdr:colOff>
      <xdr:row>34</xdr:row>
      <xdr:rowOff>0</xdr:rowOff>
    </xdr:from>
    <xdr:to>
      <xdr:col>14</xdr:col>
      <xdr:colOff>428625</xdr:colOff>
      <xdr:row>34</xdr:row>
      <xdr:rowOff>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DB3BD739-6D17-40E0-BE38-EAF62E4538CE}"/>
            </a:ext>
          </a:extLst>
        </xdr:cNvPr>
        <xdr:cNvSpPr txBox="1"/>
      </xdr:nvSpPr>
      <xdr:spPr>
        <a:xfrm>
          <a:off x="9505950" y="8334375"/>
          <a:ext cx="38290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15</xdr:row>
      <xdr:rowOff>0</xdr:rowOff>
    </xdr:from>
    <xdr:to>
      <xdr:col>18</xdr:col>
      <xdr:colOff>133350</xdr:colOff>
      <xdr:row>16</xdr:row>
      <xdr:rowOff>123825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793D3A23-28CD-4F7B-9A91-9F59C43E46C1}"/>
            </a:ext>
          </a:extLst>
        </xdr:cNvPr>
        <xdr:cNvSpPr txBox="1"/>
      </xdr:nvSpPr>
      <xdr:spPr>
        <a:xfrm>
          <a:off x="12296775" y="3324225"/>
          <a:ext cx="379095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3,5 SMIC</a:t>
          </a:r>
        </a:p>
      </xdr:txBody>
    </xdr:sp>
    <xdr:clientData/>
  </xdr:twoCellAnchor>
  <xdr:twoCellAnchor>
    <xdr:from>
      <xdr:col>9</xdr:col>
      <xdr:colOff>647700</xdr:colOff>
      <xdr:row>22</xdr:row>
      <xdr:rowOff>0</xdr:rowOff>
    </xdr:from>
    <xdr:to>
      <xdr:col>14</xdr:col>
      <xdr:colOff>428625</xdr:colOff>
      <xdr:row>22</xdr:row>
      <xdr:rowOff>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A39C365F-7390-4CC8-ACC2-F3CEDCC1F6E1}"/>
            </a:ext>
          </a:extLst>
        </xdr:cNvPr>
        <xdr:cNvSpPr txBox="1"/>
      </xdr:nvSpPr>
      <xdr:spPr>
        <a:xfrm>
          <a:off x="9505950" y="5048250"/>
          <a:ext cx="38290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647700</xdr:colOff>
      <xdr:row>22</xdr:row>
      <xdr:rowOff>0</xdr:rowOff>
    </xdr:from>
    <xdr:to>
      <xdr:col>14</xdr:col>
      <xdr:colOff>428625</xdr:colOff>
      <xdr:row>22</xdr:row>
      <xdr:rowOff>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7A067D64-C793-4E7C-BCB8-A81F7B627ECB}"/>
            </a:ext>
          </a:extLst>
        </xdr:cNvPr>
        <xdr:cNvSpPr txBox="1"/>
      </xdr:nvSpPr>
      <xdr:spPr>
        <a:xfrm>
          <a:off x="9505950" y="5695950"/>
          <a:ext cx="38290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  <xdr:twoCellAnchor>
    <xdr:from>
      <xdr:col>9</xdr:col>
      <xdr:colOff>647700</xdr:colOff>
      <xdr:row>34</xdr:row>
      <xdr:rowOff>0</xdr:rowOff>
    </xdr:from>
    <xdr:to>
      <xdr:col>14</xdr:col>
      <xdr:colOff>428625</xdr:colOff>
      <xdr:row>34</xdr:row>
      <xdr:rowOff>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F42A13BE-F6D6-4B71-B676-E7500D4E2A99}"/>
            </a:ext>
          </a:extLst>
        </xdr:cNvPr>
        <xdr:cNvSpPr txBox="1"/>
      </xdr:nvSpPr>
      <xdr:spPr>
        <a:xfrm>
          <a:off x="9505950" y="8343900"/>
          <a:ext cx="38290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16</xdr:row>
      <xdr:rowOff>0</xdr:rowOff>
    </xdr:from>
    <xdr:to>
      <xdr:col>18</xdr:col>
      <xdr:colOff>133350</xdr:colOff>
      <xdr:row>17</xdr:row>
      <xdr:rowOff>123825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B6A1042-8789-41F2-8707-9C4E1035D3C1}"/>
            </a:ext>
          </a:extLst>
        </xdr:cNvPr>
        <xdr:cNvSpPr txBox="1"/>
      </xdr:nvSpPr>
      <xdr:spPr>
        <a:xfrm>
          <a:off x="12296775" y="6115050"/>
          <a:ext cx="37909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3,5 SMIC</a:t>
          </a:r>
        </a:p>
      </xdr:txBody>
    </xdr:sp>
    <xdr:clientData/>
  </xdr:twoCellAnchor>
  <xdr:twoCellAnchor>
    <xdr:from>
      <xdr:col>9</xdr:col>
      <xdr:colOff>647700</xdr:colOff>
      <xdr:row>23</xdr:row>
      <xdr:rowOff>0</xdr:rowOff>
    </xdr:from>
    <xdr:to>
      <xdr:col>14</xdr:col>
      <xdr:colOff>428625</xdr:colOff>
      <xdr:row>23</xdr:row>
      <xdr:rowOff>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681B6AAA-409C-4710-A432-36D28EFF7F12}"/>
            </a:ext>
          </a:extLst>
        </xdr:cNvPr>
        <xdr:cNvSpPr txBox="1"/>
      </xdr:nvSpPr>
      <xdr:spPr>
        <a:xfrm>
          <a:off x="9505950" y="8343900"/>
          <a:ext cx="38290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89584-CC7C-41CA-B200-E7D20656A43A}">
  <dimension ref="A2:K54"/>
  <sheetViews>
    <sheetView workbookViewId="0">
      <selection activeCell="E19" sqref="E19"/>
    </sheetView>
  </sheetViews>
  <sheetFormatPr baseColWidth="10" defaultRowHeight="15" x14ac:dyDescent="0.25"/>
  <cols>
    <col min="1" max="1" width="21.42578125" style="229" customWidth="1"/>
    <col min="2" max="2" width="13" style="229" bestFit="1" customWidth="1"/>
    <col min="3" max="3" width="12.7109375" style="229" bestFit="1" customWidth="1"/>
    <col min="4" max="5" width="16.85546875" style="229" bestFit="1" customWidth="1"/>
    <col min="6" max="6" width="12.42578125" style="229" bestFit="1" customWidth="1"/>
    <col min="7" max="7" width="12.85546875" style="229" customWidth="1"/>
    <col min="8" max="8" width="13" style="229" bestFit="1" customWidth="1"/>
    <col min="9" max="9" width="13.7109375" style="229" customWidth="1"/>
    <col min="10" max="10" width="14.42578125" style="229" customWidth="1"/>
    <col min="11" max="11" width="11.85546875" style="229" bestFit="1" customWidth="1"/>
    <col min="12" max="12" width="11.5703125" style="229" bestFit="1" customWidth="1"/>
    <col min="13" max="16384" width="11.42578125" style="229"/>
  </cols>
  <sheetData>
    <row r="2" spans="1:10" ht="23.25" x14ac:dyDescent="0.25">
      <c r="A2" s="282" t="s">
        <v>182</v>
      </c>
      <c r="B2" s="283"/>
      <c r="C2" s="283"/>
      <c r="D2" s="283"/>
      <c r="E2" s="283"/>
      <c r="F2" s="283"/>
      <c r="G2" s="283"/>
      <c r="H2" s="283"/>
    </row>
    <row r="4" spans="1:10" ht="18.75" x14ac:dyDescent="0.25">
      <c r="A4" s="284" t="s">
        <v>183</v>
      </c>
      <c r="D4" s="285">
        <f>'REGUL LAMBERT'!D38</f>
        <v>3666</v>
      </c>
      <c r="F4" s="301" t="s">
        <v>215</v>
      </c>
      <c r="H4" s="314" t="s">
        <v>216</v>
      </c>
      <c r="I4" s="301">
        <v>21</v>
      </c>
    </row>
    <row r="5" spans="1:10" ht="15.75" thickBot="1" x14ac:dyDescent="0.3"/>
    <row r="6" spans="1:10" ht="30" x14ac:dyDescent="0.25">
      <c r="A6" s="286" t="s">
        <v>158</v>
      </c>
      <c r="B6" s="230" t="s">
        <v>135</v>
      </c>
      <c r="C6" s="230" t="s">
        <v>184</v>
      </c>
      <c r="D6" s="230" t="s">
        <v>185</v>
      </c>
      <c r="E6" s="232" t="s">
        <v>186</v>
      </c>
      <c r="F6" s="232" t="s">
        <v>187</v>
      </c>
      <c r="G6" s="232" t="s">
        <v>188</v>
      </c>
      <c r="H6" s="233" t="s">
        <v>189</v>
      </c>
    </row>
    <row r="7" spans="1:10" x14ac:dyDescent="0.25">
      <c r="A7" s="287" t="s">
        <v>190</v>
      </c>
      <c r="B7" s="288">
        <v>6000</v>
      </c>
      <c r="C7" s="289">
        <f>B7</f>
        <v>6000</v>
      </c>
      <c r="D7" s="289">
        <f>$D$4</f>
        <v>3666</v>
      </c>
      <c r="E7" s="289">
        <f>D7</f>
        <v>3666</v>
      </c>
      <c r="F7" s="289">
        <f>MIN(C7,E7)</f>
        <v>3666</v>
      </c>
      <c r="G7" s="289">
        <f>F7</f>
        <v>3666</v>
      </c>
      <c r="H7" s="340">
        <f t="shared" ref="H7" si="0">B7-G7</f>
        <v>2334</v>
      </c>
    </row>
    <row r="8" spans="1:10" x14ac:dyDescent="0.25">
      <c r="A8" s="287" t="s">
        <v>191</v>
      </c>
      <c r="B8" s="288">
        <v>6000</v>
      </c>
      <c r="C8" s="289">
        <f>C7+B8</f>
        <v>12000</v>
      </c>
      <c r="D8" s="289">
        <f t="shared" ref="D8:D11" si="1">$D$4</f>
        <v>3666</v>
      </c>
      <c r="E8" s="289">
        <f>E7+D8</f>
        <v>7332</v>
      </c>
      <c r="F8" s="341">
        <f t="shared" ref="F8:F11" si="2">MIN(C8,E8)</f>
        <v>7332</v>
      </c>
      <c r="G8" s="289">
        <f>F8-F7</f>
        <v>3666</v>
      </c>
      <c r="H8" s="340">
        <f>B8-G8</f>
        <v>2334</v>
      </c>
    </row>
    <row r="9" spans="1:10" x14ac:dyDescent="0.25">
      <c r="A9" s="287" t="s">
        <v>192</v>
      </c>
      <c r="B9" s="288">
        <v>6000</v>
      </c>
      <c r="C9" s="289">
        <f t="shared" ref="C9:C11" si="3">C8+B9</f>
        <v>18000</v>
      </c>
      <c r="D9" s="289">
        <f t="shared" si="1"/>
        <v>3666</v>
      </c>
      <c r="E9" s="289">
        <f t="shared" ref="E9:E11" si="4">E8+D9</f>
        <v>10998</v>
      </c>
      <c r="F9" s="341">
        <f t="shared" si="2"/>
        <v>10998</v>
      </c>
      <c r="G9" s="289">
        <f t="shared" ref="G9:G11" si="5">F9-F8</f>
        <v>3666</v>
      </c>
      <c r="H9" s="340">
        <f t="shared" ref="H9:H11" si="6">B9-G9</f>
        <v>2334</v>
      </c>
    </row>
    <row r="10" spans="1:10" x14ac:dyDescent="0.25">
      <c r="A10" s="287" t="s">
        <v>193</v>
      </c>
      <c r="B10" s="288">
        <v>6000</v>
      </c>
      <c r="C10" s="289">
        <f t="shared" si="3"/>
        <v>24000</v>
      </c>
      <c r="D10" s="289">
        <f t="shared" si="1"/>
        <v>3666</v>
      </c>
      <c r="E10" s="289">
        <f t="shared" si="4"/>
        <v>14664</v>
      </c>
      <c r="F10" s="341">
        <f t="shared" si="2"/>
        <v>14664</v>
      </c>
      <c r="G10" s="289">
        <f t="shared" si="5"/>
        <v>3666</v>
      </c>
      <c r="H10" s="340">
        <f t="shared" si="6"/>
        <v>2334</v>
      </c>
    </row>
    <row r="11" spans="1:10" ht="15.75" thickBot="1" x14ac:dyDescent="0.3">
      <c r="A11" s="333" t="s">
        <v>194</v>
      </c>
      <c r="B11" s="343">
        <v>12000</v>
      </c>
      <c r="C11" s="335">
        <f t="shared" si="3"/>
        <v>36000</v>
      </c>
      <c r="D11" s="289">
        <f t="shared" si="1"/>
        <v>3666</v>
      </c>
      <c r="E11" s="335">
        <f t="shared" si="4"/>
        <v>18330</v>
      </c>
      <c r="F11" s="344">
        <f t="shared" si="2"/>
        <v>18330</v>
      </c>
      <c r="G11" s="345">
        <f t="shared" si="5"/>
        <v>3666</v>
      </c>
      <c r="H11" s="345">
        <f t="shared" si="6"/>
        <v>8334</v>
      </c>
    </row>
    <row r="12" spans="1:10" x14ac:dyDescent="0.25">
      <c r="A12" s="324"/>
      <c r="B12" s="325"/>
      <c r="C12" s="326"/>
      <c r="D12" s="326"/>
    </row>
    <row r="14" spans="1:10" ht="23.25" x14ac:dyDescent="0.25">
      <c r="A14" s="290" t="s">
        <v>195</v>
      </c>
      <c r="B14" s="283"/>
      <c r="C14" s="283"/>
      <c r="D14" s="283"/>
      <c r="E14" s="283"/>
      <c r="F14" s="283"/>
      <c r="G14" s="283"/>
      <c r="H14" s="283"/>
      <c r="I14" s="229" t="s">
        <v>260</v>
      </c>
      <c r="J14" s="396">
        <f>ROUND(10.85*151.6667,2)</f>
        <v>1645.58</v>
      </c>
    </row>
    <row r="16" spans="1:10" ht="15.75" thickBot="1" x14ac:dyDescent="0.3"/>
    <row r="17" spans="1:11" ht="45" x14ac:dyDescent="0.25">
      <c r="A17" s="291"/>
      <c r="B17" s="292" t="s">
        <v>135</v>
      </c>
      <c r="C17" s="292" t="s">
        <v>184</v>
      </c>
      <c r="D17" s="293" t="s">
        <v>196</v>
      </c>
      <c r="E17" s="293" t="s">
        <v>161</v>
      </c>
      <c r="F17" s="293" t="s">
        <v>197</v>
      </c>
      <c r="G17" s="293" t="s">
        <v>198</v>
      </c>
      <c r="H17" s="232" t="s">
        <v>199</v>
      </c>
      <c r="I17" s="293" t="s">
        <v>200</v>
      </c>
      <c r="J17" s="294" t="s">
        <v>201</v>
      </c>
      <c r="K17" s="295" t="s">
        <v>202</v>
      </c>
    </row>
    <row r="18" spans="1:11" x14ac:dyDescent="0.25">
      <c r="A18" s="287" t="s">
        <v>190</v>
      </c>
      <c r="B18" s="296">
        <f>+B7</f>
        <v>6000</v>
      </c>
      <c r="C18" s="296">
        <f>B18</f>
        <v>6000</v>
      </c>
      <c r="D18" s="297">
        <f>+B18</f>
        <v>6000</v>
      </c>
      <c r="E18" s="397">
        <f>'REGUL SALVI'!D7</f>
        <v>1709.28</v>
      </c>
      <c r="F18" s="296">
        <f t="shared" ref="F18:F22" si="7">2.5*E18</f>
        <v>4273.2</v>
      </c>
      <c r="G18" s="296">
        <f>F18</f>
        <v>4273.2</v>
      </c>
      <c r="H18" s="33" t="str">
        <f t="shared" ref="H18" si="8">IF(C18&gt;G18,"OUI","")</f>
        <v>OUI</v>
      </c>
      <c r="I18" s="299">
        <f>IF(H18="OUI",C18,0)</f>
        <v>6000</v>
      </c>
      <c r="J18" s="297">
        <f>I18</f>
        <v>6000</v>
      </c>
      <c r="K18" s="300">
        <f>(D18*7%)+(J18*6%)</f>
        <v>780</v>
      </c>
    </row>
    <row r="19" spans="1:11" x14ac:dyDescent="0.25">
      <c r="A19" s="287" t="s">
        <v>191</v>
      </c>
      <c r="B19" s="296">
        <f t="shared" ref="B19:B22" si="9">+B8</f>
        <v>6000</v>
      </c>
      <c r="C19" s="296">
        <f>C18+B19</f>
        <v>12000</v>
      </c>
      <c r="D19" s="297">
        <f t="shared" ref="D19:D22" si="10">+B19</f>
        <v>6000</v>
      </c>
      <c r="E19" s="397">
        <f>'REGUL SALVI'!D8</f>
        <v>1709.28</v>
      </c>
      <c r="F19" s="296">
        <f t="shared" si="7"/>
        <v>4273.2</v>
      </c>
      <c r="G19" s="296">
        <f t="shared" ref="G19:G22" si="11">G18+F19</f>
        <v>8546.4</v>
      </c>
      <c r="H19" s="33" t="str">
        <f>IF(C19&gt;G19,"OUI","")</f>
        <v>OUI</v>
      </c>
      <c r="I19" s="299">
        <f>IF(H19="OUI",C19,0)</f>
        <v>12000</v>
      </c>
      <c r="J19" s="297">
        <f>I19-I18</f>
        <v>6000</v>
      </c>
      <c r="K19" s="300">
        <f t="shared" ref="K19:K22" si="12">(D19*7%)+(J19*6%)</f>
        <v>780</v>
      </c>
    </row>
    <row r="20" spans="1:11" x14ac:dyDescent="0.25">
      <c r="A20" s="287" t="s">
        <v>192</v>
      </c>
      <c r="B20" s="296">
        <f t="shared" si="9"/>
        <v>6000</v>
      </c>
      <c r="C20" s="296">
        <f t="shared" ref="C20:C22" si="13">C19+B20</f>
        <v>18000</v>
      </c>
      <c r="D20" s="297">
        <f t="shared" si="10"/>
        <v>6000</v>
      </c>
      <c r="E20" s="397">
        <f>'REGUL SALVI'!D9</f>
        <v>1709.28</v>
      </c>
      <c r="F20" s="296">
        <f t="shared" si="7"/>
        <v>4273.2</v>
      </c>
      <c r="G20" s="296">
        <f t="shared" si="11"/>
        <v>12819.599999999999</v>
      </c>
      <c r="H20" s="33" t="str">
        <f t="shared" ref="H20:H22" si="14">IF(C20&gt;G20,"OUI","")</f>
        <v>OUI</v>
      </c>
      <c r="I20" s="299">
        <f t="shared" ref="I20:I22" si="15">IF(H20="OUI",C20,0)</f>
        <v>18000</v>
      </c>
      <c r="J20" s="297">
        <f t="shared" ref="J20:J22" si="16">I20-I19</f>
        <v>6000</v>
      </c>
      <c r="K20" s="300">
        <f t="shared" si="12"/>
        <v>780</v>
      </c>
    </row>
    <row r="21" spans="1:11" x14ac:dyDescent="0.25">
      <c r="A21" s="287" t="s">
        <v>193</v>
      </c>
      <c r="B21" s="296">
        <f t="shared" si="9"/>
        <v>6000</v>
      </c>
      <c r="C21" s="296">
        <f t="shared" si="13"/>
        <v>24000</v>
      </c>
      <c r="D21" s="297">
        <f t="shared" si="10"/>
        <v>6000</v>
      </c>
      <c r="E21" s="397">
        <f>'REGUL SALVI'!D10</f>
        <v>1709.28</v>
      </c>
      <c r="F21" s="296">
        <f t="shared" si="7"/>
        <v>4273.2</v>
      </c>
      <c r="G21" s="296">
        <f t="shared" si="11"/>
        <v>17092.8</v>
      </c>
      <c r="H21" s="33" t="str">
        <f t="shared" si="14"/>
        <v>OUI</v>
      </c>
      <c r="I21" s="299">
        <f t="shared" si="15"/>
        <v>24000</v>
      </c>
      <c r="J21" s="297">
        <f t="shared" si="16"/>
        <v>6000</v>
      </c>
      <c r="K21" s="300">
        <f t="shared" si="12"/>
        <v>780</v>
      </c>
    </row>
    <row r="22" spans="1:11" x14ac:dyDescent="0.25">
      <c r="A22" s="287" t="s">
        <v>194</v>
      </c>
      <c r="B22" s="296">
        <f t="shared" si="9"/>
        <v>12000</v>
      </c>
      <c r="C22" s="296">
        <f t="shared" si="13"/>
        <v>36000</v>
      </c>
      <c r="D22" s="297">
        <f t="shared" si="10"/>
        <v>12000</v>
      </c>
      <c r="E22" s="397">
        <f>'REGUL SALVI'!D11</f>
        <v>1747.2003839999998</v>
      </c>
      <c r="F22" s="296">
        <f t="shared" si="7"/>
        <v>4368.0009599999994</v>
      </c>
      <c r="G22" s="296">
        <f t="shared" si="11"/>
        <v>21460.80096</v>
      </c>
      <c r="H22" s="33" t="str">
        <f t="shared" si="14"/>
        <v>OUI</v>
      </c>
      <c r="I22" s="299">
        <f t="shared" si="15"/>
        <v>36000</v>
      </c>
      <c r="J22" s="297">
        <f t="shared" si="16"/>
        <v>12000</v>
      </c>
      <c r="K22" s="300">
        <f t="shared" si="12"/>
        <v>1560</v>
      </c>
    </row>
    <row r="23" spans="1:11" x14ac:dyDescent="0.25">
      <c r="A23" s="324"/>
      <c r="B23" s="327"/>
      <c r="C23" s="327"/>
      <c r="D23" s="328"/>
      <c r="E23" s="329"/>
      <c r="F23" s="327"/>
      <c r="G23" s="327"/>
      <c r="H23" s="330"/>
      <c r="I23" s="331"/>
      <c r="J23" s="328"/>
    </row>
    <row r="25" spans="1:11" ht="23.25" x14ac:dyDescent="0.25">
      <c r="A25" s="290" t="s">
        <v>203</v>
      </c>
      <c r="B25" s="283"/>
      <c r="C25" s="283"/>
      <c r="D25" s="283"/>
      <c r="E25" s="283"/>
      <c r="F25" s="283"/>
      <c r="G25" s="283"/>
      <c r="H25" s="283"/>
    </row>
    <row r="27" spans="1:11" ht="15.75" thickBot="1" x14ac:dyDescent="0.3"/>
    <row r="28" spans="1:11" s="301" customFormat="1" ht="45" x14ac:dyDescent="0.25">
      <c r="A28" s="291"/>
      <c r="B28" s="292" t="s">
        <v>135</v>
      </c>
      <c r="C28" s="292" t="s">
        <v>184</v>
      </c>
      <c r="D28" s="293" t="s">
        <v>204</v>
      </c>
      <c r="E28" s="293" t="s">
        <v>161</v>
      </c>
      <c r="F28" s="293" t="s">
        <v>205</v>
      </c>
      <c r="G28" s="293" t="s">
        <v>206</v>
      </c>
      <c r="H28" s="232" t="s">
        <v>207</v>
      </c>
      <c r="I28" s="293" t="s">
        <v>208</v>
      </c>
      <c r="J28" s="294" t="s">
        <v>209</v>
      </c>
      <c r="K28" s="295" t="s">
        <v>202</v>
      </c>
    </row>
    <row r="29" spans="1:11" ht="21.75" customHeight="1" x14ac:dyDescent="0.25">
      <c r="A29" s="287" t="s">
        <v>190</v>
      </c>
      <c r="B29" s="296">
        <f>+B18</f>
        <v>6000</v>
      </c>
      <c r="C29" s="296">
        <f>B29</f>
        <v>6000</v>
      </c>
      <c r="D29" s="297">
        <f>+B29</f>
        <v>6000</v>
      </c>
      <c r="E29" s="298">
        <f>+E18</f>
        <v>1709.28</v>
      </c>
      <c r="F29" s="296">
        <f>3.5*E29</f>
        <v>5982.48</v>
      </c>
      <c r="G29" s="296">
        <f>F29</f>
        <v>5982.48</v>
      </c>
      <c r="H29" s="33" t="str">
        <f>IF(C29&gt;G29,"OUI","")</f>
        <v>OUI</v>
      </c>
      <c r="I29" s="299">
        <f>IF(H29="OUI",C29,0)</f>
        <v>6000</v>
      </c>
      <c r="J29" s="297">
        <f>I29</f>
        <v>6000</v>
      </c>
      <c r="K29" s="300">
        <f>(D29*3.45%)+(J29*1.8%)</f>
        <v>315.00000000000006</v>
      </c>
    </row>
    <row r="30" spans="1:11" ht="21.75" customHeight="1" x14ac:dyDescent="0.25">
      <c r="A30" s="287" t="s">
        <v>191</v>
      </c>
      <c r="B30" s="296">
        <f t="shared" ref="B30:B33" si="17">+B19</f>
        <v>6000</v>
      </c>
      <c r="C30" s="296">
        <f>C29+B30</f>
        <v>12000</v>
      </c>
      <c r="D30" s="297">
        <f t="shared" ref="D30:D33" si="18">B30</f>
        <v>6000</v>
      </c>
      <c r="E30" s="298">
        <f t="shared" ref="E30:E33" si="19">+E19</f>
        <v>1709.28</v>
      </c>
      <c r="F30" s="296">
        <f t="shared" ref="F30:F33" si="20">3.5*E30</f>
        <v>5982.48</v>
      </c>
      <c r="G30" s="296">
        <f t="shared" ref="G30:G33" si="21">G29+F30</f>
        <v>11964.96</v>
      </c>
      <c r="H30" s="33" t="str">
        <f t="shared" ref="H30:H33" si="22">IF(C30&gt;G30,"OUI","")</f>
        <v>OUI</v>
      </c>
      <c r="I30" s="299">
        <f>IF(H30="OUI",C30,0)</f>
        <v>12000</v>
      </c>
      <c r="J30" s="297">
        <f>I30-I29</f>
        <v>6000</v>
      </c>
      <c r="K30" s="300">
        <f t="shared" ref="K30:K33" si="23">(D30*3.45%)+(J30*1.8%)</f>
        <v>315.00000000000006</v>
      </c>
    </row>
    <row r="31" spans="1:11" ht="21.75" customHeight="1" x14ac:dyDescent="0.25">
      <c r="A31" s="287" t="s">
        <v>192</v>
      </c>
      <c r="B31" s="296">
        <f t="shared" si="17"/>
        <v>6000</v>
      </c>
      <c r="C31" s="296">
        <f t="shared" ref="C31:C33" si="24">C30+B31</f>
        <v>18000</v>
      </c>
      <c r="D31" s="297">
        <f t="shared" si="18"/>
        <v>6000</v>
      </c>
      <c r="E31" s="298">
        <f t="shared" si="19"/>
        <v>1709.28</v>
      </c>
      <c r="F31" s="296">
        <f t="shared" si="20"/>
        <v>5982.48</v>
      </c>
      <c r="G31" s="296">
        <f t="shared" si="21"/>
        <v>17947.439999999999</v>
      </c>
      <c r="H31" s="33" t="str">
        <f t="shared" si="22"/>
        <v>OUI</v>
      </c>
      <c r="I31" s="299">
        <f t="shared" ref="I31:I33" si="25">IF(H31="OUI",C31,0)</f>
        <v>18000</v>
      </c>
      <c r="J31" s="297">
        <f t="shared" ref="J31:J33" si="26">I31-I30</f>
        <v>6000</v>
      </c>
      <c r="K31" s="300">
        <f t="shared" si="23"/>
        <v>315.00000000000006</v>
      </c>
    </row>
    <row r="32" spans="1:11" ht="21.75" customHeight="1" x14ac:dyDescent="0.25">
      <c r="A32" s="287" t="s">
        <v>193</v>
      </c>
      <c r="B32" s="296">
        <f t="shared" si="17"/>
        <v>6000</v>
      </c>
      <c r="C32" s="296">
        <f t="shared" si="24"/>
        <v>24000</v>
      </c>
      <c r="D32" s="297">
        <f t="shared" si="18"/>
        <v>6000</v>
      </c>
      <c r="E32" s="298">
        <f t="shared" si="19"/>
        <v>1709.28</v>
      </c>
      <c r="F32" s="296">
        <f t="shared" si="20"/>
        <v>5982.48</v>
      </c>
      <c r="G32" s="296">
        <f t="shared" si="21"/>
        <v>23929.919999999998</v>
      </c>
      <c r="H32" s="33" t="str">
        <f t="shared" si="22"/>
        <v>OUI</v>
      </c>
      <c r="I32" s="299">
        <f t="shared" si="25"/>
        <v>24000</v>
      </c>
      <c r="J32" s="297">
        <f t="shared" si="26"/>
        <v>6000</v>
      </c>
      <c r="K32" s="300">
        <f t="shared" si="23"/>
        <v>315.00000000000006</v>
      </c>
    </row>
    <row r="33" spans="1:11" ht="21.75" customHeight="1" x14ac:dyDescent="0.25">
      <c r="A33" s="287" t="s">
        <v>194</v>
      </c>
      <c r="B33" s="296">
        <f t="shared" si="17"/>
        <v>12000</v>
      </c>
      <c r="C33" s="296">
        <f t="shared" si="24"/>
        <v>36000</v>
      </c>
      <c r="D33" s="297">
        <f t="shared" si="18"/>
        <v>12000</v>
      </c>
      <c r="E33" s="394">
        <f t="shared" si="19"/>
        <v>1747.2003839999998</v>
      </c>
      <c r="F33" s="296">
        <f t="shared" si="20"/>
        <v>6115.2013439999992</v>
      </c>
      <c r="G33" s="296">
        <f t="shared" si="21"/>
        <v>30045.121343999999</v>
      </c>
      <c r="H33" s="33" t="str">
        <f t="shared" si="22"/>
        <v>OUI</v>
      </c>
      <c r="I33" s="299">
        <f t="shared" si="25"/>
        <v>36000</v>
      </c>
      <c r="J33" s="297">
        <f t="shared" si="26"/>
        <v>12000</v>
      </c>
      <c r="K33" s="300">
        <f t="shared" si="23"/>
        <v>630.00000000000011</v>
      </c>
    </row>
    <row r="34" spans="1:11" ht="21.75" customHeight="1" x14ac:dyDescent="0.25">
      <c r="A34" s="324"/>
      <c r="B34" s="327"/>
      <c r="C34" s="327"/>
      <c r="D34" s="328"/>
      <c r="E34" s="332"/>
      <c r="F34" s="327"/>
      <c r="G34" s="327"/>
      <c r="H34" s="330"/>
      <c r="I34" s="331"/>
    </row>
    <row r="35" spans="1:11" ht="21.75" hidden="1" thickBot="1" x14ac:dyDescent="0.3">
      <c r="A35" s="524" t="s">
        <v>210</v>
      </c>
      <c r="B35" s="525"/>
      <c r="C35" s="525"/>
      <c r="D35" s="525"/>
      <c r="E35" s="525"/>
      <c r="F35" s="525"/>
      <c r="G35" s="525"/>
      <c r="H35" s="525"/>
      <c r="I35" s="302"/>
    </row>
    <row r="36" spans="1:11" ht="21" hidden="1" customHeight="1" thickBot="1" x14ac:dyDescent="0.3">
      <c r="A36" s="227" t="s">
        <v>157</v>
      </c>
      <c r="B36" s="303">
        <v>0.31950000000000001</v>
      </c>
    </row>
    <row r="37" spans="1:11" ht="15.75" hidden="1" thickBot="1" x14ac:dyDescent="0.3"/>
    <row r="38" spans="1:11" ht="30" hidden="1" x14ac:dyDescent="0.25">
      <c r="A38" s="3" t="s">
        <v>158</v>
      </c>
      <c r="B38" s="230" t="s">
        <v>159</v>
      </c>
      <c r="C38" s="230" t="s">
        <v>160</v>
      </c>
      <c r="D38" s="293" t="s">
        <v>161</v>
      </c>
      <c r="E38" s="232" t="s">
        <v>162</v>
      </c>
      <c r="F38" s="232" t="s">
        <v>163</v>
      </c>
      <c r="G38" s="232" t="s">
        <v>164</v>
      </c>
      <c r="H38" s="232" t="s">
        <v>165</v>
      </c>
      <c r="I38" s="1" t="s">
        <v>211</v>
      </c>
    </row>
    <row r="39" spans="1:11" ht="21" hidden="1" customHeight="1" x14ac:dyDescent="0.25">
      <c r="A39" s="287" t="s">
        <v>190</v>
      </c>
      <c r="B39" s="304">
        <v>1700</v>
      </c>
      <c r="C39" s="305">
        <f>B39</f>
        <v>1700</v>
      </c>
      <c r="D39" s="298">
        <v>1603.12</v>
      </c>
      <c r="E39" s="304">
        <f>+D39</f>
        <v>1603.12</v>
      </c>
      <c r="F39" s="306">
        <f>ROUND(($B$36/0.6)*((1.6*E39/C39)-1),4)</f>
        <v>0.27089999999999997</v>
      </c>
      <c r="G39" s="305">
        <f>IF(F39&gt;0,F39*C39,0)</f>
        <v>460.53</v>
      </c>
      <c r="H39" s="307">
        <f>G39</f>
        <v>460.53</v>
      </c>
      <c r="I39" s="5" t="str">
        <f>IF(F39&gt;$B$36,"ERREUR","")</f>
        <v/>
      </c>
    </row>
    <row r="40" spans="1:11" ht="21" hidden="1" customHeight="1" x14ac:dyDescent="0.25">
      <c r="A40" s="287" t="s">
        <v>191</v>
      </c>
      <c r="B40" s="304">
        <v>3000</v>
      </c>
      <c r="C40" s="305">
        <f>C39+B40</f>
        <v>4700</v>
      </c>
      <c r="D40" s="308">
        <f>156.67*10.57</f>
        <v>1656.0019</v>
      </c>
      <c r="E40" s="304">
        <f>D40+E39</f>
        <v>3259.1219000000001</v>
      </c>
      <c r="F40" s="306">
        <f>ROUND(($B$36/0.6)*((1.6*E40/C40)-1),4)</f>
        <v>5.8299999999999998E-2</v>
      </c>
      <c r="G40" s="305">
        <f t="shared" ref="G40:G43" si="27">IF(F40&gt;0,F40*C40,0)</f>
        <v>274.01</v>
      </c>
      <c r="H40" s="307">
        <f>G40-G39</f>
        <v>-186.51999999999998</v>
      </c>
      <c r="I40" s="5" t="str">
        <f>IF(F40&gt;$B$36,"ERREUR","")</f>
        <v/>
      </c>
    </row>
    <row r="41" spans="1:11" ht="21" hidden="1" customHeight="1" x14ac:dyDescent="0.25">
      <c r="A41" s="287" t="s">
        <v>192</v>
      </c>
      <c r="B41" s="304"/>
      <c r="C41" s="305">
        <f t="shared" ref="C41:C43" si="28">C40+B41</f>
        <v>4700</v>
      </c>
      <c r="D41" s="298">
        <v>1603.12</v>
      </c>
      <c r="E41" s="304">
        <f t="shared" ref="E41:E43" si="29">D41+E40</f>
        <v>4862.2419</v>
      </c>
      <c r="F41" s="306">
        <f>ROUND(($B$36/0.6)*((1.6*E41/C41)-1),4)</f>
        <v>0.34889999999999999</v>
      </c>
      <c r="G41" s="309">
        <f t="shared" si="27"/>
        <v>1639.83</v>
      </c>
      <c r="H41" s="307">
        <f t="shared" ref="H41:H43" si="30">G41-G40</f>
        <v>1365.82</v>
      </c>
      <c r="I41" s="5" t="str">
        <f>IF(F41&gt;$B$36,"ERREUR","")</f>
        <v>ERREUR</v>
      </c>
    </row>
    <row r="42" spans="1:11" ht="21" hidden="1" customHeight="1" x14ac:dyDescent="0.25">
      <c r="A42" s="287" t="s">
        <v>193</v>
      </c>
      <c r="B42" s="304"/>
      <c r="C42" s="305">
        <f t="shared" si="28"/>
        <v>4700</v>
      </c>
      <c r="D42" s="298">
        <v>1603.12</v>
      </c>
      <c r="E42" s="304">
        <f t="shared" si="29"/>
        <v>6465.3618999999999</v>
      </c>
      <c r="F42" s="306">
        <f>ROUND(($B$36/0.6)*((1.6*E42/C42)-1),4)</f>
        <v>0.63949999999999996</v>
      </c>
      <c r="G42" s="305">
        <f t="shared" si="27"/>
        <v>3005.6499999999996</v>
      </c>
      <c r="H42" s="307">
        <f t="shared" si="30"/>
        <v>1365.8199999999997</v>
      </c>
      <c r="I42" s="5" t="str">
        <f>IF(F42&gt;$B$36,"ERREUR","")</f>
        <v>ERREUR</v>
      </c>
    </row>
    <row r="43" spans="1:11" ht="21" hidden="1" customHeight="1" x14ac:dyDescent="0.25">
      <c r="A43" s="287" t="s">
        <v>194</v>
      </c>
      <c r="B43" s="304"/>
      <c r="C43" s="305">
        <f t="shared" si="28"/>
        <v>4700</v>
      </c>
      <c r="D43" s="298">
        <v>1603.12</v>
      </c>
      <c r="E43" s="304">
        <f t="shared" si="29"/>
        <v>8068.4818999999998</v>
      </c>
      <c r="F43" s="306">
        <f>ROUND(($B$36/0.6)*((1.6*E43/C43)-1),4)</f>
        <v>0.93010000000000004</v>
      </c>
      <c r="G43" s="305">
        <f t="shared" si="27"/>
        <v>4371.47</v>
      </c>
      <c r="H43" s="307">
        <f t="shared" si="30"/>
        <v>1365.8200000000006</v>
      </c>
      <c r="I43" s="5" t="str">
        <f>IF(F43&gt;$B$36,"ERREUR","")</f>
        <v>ERREUR</v>
      </c>
    </row>
    <row r="45" spans="1:11" ht="23.25" x14ac:dyDescent="0.25">
      <c r="A45" s="282" t="s">
        <v>212</v>
      </c>
      <c r="B45" s="283"/>
      <c r="C45" s="283"/>
      <c r="D45" s="283"/>
      <c r="E45" s="283"/>
      <c r="F45" s="283"/>
    </row>
    <row r="47" spans="1:11" ht="18.75" x14ac:dyDescent="0.25">
      <c r="A47" s="284" t="s">
        <v>183</v>
      </c>
      <c r="D47" s="285">
        <v>3666</v>
      </c>
    </row>
    <row r="48" spans="1:11" ht="15.75" thickBot="1" x14ac:dyDescent="0.3"/>
    <row r="49" spans="1:8" ht="30" x14ac:dyDescent="0.25">
      <c r="A49" s="286" t="s">
        <v>158</v>
      </c>
      <c r="B49" s="230" t="s">
        <v>135</v>
      </c>
      <c r="C49" s="230" t="s">
        <v>184</v>
      </c>
      <c r="D49" s="230" t="s">
        <v>185</v>
      </c>
      <c r="E49" s="232" t="s">
        <v>186</v>
      </c>
      <c r="F49" s="230" t="s">
        <v>213</v>
      </c>
      <c r="G49" s="232" t="s">
        <v>214</v>
      </c>
      <c r="H49" s="233" t="s">
        <v>225</v>
      </c>
    </row>
    <row r="50" spans="1:8" ht="26.25" customHeight="1" x14ac:dyDescent="0.25">
      <c r="A50" s="287" t="s">
        <v>190</v>
      </c>
      <c r="B50" s="296">
        <f>+B29</f>
        <v>6000</v>
      </c>
      <c r="C50" s="296">
        <f>B50</f>
        <v>6000</v>
      </c>
      <c r="D50" s="289">
        <f>D7</f>
        <v>3666</v>
      </c>
      <c r="E50" s="310">
        <f>D50</f>
        <v>3666</v>
      </c>
      <c r="F50" s="311" t="str">
        <f>IF(E50&gt;C50,"","OUI")</f>
        <v>OUI</v>
      </c>
      <c r="G50" s="297">
        <f t="shared" ref="G50:G51" si="31">IF(C50&gt;E50,C50,0)</f>
        <v>6000</v>
      </c>
      <c r="H50" s="399">
        <f>G50</f>
        <v>6000</v>
      </c>
    </row>
    <row r="51" spans="1:8" ht="26.25" customHeight="1" x14ac:dyDescent="0.25">
      <c r="A51" s="287" t="s">
        <v>191</v>
      </c>
      <c r="B51" s="296">
        <f t="shared" ref="B51:B54" si="32">+B30</f>
        <v>6000</v>
      </c>
      <c r="C51" s="296">
        <f>C50+B51</f>
        <v>12000</v>
      </c>
      <c r="D51" s="289">
        <f t="shared" ref="D51:D54" si="33">D8</f>
        <v>3666</v>
      </c>
      <c r="E51" s="310">
        <f>E50+D51</f>
        <v>7332</v>
      </c>
      <c r="F51" s="311" t="str">
        <f t="shared" ref="F51" si="34">IF(E51&gt;C51,"","OUI")</f>
        <v>OUI</v>
      </c>
      <c r="G51" s="297">
        <f t="shared" si="31"/>
        <v>12000</v>
      </c>
      <c r="H51" s="399">
        <f>G51-G50</f>
        <v>6000</v>
      </c>
    </row>
    <row r="52" spans="1:8" ht="26.25" customHeight="1" x14ac:dyDescent="0.25">
      <c r="A52" s="287" t="s">
        <v>192</v>
      </c>
      <c r="B52" s="296">
        <f t="shared" si="32"/>
        <v>6000</v>
      </c>
      <c r="C52" s="296">
        <f t="shared" ref="C52:C54" si="35">C51+B52</f>
        <v>18000</v>
      </c>
      <c r="D52" s="289">
        <f t="shared" si="33"/>
        <v>3666</v>
      </c>
      <c r="E52" s="310">
        <f t="shared" ref="E52:E54" si="36">E51+D52</f>
        <v>10998</v>
      </c>
      <c r="F52" s="311" t="str">
        <f t="shared" ref="F52:F54" si="37">IF(E52&gt;C52,"","OUI")</f>
        <v>OUI</v>
      </c>
      <c r="G52" s="297">
        <f t="shared" ref="G52:G54" si="38">IF(C52&gt;E52,C52,0)</f>
        <v>18000</v>
      </c>
      <c r="H52" s="399">
        <f t="shared" ref="H52:H54" si="39">G52-G51</f>
        <v>6000</v>
      </c>
    </row>
    <row r="53" spans="1:8" ht="26.25" customHeight="1" x14ac:dyDescent="0.25">
      <c r="A53" s="287" t="s">
        <v>193</v>
      </c>
      <c r="B53" s="296">
        <f t="shared" si="32"/>
        <v>6000</v>
      </c>
      <c r="C53" s="296">
        <f t="shared" si="35"/>
        <v>24000</v>
      </c>
      <c r="D53" s="289">
        <f t="shared" si="33"/>
        <v>3666</v>
      </c>
      <c r="E53" s="310">
        <f t="shared" si="36"/>
        <v>14664</v>
      </c>
      <c r="F53" s="311" t="str">
        <f t="shared" si="37"/>
        <v>OUI</v>
      </c>
      <c r="G53" s="297">
        <f t="shared" si="38"/>
        <v>24000</v>
      </c>
      <c r="H53" s="399">
        <f t="shared" si="39"/>
        <v>6000</v>
      </c>
    </row>
    <row r="54" spans="1:8" ht="26.25" customHeight="1" thickBot="1" x14ac:dyDescent="0.3">
      <c r="A54" s="333" t="s">
        <v>194</v>
      </c>
      <c r="B54" s="334">
        <f t="shared" si="32"/>
        <v>12000</v>
      </c>
      <c r="C54" s="334">
        <f t="shared" si="35"/>
        <v>36000</v>
      </c>
      <c r="D54" s="289">
        <f t="shared" si="33"/>
        <v>3666</v>
      </c>
      <c r="E54" s="336">
        <f t="shared" si="36"/>
        <v>18330</v>
      </c>
      <c r="F54" s="337" t="str">
        <f t="shared" si="37"/>
        <v>OUI</v>
      </c>
      <c r="G54" s="338">
        <f t="shared" si="38"/>
        <v>36000</v>
      </c>
      <c r="H54" s="400">
        <f t="shared" si="39"/>
        <v>12000</v>
      </c>
    </row>
  </sheetData>
  <mergeCells count="1">
    <mergeCell ref="A35:H35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72D5B-B630-4EA2-8D6D-D7B1B6DC9D51}">
  <dimension ref="A2:K47"/>
  <sheetViews>
    <sheetView workbookViewId="0">
      <selection activeCell="H43" sqref="H43"/>
    </sheetView>
  </sheetViews>
  <sheetFormatPr baseColWidth="10" defaultRowHeight="15" x14ac:dyDescent="0.25"/>
  <cols>
    <col min="1" max="1" width="21.42578125" style="229" customWidth="1"/>
    <col min="2" max="2" width="13" style="229" bestFit="1" customWidth="1"/>
    <col min="3" max="3" width="12.7109375" style="229" bestFit="1" customWidth="1"/>
    <col min="4" max="5" width="16.85546875" style="229" bestFit="1" customWidth="1"/>
    <col min="6" max="6" width="12.42578125" style="229" bestFit="1" customWidth="1"/>
    <col min="7" max="7" width="12.85546875" style="229" customWidth="1"/>
    <col min="8" max="8" width="13" style="229" bestFit="1" customWidth="1"/>
    <col min="9" max="9" width="13.7109375" style="229" customWidth="1"/>
    <col min="10" max="10" width="26.42578125" style="229" bestFit="1" customWidth="1"/>
    <col min="11" max="11" width="11.85546875" style="229" bestFit="1" customWidth="1"/>
    <col min="12" max="12" width="11.5703125" style="229" bestFit="1" customWidth="1"/>
    <col min="13" max="16384" width="11.42578125" style="229"/>
  </cols>
  <sheetData>
    <row r="2" spans="1:11" ht="23.25" x14ac:dyDescent="0.25">
      <c r="A2" s="282" t="s">
        <v>182</v>
      </c>
      <c r="B2" s="283"/>
      <c r="C2" s="283"/>
      <c r="D2" s="283"/>
      <c r="E2" s="283"/>
      <c r="F2" s="283"/>
      <c r="G2" s="283"/>
      <c r="H2" s="283"/>
    </row>
    <row r="4" spans="1:11" ht="18.75" x14ac:dyDescent="0.25">
      <c r="A4" s="284" t="s">
        <v>183</v>
      </c>
      <c r="D4" s="285">
        <v>3666</v>
      </c>
      <c r="F4" s="301" t="s">
        <v>215</v>
      </c>
      <c r="H4" s="314" t="s">
        <v>248</v>
      </c>
      <c r="I4" s="301">
        <v>21</v>
      </c>
    </row>
    <row r="5" spans="1:11" ht="15.75" thickBot="1" x14ac:dyDescent="0.3"/>
    <row r="6" spans="1:11" ht="30" x14ac:dyDescent="0.25">
      <c r="A6" s="286" t="s">
        <v>158</v>
      </c>
      <c r="B6" s="230" t="s">
        <v>135</v>
      </c>
      <c r="C6" s="230" t="s">
        <v>184</v>
      </c>
      <c r="D6" s="230" t="s">
        <v>185</v>
      </c>
      <c r="E6" s="232" t="s">
        <v>186</v>
      </c>
      <c r="F6" s="232" t="s">
        <v>187</v>
      </c>
      <c r="G6" s="232" t="s">
        <v>188</v>
      </c>
      <c r="H6" s="233" t="s">
        <v>189</v>
      </c>
      <c r="J6" s="301"/>
    </row>
    <row r="7" spans="1:11" x14ac:dyDescent="0.25">
      <c r="A7" s="287" t="s">
        <v>190</v>
      </c>
      <c r="B7" s="395">
        <v>3300</v>
      </c>
      <c r="C7" s="369">
        <f>B7</f>
        <v>3300</v>
      </c>
      <c r="D7" s="362">
        <f>D39</f>
        <v>3666</v>
      </c>
      <c r="E7" s="362">
        <f>D7</f>
        <v>3666</v>
      </c>
      <c r="F7" s="362">
        <f>MIN(C7,E7)</f>
        <v>3300</v>
      </c>
      <c r="G7" s="362">
        <f>F7</f>
        <v>3300</v>
      </c>
      <c r="H7" s="363">
        <f t="shared" ref="H7" si="0">B7-G7</f>
        <v>0</v>
      </c>
      <c r="J7"/>
    </row>
    <row r="8" spans="1:11" x14ac:dyDescent="0.25">
      <c r="A8" s="287" t="s">
        <v>191</v>
      </c>
      <c r="B8" s="395">
        <v>3750</v>
      </c>
      <c r="C8" s="362">
        <f>C7+B8</f>
        <v>7050</v>
      </c>
      <c r="D8" s="362">
        <f t="shared" ref="D8:D10" si="1">D40</f>
        <v>3666</v>
      </c>
      <c r="E8" s="362">
        <f>E7+D8</f>
        <v>7332</v>
      </c>
      <c r="F8" s="364">
        <f t="shared" ref="F8:F11" si="2">MIN(C8,E8)</f>
        <v>7050</v>
      </c>
      <c r="G8" s="362">
        <f>F8-F7</f>
        <v>3750</v>
      </c>
      <c r="H8" s="363">
        <f>B8-G8</f>
        <v>0</v>
      </c>
    </row>
    <row r="9" spans="1:11" ht="15.75" thickBot="1" x14ac:dyDescent="0.3">
      <c r="A9" s="287" t="s">
        <v>192</v>
      </c>
      <c r="B9" s="395">
        <v>3550</v>
      </c>
      <c r="C9" s="362">
        <f t="shared" ref="C9:C11" si="3">C8+B9</f>
        <v>10600</v>
      </c>
      <c r="D9" s="362">
        <f t="shared" si="1"/>
        <v>3666</v>
      </c>
      <c r="E9" s="362">
        <f t="shared" ref="E9:E11" si="4">E8+D9</f>
        <v>10998</v>
      </c>
      <c r="F9" s="364">
        <f t="shared" si="2"/>
        <v>10600</v>
      </c>
      <c r="G9" s="362">
        <f t="shared" ref="G9:G11" si="5">F9-F8</f>
        <v>3550</v>
      </c>
      <c r="H9" s="363">
        <f t="shared" ref="H9:H11" si="6">B9-G9</f>
        <v>0</v>
      </c>
    </row>
    <row r="10" spans="1:11" x14ac:dyDescent="0.25">
      <c r="A10" s="287" t="s">
        <v>193</v>
      </c>
      <c r="B10" s="395">
        <v>4700</v>
      </c>
      <c r="C10" s="362">
        <f t="shared" si="3"/>
        <v>15300</v>
      </c>
      <c r="D10" s="362">
        <f t="shared" si="1"/>
        <v>3666</v>
      </c>
      <c r="E10" s="362">
        <f t="shared" si="4"/>
        <v>14664</v>
      </c>
      <c r="F10" s="364">
        <f t="shared" si="2"/>
        <v>14664</v>
      </c>
      <c r="G10" s="362">
        <f t="shared" si="5"/>
        <v>4064</v>
      </c>
      <c r="H10" s="363">
        <f t="shared" si="6"/>
        <v>636</v>
      </c>
      <c r="J10" s="3" t="s">
        <v>12</v>
      </c>
      <c r="K10" s="430">
        <v>31</v>
      </c>
    </row>
    <row r="11" spans="1:11" ht="15.75" thickBot="1" x14ac:dyDescent="0.3">
      <c r="A11" s="333" t="s">
        <v>194</v>
      </c>
      <c r="B11" s="395">
        <f>'Bulletin WINCKERT'!E37</f>
        <v>2103.1882917155904</v>
      </c>
      <c r="C11" s="365">
        <f t="shared" si="3"/>
        <v>17403.188291715589</v>
      </c>
      <c r="D11" s="362">
        <f>3666*28/31</f>
        <v>3311.2258064516127</v>
      </c>
      <c r="E11" s="365">
        <f t="shared" si="4"/>
        <v>17975.225806451614</v>
      </c>
      <c r="F11" s="366">
        <f t="shared" si="2"/>
        <v>17403.188291715589</v>
      </c>
      <c r="G11" s="367">
        <f t="shared" si="5"/>
        <v>2739.188291715589</v>
      </c>
      <c r="H11" s="368">
        <f t="shared" si="6"/>
        <v>-635.99999999999864</v>
      </c>
      <c r="J11" s="4" t="s">
        <v>341</v>
      </c>
      <c r="K11" s="5">
        <v>3</v>
      </c>
    </row>
    <row r="12" spans="1:11" ht="15.75" thickBot="1" x14ac:dyDescent="0.3">
      <c r="A12" s="324"/>
      <c r="B12" s="325"/>
      <c r="C12" s="326"/>
      <c r="D12" s="558" t="s">
        <v>263</v>
      </c>
      <c r="J12" s="556" t="s">
        <v>342</v>
      </c>
      <c r="K12" s="557">
        <f>K10-K11</f>
        <v>28</v>
      </c>
    </row>
    <row r="14" spans="1:11" ht="23.25" hidden="1" x14ac:dyDescent="0.25">
      <c r="A14" s="290" t="s">
        <v>203</v>
      </c>
      <c r="B14" s="283"/>
      <c r="C14" s="283"/>
      <c r="D14" s="283"/>
      <c r="E14" s="283"/>
      <c r="F14" s="283"/>
      <c r="G14" s="283"/>
      <c r="H14" s="283"/>
    </row>
    <row r="15" spans="1:11" hidden="1" x14ac:dyDescent="0.25"/>
    <row r="16" spans="1:11" ht="15.75" hidden="1" thickBot="1" x14ac:dyDescent="0.3"/>
    <row r="17" spans="1:11" s="301" customFormat="1" ht="45" hidden="1" x14ac:dyDescent="0.25">
      <c r="A17" s="291"/>
      <c r="B17" s="292" t="s">
        <v>135</v>
      </c>
      <c r="C17" s="292" t="s">
        <v>184</v>
      </c>
      <c r="D17" s="293" t="s">
        <v>204</v>
      </c>
      <c r="E17" s="293" t="s">
        <v>161</v>
      </c>
      <c r="F17" s="293" t="s">
        <v>205</v>
      </c>
      <c r="G17" s="293" t="s">
        <v>206</v>
      </c>
      <c r="H17" s="232" t="s">
        <v>207</v>
      </c>
      <c r="I17" s="293" t="s">
        <v>208</v>
      </c>
      <c r="J17" s="294" t="s">
        <v>209</v>
      </c>
      <c r="K17" s="295" t="s">
        <v>202</v>
      </c>
    </row>
    <row r="18" spans="1:11" ht="21.75" hidden="1" customHeight="1" x14ac:dyDescent="0.25">
      <c r="A18" s="287" t="s">
        <v>190</v>
      </c>
      <c r="B18" s="296" t="e">
        <f>+#REF!</f>
        <v>#REF!</v>
      </c>
      <c r="C18" s="296" t="e">
        <f>B18</f>
        <v>#REF!</v>
      </c>
      <c r="D18" s="297" t="e">
        <f>+B18</f>
        <v>#REF!</v>
      </c>
      <c r="E18" s="313">
        <f>10.85*151.66667</f>
        <v>1645.5833695000001</v>
      </c>
      <c r="F18" s="296">
        <f>3.5*E18</f>
        <v>5759.5417932500004</v>
      </c>
      <c r="G18" s="296">
        <f>F18</f>
        <v>5759.5417932500004</v>
      </c>
      <c r="H18" s="33" t="e">
        <f>IF(C18&gt;G18,"OUI","")</f>
        <v>#REF!</v>
      </c>
      <c r="I18" s="299" t="e">
        <f>IF(H18="OUI",C18,0)</f>
        <v>#REF!</v>
      </c>
      <c r="J18" s="297" t="e">
        <f>I18</f>
        <v>#REF!</v>
      </c>
      <c r="K18" s="300" t="e">
        <f>(D18*3.45%)+(J18*1.8%)</f>
        <v>#REF!</v>
      </c>
    </row>
    <row r="19" spans="1:11" ht="21.75" hidden="1" customHeight="1" x14ac:dyDescent="0.25">
      <c r="A19" s="287" t="s">
        <v>191</v>
      </c>
      <c r="B19" s="296" t="e">
        <f>+#REF!</f>
        <v>#REF!</v>
      </c>
      <c r="C19" s="296" t="e">
        <f>C18+B19</f>
        <v>#REF!</v>
      </c>
      <c r="D19" s="297" t="e">
        <f t="shared" ref="D19:D22" si="7">B19</f>
        <v>#REF!</v>
      </c>
      <c r="E19" s="313">
        <f t="shared" ref="E19:E22" si="8">10.85*151.66667</f>
        <v>1645.5833695000001</v>
      </c>
      <c r="F19" s="296">
        <f t="shared" ref="F19:F22" si="9">3.5*E19</f>
        <v>5759.5417932500004</v>
      </c>
      <c r="G19" s="296">
        <f t="shared" ref="G19:G22" si="10">G18+F19</f>
        <v>11519.083586500001</v>
      </c>
      <c r="H19" s="33" t="e">
        <f t="shared" ref="H19:H22" si="11">IF(C19&gt;G19,"OUI","")</f>
        <v>#REF!</v>
      </c>
      <c r="I19" s="299" t="e">
        <f>IF(H19="OUI",C19,0)</f>
        <v>#REF!</v>
      </c>
      <c r="J19" s="297" t="e">
        <f>I19-I18</f>
        <v>#REF!</v>
      </c>
      <c r="K19" s="300" t="e">
        <f t="shared" ref="K19:K22" si="12">(D19*3.45%)+(J19*1.8%)</f>
        <v>#REF!</v>
      </c>
    </row>
    <row r="20" spans="1:11" ht="21.75" hidden="1" customHeight="1" x14ac:dyDescent="0.25">
      <c r="A20" s="287" t="s">
        <v>192</v>
      </c>
      <c r="B20" s="296" t="e">
        <f>+#REF!</f>
        <v>#REF!</v>
      </c>
      <c r="C20" s="296" t="e">
        <f t="shared" ref="C20:C22" si="13">C19+B20</f>
        <v>#REF!</v>
      </c>
      <c r="D20" s="297" t="e">
        <f t="shared" si="7"/>
        <v>#REF!</v>
      </c>
      <c r="E20" s="313">
        <f t="shared" si="8"/>
        <v>1645.5833695000001</v>
      </c>
      <c r="F20" s="296">
        <f t="shared" si="9"/>
        <v>5759.5417932500004</v>
      </c>
      <c r="G20" s="296">
        <f t="shared" si="10"/>
        <v>17278.625379750003</v>
      </c>
      <c r="H20" s="33" t="e">
        <f t="shared" si="11"/>
        <v>#REF!</v>
      </c>
      <c r="I20" s="299" t="e">
        <f t="shared" ref="I20:I22" si="14">IF(H20="OUI",C20,0)</f>
        <v>#REF!</v>
      </c>
      <c r="J20" s="297" t="e">
        <f t="shared" ref="J20:J22" si="15">I20-I19</f>
        <v>#REF!</v>
      </c>
      <c r="K20" s="300" t="e">
        <f t="shared" si="12"/>
        <v>#REF!</v>
      </c>
    </row>
    <row r="21" spans="1:11" ht="21.75" hidden="1" customHeight="1" x14ac:dyDescent="0.25">
      <c r="A21" s="287" t="s">
        <v>193</v>
      </c>
      <c r="B21" s="296" t="e">
        <f>+#REF!</f>
        <v>#REF!</v>
      </c>
      <c r="C21" s="296" t="e">
        <f t="shared" si="13"/>
        <v>#REF!</v>
      </c>
      <c r="D21" s="297" t="e">
        <f t="shared" si="7"/>
        <v>#REF!</v>
      </c>
      <c r="E21" s="313">
        <f t="shared" si="8"/>
        <v>1645.5833695000001</v>
      </c>
      <c r="F21" s="296">
        <f t="shared" si="9"/>
        <v>5759.5417932500004</v>
      </c>
      <c r="G21" s="296">
        <f t="shared" si="10"/>
        <v>23038.167173000002</v>
      </c>
      <c r="H21" s="33" t="e">
        <f t="shared" si="11"/>
        <v>#REF!</v>
      </c>
      <c r="I21" s="299" t="e">
        <f t="shared" si="14"/>
        <v>#REF!</v>
      </c>
      <c r="J21" s="297" t="e">
        <f t="shared" si="15"/>
        <v>#REF!</v>
      </c>
      <c r="K21" s="300" t="e">
        <f t="shared" si="12"/>
        <v>#REF!</v>
      </c>
    </row>
    <row r="22" spans="1:11" ht="21.75" hidden="1" customHeight="1" x14ac:dyDescent="0.25">
      <c r="A22" s="287" t="s">
        <v>194</v>
      </c>
      <c r="B22" s="296" t="e">
        <f>+#REF!</f>
        <v>#REF!</v>
      </c>
      <c r="C22" s="296" t="e">
        <f t="shared" si="13"/>
        <v>#REF!</v>
      </c>
      <c r="D22" s="297" t="e">
        <f t="shared" si="7"/>
        <v>#REF!</v>
      </c>
      <c r="E22" s="313">
        <f t="shared" si="8"/>
        <v>1645.5833695000001</v>
      </c>
      <c r="F22" s="296">
        <f t="shared" si="9"/>
        <v>5759.5417932500004</v>
      </c>
      <c r="G22" s="296">
        <f t="shared" si="10"/>
        <v>28797.70896625</v>
      </c>
      <c r="H22" s="33" t="e">
        <f t="shared" si="11"/>
        <v>#REF!</v>
      </c>
      <c r="I22" s="299" t="e">
        <f t="shared" si="14"/>
        <v>#REF!</v>
      </c>
      <c r="J22" s="297" t="e">
        <f t="shared" si="15"/>
        <v>#REF!</v>
      </c>
      <c r="K22" s="300" t="e">
        <f t="shared" si="12"/>
        <v>#REF!</v>
      </c>
    </row>
    <row r="23" spans="1:11" ht="21.75" hidden="1" customHeight="1" x14ac:dyDescent="0.25">
      <c r="A23" s="324"/>
      <c r="B23" s="327"/>
      <c r="C23" s="327"/>
      <c r="D23" s="328"/>
      <c r="E23" s="332"/>
      <c r="F23" s="327"/>
      <c r="G23" s="327"/>
      <c r="H23" s="330"/>
      <c r="I23" s="331"/>
    </row>
    <row r="24" spans="1:11" ht="21" hidden="1" x14ac:dyDescent="0.25">
      <c r="A24" s="524" t="s">
        <v>210</v>
      </c>
      <c r="B24" s="525"/>
      <c r="C24" s="525"/>
      <c r="D24" s="525"/>
      <c r="E24" s="525"/>
      <c r="F24" s="525"/>
      <c r="G24" s="525"/>
      <c r="H24" s="525"/>
      <c r="I24" s="302"/>
    </row>
    <row r="25" spans="1:11" ht="21" hidden="1" customHeight="1" thickBot="1" x14ac:dyDescent="0.3">
      <c r="A25" s="227" t="s">
        <v>157</v>
      </c>
      <c r="B25" s="303">
        <v>0.31950000000000001</v>
      </c>
    </row>
    <row r="26" spans="1:11" hidden="1" x14ac:dyDescent="0.25"/>
    <row r="27" spans="1:11" ht="30" hidden="1" x14ac:dyDescent="0.25">
      <c r="A27" s="3" t="s">
        <v>158</v>
      </c>
      <c r="B27" s="230" t="s">
        <v>159</v>
      </c>
      <c r="C27" s="230" t="s">
        <v>160</v>
      </c>
      <c r="D27" s="293" t="s">
        <v>161</v>
      </c>
      <c r="E27" s="232" t="s">
        <v>162</v>
      </c>
      <c r="F27" s="232" t="s">
        <v>163</v>
      </c>
      <c r="G27" s="232" t="s">
        <v>164</v>
      </c>
      <c r="H27" s="232" t="s">
        <v>165</v>
      </c>
      <c r="I27" s="1" t="s">
        <v>211</v>
      </c>
    </row>
    <row r="28" spans="1:11" ht="21" hidden="1" customHeight="1" x14ac:dyDescent="0.25">
      <c r="A28" s="287" t="s">
        <v>190</v>
      </c>
      <c r="B28" s="304">
        <v>1700</v>
      </c>
      <c r="C28" s="305">
        <f>B28</f>
        <v>1700</v>
      </c>
      <c r="D28" s="298">
        <v>1603.12</v>
      </c>
      <c r="E28" s="304">
        <f>+D28</f>
        <v>1603.12</v>
      </c>
      <c r="F28" s="306">
        <f>ROUND(($B$25/0.6)*((1.6*E28/C28)-1),4)</f>
        <v>0.27089999999999997</v>
      </c>
      <c r="G28" s="305">
        <f>IF(F28&gt;0,F28*C28,0)</f>
        <v>460.53</v>
      </c>
      <c r="H28" s="307">
        <f>G28</f>
        <v>460.53</v>
      </c>
      <c r="I28" s="5" t="str">
        <f>IF(F28&gt;$B$25,"ERREUR","")</f>
        <v/>
      </c>
    </row>
    <row r="29" spans="1:11" ht="21" hidden="1" customHeight="1" x14ac:dyDescent="0.25">
      <c r="A29" s="287" t="s">
        <v>191</v>
      </c>
      <c r="B29" s="304">
        <v>3000</v>
      </c>
      <c r="C29" s="305">
        <f>C28+B29</f>
        <v>4700</v>
      </c>
      <c r="D29" s="308">
        <f>156.67*10.57</f>
        <v>1656.0019</v>
      </c>
      <c r="E29" s="304">
        <f>D29+E28</f>
        <v>3259.1219000000001</v>
      </c>
      <c r="F29" s="306">
        <f>ROUND(($B$25/0.6)*((1.6*E29/C29)-1),4)</f>
        <v>5.8299999999999998E-2</v>
      </c>
      <c r="G29" s="305">
        <f t="shared" ref="G29:G32" si="16">IF(F29&gt;0,F29*C29,0)</f>
        <v>274.01</v>
      </c>
      <c r="H29" s="307">
        <f>G29-G28</f>
        <v>-186.51999999999998</v>
      </c>
      <c r="I29" s="5" t="str">
        <f>IF(F29&gt;$B$25,"ERREUR","")</f>
        <v/>
      </c>
    </row>
    <row r="30" spans="1:11" ht="21" hidden="1" customHeight="1" x14ac:dyDescent="0.25">
      <c r="A30" s="287" t="s">
        <v>192</v>
      </c>
      <c r="B30" s="304"/>
      <c r="C30" s="305">
        <f t="shared" ref="C30:C32" si="17">C29+B30</f>
        <v>4700</v>
      </c>
      <c r="D30" s="298">
        <v>1603.12</v>
      </c>
      <c r="E30" s="304">
        <f t="shared" ref="E30:E32" si="18">D30+E29</f>
        <v>4862.2419</v>
      </c>
      <c r="F30" s="306">
        <f>ROUND(($B$25/0.6)*((1.6*E30/C30)-1),4)</f>
        <v>0.34889999999999999</v>
      </c>
      <c r="G30" s="309">
        <f t="shared" si="16"/>
        <v>1639.83</v>
      </c>
      <c r="H30" s="307">
        <f t="shared" ref="H30:H32" si="19">G30-G29</f>
        <v>1365.82</v>
      </c>
      <c r="I30" s="5" t="str">
        <f>IF(F30&gt;$B$25,"ERREUR","")</f>
        <v>ERREUR</v>
      </c>
    </row>
    <row r="31" spans="1:11" ht="21" hidden="1" customHeight="1" thickBot="1" x14ac:dyDescent="0.3">
      <c r="A31" s="287" t="s">
        <v>193</v>
      </c>
      <c r="B31" s="304"/>
      <c r="C31" s="305">
        <f t="shared" si="17"/>
        <v>4700</v>
      </c>
      <c r="D31" s="298">
        <v>1603.12</v>
      </c>
      <c r="E31" s="304">
        <f t="shared" si="18"/>
        <v>6465.3618999999999</v>
      </c>
      <c r="F31" s="306">
        <f>ROUND(($B$25/0.6)*((1.6*E31/C31)-1),4)</f>
        <v>0.63949999999999996</v>
      </c>
      <c r="G31" s="305">
        <f t="shared" si="16"/>
        <v>3005.6499999999996</v>
      </c>
      <c r="H31" s="307">
        <f t="shared" si="19"/>
        <v>1365.8199999999997</v>
      </c>
      <c r="I31" s="5" t="str">
        <f>IF(F31&gt;$B$25,"ERREUR","")</f>
        <v>ERREUR</v>
      </c>
    </row>
    <row r="32" spans="1:11" ht="21" hidden="1" customHeight="1" x14ac:dyDescent="0.25">
      <c r="A32" s="287" t="s">
        <v>194</v>
      </c>
      <c r="B32" s="304"/>
      <c r="C32" s="305">
        <f t="shared" si="17"/>
        <v>4700</v>
      </c>
      <c r="D32" s="298">
        <v>1603.12</v>
      </c>
      <c r="E32" s="304">
        <f t="shared" si="18"/>
        <v>8068.4818999999998</v>
      </c>
      <c r="F32" s="306">
        <f>ROUND(($B$25/0.6)*((1.6*E32/C32)-1),4)</f>
        <v>0.93010000000000004</v>
      </c>
      <c r="G32" s="305">
        <f t="shared" si="16"/>
        <v>4371.47</v>
      </c>
      <c r="H32" s="307">
        <f t="shared" si="19"/>
        <v>1365.8200000000006</v>
      </c>
      <c r="I32" s="5" t="str">
        <f>IF(F32&gt;$B$25,"ERREUR","")</f>
        <v>ERREUR</v>
      </c>
    </row>
    <row r="34" spans="1:8" ht="23.25" x14ac:dyDescent="0.25">
      <c r="A34" s="282" t="s">
        <v>212</v>
      </c>
      <c r="B34" s="283"/>
      <c r="C34" s="283"/>
      <c r="D34" s="283"/>
      <c r="E34" s="283"/>
      <c r="F34" s="283"/>
    </row>
    <row r="36" spans="1:8" ht="18.75" x14ac:dyDescent="0.25">
      <c r="A36" s="284" t="s">
        <v>183</v>
      </c>
      <c r="D36" s="285">
        <v>3666</v>
      </c>
    </row>
    <row r="37" spans="1:8" ht="15.75" thickBot="1" x14ac:dyDescent="0.3"/>
    <row r="38" spans="1:8" ht="30" x14ac:dyDescent="0.25">
      <c r="A38" s="286" t="s">
        <v>158</v>
      </c>
      <c r="B38" s="230" t="s">
        <v>135</v>
      </c>
      <c r="C38" s="230" t="s">
        <v>184</v>
      </c>
      <c r="D38" s="230" t="s">
        <v>185</v>
      </c>
      <c r="E38" s="232" t="s">
        <v>186</v>
      </c>
      <c r="F38" s="230" t="s">
        <v>213</v>
      </c>
      <c r="G38" s="232" t="s">
        <v>214</v>
      </c>
      <c r="H38" s="233" t="s">
        <v>225</v>
      </c>
    </row>
    <row r="39" spans="1:8" ht="26.25" customHeight="1" x14ac:dyDescent="0.25">
      <c r="A39" s="287" t="s">
        <v>190</v>
      </c>
      <c r="B39" s="296">
        <f>B7</f>
        <v>3300</v>
      </c>
      <c r="C39" s="296">
        <f>B39</f>
        <v>3300</v>
      </c>
      <c r="D39" s="289">
        <f>$D$36</f>
        <v>3666</v>
      </c>
      <c r="E39" s="310">
        <f>D39</f>
        <v>3666</v>
      </c>
      <c r="F39" s="311" t="str">
        <f>IF(E39&gt;C39,"","OUI")</f>
        <v/>
      </c>
      <c r="G39" s="297">
        <f t="shared" ref="G39:G43" si="20">IF(C39&gt;E39,C39,0)</f>
        <v>0</v>
      </c>
      <c r="H39" s="312">
        <f>G39</f>
        <v>0</v>
      </c>
    </row>
    <row r="40" spans="1:8" ht="26.25" customHeight="1" x14ac:dyDescent="0.25">
      <c r="A40" s="287" t="s">
        <v>191</v>
      </c>
      <c r="B40" s="296">
        <f t="shared" ref="B40:B43" si="21">B8</f>
        <v>3750</v>
      </c>
      <c r="C40" s="296">
        <f>C39+B40</f>
        <v>7050</v>
      </c>
      <c r="D40" s="289">
        <f t="shared" ref="D40:D42" si="22">$D$36</f>
        <v>3666</v>
      </c>
      <c r="E40" s="310">
        <f>E39+D40</f>
        <v>7332</v>
      </c>
      <c r="F40" s="311" t="str">
        <f t="shared" ref="F40:F43" si="23">IF(E40&gt;C40,"","OUI")</f>
        <v/>
      </c>
      <c r="G40" s="297">
        <f t="shared" si="20"/>
        <v>0</v>
      </c>
      <c r="H40" s="312">
        <f>G40-G39</f>
        <v>0</v>
      </c>
    </row>
    <row r="41" spans="1:8" ht="26.25" customHeight="1" x14ac:dyDescent="0.25">
      <c r="A41" s="287" t="s">
        <v>192</v>
      </c>
      <c r="B41" s="296">
        <f t="shared" si="21"/>
        <v>3550</v>
      </c>
      <c r="C41" s="296">
        <f t="shared" ref="C41:C43" si="24">C40+B41</f>
        <v>10600</v>
      </c>
      <c r="D41" s="289">
        <f t="shared" si="22"/>
        <v>3666</v>
      </c>
      <c r="E41" s="310">
        <f t="shared" ref="E41:E43" si="25">E40+D41</f>
        <v>10998</v>
      </c>
      <c r="F41" s="311" t="str">
        <f t="shared" si="23"/>
        <v/>
      </c>
      <c r="G41" s="297">
        <f t="shared" si="20"/>
        <v>0</v>
      </c>
      <c r="H41" s="312">
        <f t="shared" ref="H41:H43" si="26">G41-G40</f>
        <v>0</v>
      </c>
    </row>
    <row r="42" spans="1:8" ht="26.25" customHeight="1" x14ac:dyDescent="0.25">
      <c r="A42" s="287" t="s">
        <v>193</v>
      </c>
      <c r="B42" s="296">
        <f t="shared" si="21"/>
        <v>4700</v>
      </c>
      <c r="C42" s="296">
        <f t="shared" si="24"/>
        <v>15300</v>
      </c>
      <c r="D42" s="289">
        <f t="shared" si="22"/>
        <v>3666</v>
      </c>
      <c r="E42" s="310">
        <f t="shared" si="25"/>
        <v>14664</v>
      </c>
      <c r="F42" s="311" t="str">
        <f t="shared" si="23"/>
        <v>OUI</v>
      </c>
      <c r="G42" s="297">
        <f t="shared" si="20"/>
        <v>15300</v>
      </c>
      <c r="H42" s="312">
        <f t="shared" si="26"/>
        <v>15300</v>
      </c>
    </row>
    <row r="43" spans="1:8" ht="26.25" customHeight="1" thickBot="1" x14ac:dyDescent="0.3">
      <c r="A43" s="333" t="s">
        <v>194</v>
      </c>
      <c r="B43" s="296">
        <f t="shared" si="21"/>
        <v>2103.1882917155904</v>
      </c>
      <c r="C43" s="334">
        <f t="shared" si="24"/>
        <v>17403.188291715589</v>
      </c>
      <c r="D43" s="335">
        <f>D11</f>
        <v>3311.2258064516127</v>
      </c>
      <c r="E43" s="336">
        <f t="shared" si="25"/>
        <v>17975.225806451614</v>
      </c>
      <c r="F43" s="337" t="str">
        <f t="shared" si="23"/>
        <v/>
      </c>
      <c r="G43" s="338">
        <f t="shared" si="20"/>
        <v>0</v>
      </c>
      <c r="H43" s="339">
        <f t="shared" si="26"/>
        <v>-15300</v>
      </c>
    </row>
    <row r="44" spans="1:8" ht="15.75" thickBot="1" x14ac:dyDescent="0.3"/>
    <row r="45" spans="1:8" x14ac:dyDescent="0.25">
      <c r="E45" s="3" t="s">
        <v>12</v>
      </c>
      <c r="F45" s="429"/>
      <c r="G45" s="430">
        <v>31</v>
      </c>
    </row>
    <row r="46" spans="1:8" x14ac:dyDescent="0.25">
      <c r="E46" s="4" t="s">
        <v>290</v>
      </c>
      <c r="F46" s="306"/>
      <c r="G46" s="5">
        <v>3</v>
      </c>
    </row>
    <row r="47" spans="1:8" ht="15.75" thickBot="1" x14ac:dyDescent="0.3">
      <c r="E47" s="76" t="s">
        <v>291</v>
      </c>
      <c r="F47" s="237"/>
      <c r="G47" s="431">
        <f>G45-G46</f>
        <v>28</v>
      </c>
    </row>
  </sheetData>
  <mergeCells count="1">
    <mergeCell ref="A24:H2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B8BC2-156D-4D52-B71A-9E622A0CD38F}">
  <dimension ref="B1:P118"/>
  <sheetViews>
    <sheetView topLeftCell="B20" zoomScaleNormal="100" workbookViewId="0">
      <selection activeCell="E32" sqref="E32"/>
    </sheetView>
  </sheetViews>
  <sheetFormatPr baseColWidth="10" defaultRowHeight="15" x14ac:dyDescent="0.25"/>
  <cols>
    <col min="1" max="1" width="11.42578125" style="8"/>
    <col min="2" max="2" width="63.5703125" style="8" customWidth="1"/>
    <col min="3" max="3" width="15" style="8" bestFit="1" customWidth="1"/>
    <col min="4" max="4" width="17.140625" style="8" bestFit="1" customWidth="1"/>
    <col min="5" max="5" width="25.5703125" style="8" bestFit="1" customWidth="1"/>
    <col min="6" max="6" width="12.5703125" style="8" customWidth="1"/>
    <col min="7" max="7" width="18.28515625" style="8" customWidth="1"/>
    <col min="8" max="8" width="11.42578125" style="8"/>
    <col min="9" max="9" width="52.140625" style="8" bestFit="1" customWidth="1"/>
    <col min="10" max="10" width="14" style="8" bestFit="1" customWidth="1"/>
    <col min="11" max="11" width="21.140625" style="8" customWidth="1"/>
    <col min="12" max="12" width="11.42578125" style="8"/>
    <col min="13" max="13" width="12.140625" style="8" bestFit="1" customWidth="1"/>
    <col min="14" max="15" width="12" style="8" bestFit="1" customWidth="1"/>
    <col min="16" max="16384" width="11.42578125" style="8"/>
  </cols>
  <sheetData>
    <row r="1" spans="2:11" ht="23.25" thickBot="1" x14ac:dyDescent="0.3">
      <c r="B1" s="9" t="s">
        <v>34</v>
      </c>
      <c r="C1" s="10"/>
      <c r="D1" s="10"/>
      <c r="E1" s="10"/>
      <c r="F1" s="10"/>
      <c r="G1" s="11"/>
      <c r="I1" s="12" t="s">
        <v>35</v>
      </c>
    </row>
    <row r="2" spans="2:11" ht="15.75" thickBot="1" x14ac:dyDescent="0.3">
      <c r="B2" s="13" t="s">
        <v>36</v>
      </c>
      <c r="C2" s="14"/>
      <c r="D2" s="15"/>
      <c r="E2" s="16" t="s">
        <v>37</v>
      </c>
      <c r="F2" s="14"/>
      <c r="G2" s="15"/>
    </row>
    <row r="3" spans="2:11" x14ac:dyDescent="0.25">
      <c r="B3" s="17" t="s">
        <v>38</v>
      </c>
      <c r="C3" s="18"/>
      <c r="D3" s="19"/>
      <c r="E3" s="20" t="s">
        <v>38</v>
      </c>
      <c r="F3" s="21"/>
      <c r="G3" s="22"/>
      <c r="I3" s="16" t="s">
        <v>11</v>
      </c>
      <c r="J3" s="23">
        <v>2500</v>
      </c>
    </row>
    <row r="4" spans="2:11" x14ac:dyDescent="0.25">
      <c r="B4" s="17" t="s">
        <v>39</v>
      </c>
      <c r="C4" s="18"/>
      <c r="D4" s="19"/>
      <c r="E4" s="20" t="s">
        <v>40</v>
      </c>
      <c r="F4" s="21"/>
      <c r="G4" s="22"/>
      <c r="I4" s="20" t="s">
        <v>41</v>
      </c>
      <c r="J4" s="24">
        <v>151.66999999999999</v>
      </c>
    </row>
    <row r="5" spans="2:11" x14ac:dyDescent="0.25">
      <c r="B5" s="17" t="s">
        <v>42</v>
      </c>
      <c r="C5" s="18"/>
      <c r="D5" s="19"/>
      <c r="E5" s="20" t="s">
        <v>43</v>
      </c>
      <c r="F5" s="21"/>
      <c r="G5" s="22"/>
      <c r="I5" s="20" t="s">
        <v>44</v>
      </c>
      <c r="J5" s="22">
        <v>147</v>
      </c>
    </row>
    <row r="6" spans="2:11" x14ac:dyDescent="0.25">
      <c r="B6" s="17" t="s">
        <v>42</v>
      </c>
      <c r="C6" s="18"/>
      <c r="D6" s="19"/>
      <c r="E6" s="20" t="s">
        <v>45</v>
      </c>
      <c r="F6" s="21"/>
      <c r="G6" s="22"/>
      <c r="I6" s="25" t="s">
        <v>8</v>
      </c>
      <c r="J6" s="26">
        <v>5</v>
      </c>
    </row>
    <row r="7" spans="2:11" x14ac:dyDescent="0.25">
      <c r="B7" s="17" t="s">
        <v>46</v>
      </c>
      <c r="C7" s="18"/>
      <c r="D7" s="19"/>
      <c r="E7" s="20"/>
      <c r="F7" s="21"/>
      <c r="G7" s="22"/>
      <c r="I7" s="20" t="s">
        <v>47</v>
      </c>
      <c r="J7" s="27">
        <v>3.5999999999999997E-2</v>
      </c>
    </row>
    <row r="8" spans="2:11" x14ac:dyDescent="0.25">
      <c r="B8" s="17" t="s">
        <v>48</v>
      </c>
      <c r="C8" s="18"/>
      <c r="D8" s="19"/>
      <c r="E8" s="20" t="s">
        <v>49</v>
      </c>
      <c r="F8" s="21"/>
      <c r="G8" s="22"/>
      <c r="I8" s="28" t="s">
        <v>50</v>
      </c>
      <c r="J8" s="29"/>
      <c r="K8" s="30"/>
    </row>
    <row r="9" spans="2:11" x14ac:dyDescent="0.25">
      <c r="B9" s="17" t="s">
        <v>52</v>
      </c>
      <c r="C9" s="18"/>
      <c r="D9" s="19"/>
      <c r="E9" s="20" t="s">
        <v>53</v>
      </c>
      <c r="F9" s="31" t="s">
        <v>54</v>
      </c>
      <c r="G9" s="22"/>
      <c r="I9" s="20" t="s">
        <v>55</v>
      </c>
      <c r="J9" s="32">
        <v>11.52</v>
      </c>
    </row>
    <row r="10" spans="2:11" x14ac:dyDescent="0.25">
      <c r="B10" s="17" t="s">
        <v>56</v>
      </c>
      <c r="C10" s="18"/>
      <c r="D10" s="19"/>
      <c r="E10" s="20" t="s">
        <v>57</v>
      </c>
      <c r="F10" s="31"/>
      <c r="G10" s="22"/>
      <c r="I10" s="4" t="s">
        <v>0</v>
      </c>
      <c r="J10" s="389">
        <v>35</v>
      </c>
    </row>
    <row r="11" spans="2:11" x14ac:dyDescent="0.25">
      <c r="B11" s="17" t="s">
        <v>58</v>
      </c>
      <c r="C11" s="18"/>
      <c r="D11" s="19"/>
      <c r="E11" s="20" t="s">
        <v>59</v>
      </c>
      <c r="F11" s="31"/>
      <c r="G11" s="22"/>
      <c r="I11" s="20" t="s">
        <v>60</v>
      </c>
      <c r="J11" s="22"/>
    </row>
    <row r="12" spans="2:11" x14ac:dyDescent="0.25">
      <c r="B12" s="17" t="s">
        <v>61</v>
      </c>
      <c r="C12" s="18">
        <v>4</v>
      </c>
      <c r="D12" s="19"/>
      <c r="E12" s="20" t="s">
        <v>62</v>
      </c>
      <c r="F12" s="34"/>
      <c r="G12" s="35"/>
      <c r="I12" s="20" t="s">
        <v>63</v>
      </c>
      <c r="J12" s="22"/>
    </row>
    <row r="13" spans="2:11" x14ac:dyDescent="0.25">
      <c r="B13" s="17" t="s">
        <v>64</v>
      </c>
      <c r="C13" s="18"/>
      <c r="D13" s="19"/>
      <c r="E13" s="20" t="s">
        <v>65</v>
      </c>
      <c r="F13" s="36"/>
      <c r="G13" s="22"/>
      <c r="I13" s="20" t="s">
        <v>66</v>
      </c>
      <c r="J13" s="22"/>
    </row>
    <row r="14" spans="2:11" x14ac:dyDescent="0.25">
      <c r="B14" s="17"/>
      <c r="C14" s="18"/>
      <c r="D14" s="19"/>
      <c r="E14" s="20" t="s">
        <v>67</v>
      </c>
      <c r="F14" s="21"/>
      <c r="G14" s="22"/>
      <c r="I14" s="20" t="s">
        <v>68</v>
      </c>
      <c r="J14" s="22"/>
    </row>
    <row r="15" spans="2:11" x14ac:dyDescent="0.25">
      <c r="B15" s="20"/>
      <c r="C15" s="18"/>
      <c r="D15" s="19"/>
      <c r="E15" s="20"/>
      <c r="F15" s="21"/>
      <c r="G15" s="22"/>
      <c r="I15" s="20" t="s">
        <v>69</v>
      </c>
      <c r="J15" s="22"/>
    </row>
    <row r="16" spans="2:11" ht="15.75" thickBot="1" x14ac:dyDescent="0.3">
      <c r="B16" s="37"/>
      <c r="C16" s="38"/>
      <c r="D16" s="39"/>
      <c r="E16" s="37"/>
      <c r="F16" s="40"/>
      <c r="G16" s="41"/>
      <c r="I16" s="25" t="s">
        <v>70</v>
      </c>
      <c r="J16" s="22"/>
    </row>
    <row r="17" spans="2:16" ht="15.75" thickBot="1" x14ac:dyDescent="0.3">
      <c r="B17" s="42" t="s">
        <v>71</v>
      </c>
      <c r="C17" s="533"/>
      <c r="D17" s="534"/>
      <c r="E17" s="43" t="s">
        <v>72</v>
      </c>
      <c r="F17" s="533"/>
      <c r="G17" s="538"/>
      <c r="I17" s="25" t="s">
        <v>73</v>
      </c>
      <c r="J17" s="319">
        <f>'REGUL WINCKERT'!G11</f>
        <v>2739.188291715589</v>
      </c>
    </row>
    <row r="18" spans="2:16" ht="20.25" customHeight="1" thickBot="1" x14ac:dyDescent="0.3">
      <c r="B18" s="45" t="s">
        <v>74</v>
      </c>
      <c r="C18" s="46"/>
      <c r="D18" s="46"/>
      <c r="E18" s="46"/>
      <c r="F18" s="46"/>
      <c r="G18" s="47"/>
      <c r="I18" s="25" t="s">
        <v>75</v>
      </c>
      <c r="J18" s="44">
        <f>'REGUL WINCKERT'!H11</f>
        <v>-635.99999999999864</v>
      </c>
    </row>
    <row r="19" spans="2:16" ht="24" customHeight="1" thickBot="1" x14ac:dyDescent="0.3">
      <c r="B19" s="49" t="s">
        <v>74</v>
      </c>
      <c r="C19" s="50" t="s">
        <v>76</v>
      </c>
      <c r="D19" s="50" t="s">
        <v>77</v>
      </c>
      <c r="E19" s="51" t="s">
        <v>78</v>
      </c>
      <c r="F19" s="52"/>
      <c r="G19" s="52"/>
      <c r="I19" s="20" t="s">
        <v>79</v>
      </c>
      <c r="J19" s="359">
        <v>0.31909999999999999</v>
      </c>
    </row>
    <row r="20" spans="2:16" s="53" customFormat="1" x14ac:dyDescent="0.25">
      <c r="B20" s="16" t="s">
        <v>11</v>
      </c>
      <c r="C20" s="54"/>
      <c r="D20" s="55"/>
      <c r="E20" s="23">
        <f>J3</f>
        <v>2500</v>
      </c>
      <c r="F20" s="56"/>
      <c r="G20" s="57"/>
      <c r="H20" s="8"/>
      <c r="I20" s="58" t="s">
        <v>80</v>
      </c>
      <c r="J20" s="59">
        <v>5.6000000000000001E-2</v>
      </c>
      <c r="K20" s="8"/>
      <c r="L20" s="8"/>
      <c r="M20" s="8"/>
      <c r="N20" s="8"/>
      <c r="O20" s="8"/>
      <c r="P20" s="8"/>
    </row>
    <row r="21" spans="2:16" s="53" customFormat="1" x14ac:dyDescent="0.25">
      <c r="B21" s="60" t="s">
        <v>250</v>
      </c>
      <c r="C21" s="61"/>
      <c r="D21" s="62"/>
      <c r="E21" s="63">
        <v>600</v>
      </c>
      <c r="F21" s="64"/>
      <c r="G21" s="65"/>
      <c r="I21" s="20" t="s">
        <v>81</v>
      </c>
      <c r="J21" s="69">
        <v>20</v>
      </c>
      <c r="K21" s="8"/>
      <c r="L21" s="8"/>
      <c r="M21" s="8"/>
      <c r="N21" s="8"/>
      <c r="O21" s="8"/>
      <c r="P21" s="8"/>
    </row>
    <row r="22" spans="2:16" s="53" customFormat="1" x14ac:dyDescent="0.25">
      <c r="B22" s="60" t="s">
        <v>82</v>
      </c>
      <c r="C22" s="61"/>
      <c r="D22" s="66">
        <f>E20/J5</f>
        <v>17.006802721088434</v>
      </c>
      <c r="E22" s="63">
        <f>-D22*C22</f>
        <v>0</v>
      </c>
      <c r="F22" s="64"/>
      <c r="G22" s="65"/>
      <c r="I22" s="20" t="s">
        <v>83</v>
      </c>
      <c r="J22" s="69">
        <v>22</v>
      </c>
      <c r="K22" s="8"/>
      <c r="L22" s="8"/>
      <c r="M22" s="8"/>
      <c r="N22" s="8"/>
      <c r="O22" s="8"/>
      <c r="P22" s="8"/>
    </row>
    <row r="23" spans="2:16" s="53" customFormat="1" x14ac:dyDescent="0.25">
      <c r="B23" s="60"/>
      <c r="C23" s="61"/>
      <c r="D23" s="62"/>
      <c r="E23" s="63"/>
      <c r="F23" s="64"/>
      <c r="G23" s="65"/>
      <c r="I23" s="20" t="s">
        <v>84</v>
      </c>
      <c r="J23" s="449"/>
      <c r="K23" s="8"/>
      <c r="L23" s="8"/>
      <c r="M23" s="8"/>
      <c r="N23" s="8"/>
      <c r="O23" s="8"/>
      <c r="P23" s="8"/>
    </row>
    <row r="24" spans="2:16" x14ac:dyDescent="0.25">
      <c r="B24" s="20" t="s">
        <v>63</v>
      </c>
      <c r="C24" s="21">
        <f>J12</f>
        <v>0</v>
      </c>
      <c r="D24" s="68">
        <f>IF($J$4&gt;=151.67,$J$3/151.67*1.25,0)</f>
        <v>20.603942770488565</v>
      </c>
      <c r="E24" s="69">
        <f>D24*C24</f>
        <v>0</v>
      </c>
      <c r="F24" s="70"/>
      <c r="G24" s="71"/>
      <c r="I24" s="20" t="s">
        <v>85</v>
      </c>
      <c r="J24" s="67"/>
    </row>
    <row r="25" spans="2:16" ht="15.75" x14ac:dyDescent="0.25">
      <c r="B25" s="20" t="s">
        <v>66</v>
      </c>
      <c r="C25" s="21">
        <f>J13</f>
        <v>0</v>
      </c>
      <c r="D25" s="68">
        <f>IF($J$4&gt;=151.67,$J$3/151.67*1.5,0)</f>
        <v>24.724731324586276</v>
      </c>
      <c r="E25" s="69">
        <f>D25*C25</f>
        <v>0</v>
      </c>
      <c r="F25" s="70"/>
      <c r="G25" s="73"/>
      <c r="I25" s="4" t="s">
        <v>86</v>
      </c>
      <c r="J25" s="450"/>
      <c r="K25" s="75"/>
    </row>
    <row r="26" spans="2:16" ht="15.75" thickBot="1" x14ac:dyDescent="0.3">
      <c r="B26" s="20" t="s">
        <v>68</v>
      </c>
      <c r="C26" s="21">
        <f>J14</f>
        <v>0</v>
      </c>
      <c r="D26" s="21">
        <f>IF($J$4&lt;151.67,$E$20/151.67*1.1,0)</f>
        <v>0</v>
      </c>
      <c r="E26" s="69">
        <f t="shared" ref="E26:E27" si="0">D26*C26</f>
        <v>0</v>
      </c>
      <c r="F26" s="70"/>
      <c r="G26" s="73"/>
      <c r="I26" s="76" t="s">
        <v>87</v>
      </c>
      <c r="J26" s="77">
        <v>2200</v>
      </c>
    </row>
    <row r="27" spans="2:16" x14ac:dyDescent="0.25">
      <c r="B27" s="20" t="s">
        <v>69</v>
      </c>
      <c r="C27" s="21">
        <f>J15</f>
        <v>0</v>
      </c>
      <c r="D27" s="21">
        <f>IF($J$4&lt;151.67,$E$20/151.67*1.1,0)</f>
        <v>0</v>
      </c>
      <c r="E27" s="69">
        <f t="shared" si="0"/>
        <v>0</v>
      </c>
      <c r="F27" s="70"/>
      <c r="G27" s="73"/>
    </row>
    <row r="28" spans="2:16" x14ac:dyDescent="0.25">
      <c r="B28" s="20"/>
      <c r="C28" s="21"/>
      <c r="D28" s="21"/>
      <c r="E28" s="69"/>
      <c r="F28" s="70"/>
      <c r="G28" s="73"/>
    </row>
    <row r="29" spans="2:16" ht="27" x14ac:dyDescent="0.25">
      <c r="B29" s="20" t="s">
        <v>88</v>
      </c>
      <c r="C29" s="78"/>
      <c r="D29" s="21"/>
      <c r="E29" s="69"/>
      <c r="F29" s="79"/>
      <c r="G29" s="80"/>
      <c r="I29" s="81"/>
      <c r="J29" s="81"/>
      <c r="K29" s="81"/>
      <c r="L29" s="81"/>
      <c r="M29" s="81"/>
      <c r="N29" s="81"/>
    </row>
    <row r="30" spans="2:16" ht="27" x14ac:dyDescent="0.25">
      <c r="B30" s="20" t="s">
        <v>89</v>
      </c>
      <c r="C30" s="78"/>
      <c r="D30" s="21"/>
      <c r="E30" s="69"/>
      <c r="F30" s="79"/>
      <c r="G30" s="80"/>
      <c r="I30" s="81"/>
      <c r="J30" s="81"/>
      <c r="K30" s="81"/>
      <c r="L30" s="81"/>
      <c r="M30" s="81"/>
      <c r="N30" s="81"/>
    </row>
    <row r="31" spans="2:16" ht="27" x14ac:dyDescent="0.25">
      <c r="B31" s="20"/>
      <c r="C31" s="82"/>
      <c r="D31" s="83"/>
      <c r="E31" s="84"/>
      <c r="F31" s="85"/>
      <c r="G31" s="86"/>
      <c r="I31" s="81"/>
      <c r="J31" s="81"/>
      <c r="K31" s="81"/>
      <c r="L31" s="81"/>
      <c r="M31" s="81"/>
      <c r="N31" s="81"/>
    </row>
    <row r="32" spans="2:16" ht="27.75" thickBot="1" x14ac:dyDescent="0.3">
      <c r="B32" s="87" t="s">
        <v>90</v>
      </c>
      <c r="C32" s="407">
        <f>'ARRET WINKERT'!D8</f>
        <v>10</v>
      </c>
      <c r="D32" s="406">
        <f>'ARRET WINKERT'!D7</f>
        <v>119.04761904761905</v>
      </c>
      <c r="E32" s="90">
        <f>D32*-C32</f>
        <v>-1190.4761904761906</v>
      </c>
      <c r="F32" s="91"/>
      <c r="G32" s="92"/>
      <c r="I32" s="81"/>
      <c r="J32" s="81"/>
      <c r="K32" s="81"/>
      <c r="L32" s="81"/>
      <c r="M32" s="81"/>
      <c r="N32" s="81"/>
    </row>
    <row r="33" spans="2:14" ht="27" x14ac:dyDescent="0.25">
      <c r="B33" s="93" t="s">
        <v>91</v>
      </c>
      <c r="C33" s="94"/>
      <c r="D33" s="95"/>
      <c r="E33" s="96">
        <f>-'ARRET WINKERT'!D26</f>
        <v>-556.33551780821927</v>
      </c>
      <c r="F33" s="97"/>
      <c r="G33" s="98"/>
      <c r="I33" s="81"/>
      <c r="J33" s="81"/>
      <c r="K33" s="81"/>
      <c r="L33" s="81"/>
      <c r="M33" s="81"/>
      <c r="N33" s="81"/>
    </row>
    <row r="34" spans="2:14" ht="27" x14ac:dyDescent="0.25">
      <c r="B34" s="87" t="s">
        <v>28</v>
      </c>
      <c r="C34" s="407">
        <f>'ARRET WINKERT'!D31</f>
        <v>7</v>
      </c>
      <c r="D34" s="220">
        <f>'ARRET WINKERT'!D32</f>
        <v>107.14285714285715</v>
      </c>
      <c r="E34" s="96">
        <f>D34*C34</f>
        <v>750.00000000000011</v>
      </c>
      <c r="F34" s="97"/>
      <c r="G34" s="98"/>
      <c r="I34" s="81"/>
      <c r="J34" s="81"/>
      <c r="K34" s="81"/>
      <c r="L34" s="81"/>
      <c r="M34" s="81"/>
      <c r="N34" s="81"/>
    </row>
    <row r="35" spans="2:14" ht="27" x14ac:dyDescent="0.25">
      <c r="B35" s="93"/>
      <c r="C35" s="94"/>
      <c r="D35" s="95"/>
      <c r="E35" s="96"/>
      <c r="F35" s="97"/>
      <c r="G35" s="98"/>
      <c r="I35" s="81"/>
      <c r="J35" s="81"/>
      <c r="K35" s="81"/>
      <c r="L35" s="81"/>
      <c r="M35" s="81"/>
      <c r="N35" s="81"/>
    </row>
    <row r="36" spans="2:14" ht="27.75" thickBot="1" x14ac:dyDescent="0.3">
      <c r="B36" s="99" t="s">
        <v>92</v>
      </c>
      <c r="C36" s="94"/>
      <c r="D36" s="95">
        <f>J25</f>
        <v>0</v>
      </c>
      <c r="E36" s="100">
        <f>C36*D36</f>
        <v>0</v>
      </c>
      <c r="F36" s="97"/>
      <c r="G36" s="98"/>
      <c r="I36" s="81"/>
      <c r="J36" s="81"/>
      <c r="K36" s="81"/>
      <c r="L36" s="81"/>
      <c r="M36" s="81"/>
      <c r="N36" s="81"/>
    </row>
    <row r="37" spans="2:14" ht="28.5" thickTop="1" thickBot="1" x14ac:dyDescent="0.3">
      <c r="B37" s="101" t="s">
        <v>93</v>
      </c>
      <c r="C37" s="102"/>
      <c r="D37" s="103"/>
      <c r="E37" s="104">
        <f>SUM(E20:E36)</f>
        <v>2103.1882917155904</v>
      </c>
      <c r="F37" s="97"/>
      <c r="G37" s="98"/>
      <c r="I37" s="81"/>
      <c r="J37" s="81"/>
      <c r="K37" s="81"/>
      <c r="L37" s="81"/>
      <c r="M37" s="81"/>
      <c r="N37" s="81"/>
    </row>
    <row r="38" spans="2:14" ht="27.75" thickBot="1" x14ac:dyDescent="0.3">
      <c r="B38" s="105"/>
      <c r="C38" s="106"/>
      <c r="D38" s="107"/>
      <c r="E38" s="107"/>
      <c r="F38" s="108"/>
      <c r="G38" s="109"/>
      <c r="I38" s="81"/>
      <c r="J38" s="81"/>
      <c r="K38" s="81"/>
      <c r="L38" s="81"/>
      <c r="M38" s="81"/>
      <c r="N38" s="81"/>
    </row>
    <row r="39" spans="2:14" ht="28.5" x14ac:dyDescent="0.25">
      <c r="B39" s="110" t="s">
        <v>94</v>
      </c>
      <c r="C39" s="111" t="s">
        <v>95</v>
      </c>
      <c r="D39" s="111" t="s">
        <v>96</v>
      </c>
      <c r="E39" s="111" t="s">
        <v>97</v>
      </c>
      <c r="F39" s="111" t="s">
        <v>96</v>
      </c>
      <c r="G39" s="112" t="s">
        <v>98</v>
      </c>
      <c r="I39" s="81"/>
      <c r="J39" s="81"/>
      <c r="K39" s="81"/>
      <c r="L39" s="81"/>
      <c r="M39" s="81"/>
      <c r="N39" s="81"/>
    </row>
    <row r="40" spans="2:14" ht="27" x14ac:dyDescent="0.25">
      <c r="B40" s="113" t="s">
        <v>99</v>
      </c>
      <c r="C40" s="114"/>
      <c r="D40" s="115"/>
      <c r="E40" s="115"/>
      <c r="F40" s="116"/>
      <c r="G40" s="117"/>
      <c r="I40" s="81"/>
      <c r="J40" s="81"/>
      <c r="K40" s="81"/>
      <c r="L40" s="81"/>
      <c r="M40" s="81"/>
      <c r="N40" s="81"/>
    </row>
    <row r="41" spans="2:14" ht="27" x14ac:dyDescent="0.25">
      <c r="B41" s="118" t="s">
        <v>100</v>
      </c>
      <c r="C41" s="94">
        <f>$E$37</f>
        <v>2103.1882917155904</v>
      </c>
      <c r="D41" s="119"/>
      <c r="E41" s="120"/>
      <c r="F41" s="121">
        <v>7.0000000000000007E-2</v>
      </c>
      <c r="G41" s="323">
        <f>F41*C41</f>
        <v>147.22318042009135</v>
      </c>
      <c r="I41" s="81"/>
      <c r="J41" s="81"/>
      <c r="K41" s="81"/>
      <c r="L41" s="81"/>
      <c r="M41" s="81"/>
      <c r="N41" s="81"/>
    </row>
    <row r="42" spans="2:14" ht="27" x14ac:dyDescent="0.25">
      <c r="B42" s="118" t="s">
        <v>101</v>
      </c>
      <c r="C42" s="94">
        <f>$J$17</f>
        <v>2739.188291715589</v>
      </c>
      <c r="D42" s="123"/>
      <c r="E42" s="124"/>
      <c r="F42" s="125">
        <f>J24</f>
        <v>0</v>
      </c>
      <c r="G42" s="122">
        <f>F42*C42</f>
        <v>0</v>
      </c>
      <c r="I42" s="81"/>
      <c r="J42" s="81"/>
      <c r="K42" s="81"/>
      <c r="L42" s="81"/>
      <c r="M42" s="81"/>
      <c r="N42" s="81"/>
    </row>
    <row r="43" spans="2:14" ht="27" x14ac:dyDescent="0.25">
      <c r="B43" s="118" t="s">
        <v>102</v>
      </c>
      <c r="C43" s="94">
        <f>$J$18</f>
        <v>-635.99999999999864</v>
      </c>
      <c r="D43" s="123"/>
      <c r="E43" s="124"/>
      <c r="F43" s="125"/>
      <c r="G43" s="122">
        <f>F43*C43</f>
        <v>0</v>
      </c>
      <c r="I43" s="81"/>
      <c r="J43" s="81"/>
      <c r="K43" s="81"/>
      <c r="L43" s="81"/>
      <c r="M43" s="81"/>
      <c r="N43" s="81"/>
    </row>
    <row r="44" spans="2:14" ht="27" x14ac:dyDescent="0.25">
      <c r="B44" s="118" t="s">
        <v>103</v>
      </c>
      <c r="C44" s="94"/>
      <c r="D44" s="123"/>
      <c r="E44" s="124">
        <v>20</v>
      </c>
      <c r="F44" s="125"/>
      <c r="G44" s="122">
        <v>22</v>
      </c>
      <c r="I44" s="81"/>
      <c r="J44" s="81"/>
      <c r="K44" s="81"/>
      <c r="L44" s="81"/>
      <c r="M44" s="81"/>
      <c r="N44" s="81"/>
    </row>
    <row r="45" spans="2:14" ht="27" x14ac:dyDescent="0.25">
      <c r="B45" s="126" t="s">
        <v>104</v>
      </c>
      <c r="C45" s="94">
        <f>J17+J18</f>
        <v>2103.1882917155904</v>
      </c>
      <c r="E45" s="94"/>
      <c r="F45" s="127">
        <f>J7</f>
        <v>3.5999999999999997E-2</v>
      </c>
      <c r="G45" s="122">
        <f>F45*C45</f>
        <v>75.714778501761245</v>
      </c>
      <c r="I45" s="81"/>
      <c r="J45" s="81"/>
      <c r="K45" s="81"/>
      <c r="L45" s="81"/>
      <c r="M45" s="81"/>
      <c r="N45" s="81"/>
    </row>
    <row r="46" spans="2:14" ht="27" x14ac:dyDescent="0.25">
      <c r="B46" s="113" t="s">
        <v>105</v>
      </c>
      <c r="C46" s="114"/>
      <c r="D46" s="115"/>
      <c r="E46" s="115"/>
      <c r="F46" s="116"/>
      <c r="G46" s="117"/>
      <c r="I46" s="81"/>
      <c r="J46" s="81"/>
      <c r="K46" s="81"/>
      <c r="L46" s="81"/>
      <c r="M46" s="81"/>
      <c r="N46" s="81"/>
    </row>
    <row r="47" spans="2:14" ht="27" x14ac:dyDescent="0.25">
      <c r="B47" s="118" t="s">
        <v>106</v>
      </c>
      <c r="C47" s="94">
        <f>$J$17</f>
        <v>2739.188291715589</v>
      </c>
      <c r="D47" s="123">
        <v>6.9000000000000006E-2</v>
      </c>
      <c r="E47" s="124">
        <f>D47*C47</f>
        <v>189.00399212837567</v>
      </c>
      <c r="F47" s="125">
        <v>8.5500000000000007E-2</v>
      </c>
      <c r="G47" s="122">
        <f>F47*C47</f>
        <v>234.20059894168287</v>
      </c>
      <c r="I47" s="81"/>
      <c r="J47" s="81"/>
      <c r="K47" s="81"/>
      <c r="L47" s="81"/>
      <c r="M47" s="81"/>
      <c r="N47" s="81"/>
    </row>
    <row r="48" spans="2:14" ht="27" x14ac:dyDescent="0.25">
      <c r="B48" s="118" t="s">
        <v>107</v>
      </c>
      <c r="C48" s="94">
        <f>$E$37</f>
        <v>2103.1882917155904</v>
      </c>
      <c r="D48" s="123">
        <v>4.0000000000000001E-3</v>
      </c>
      <c r="E48" s="124">
        <f t="shared" ref="E48:E51" si="1">D48*C48</f>
        <v>8.4127531668623625</v>
      </c>
      <c r="F48" s="125">
        <v>1.9E-2</v>
      </c>
      <c r="G48" s="122">
        <f t="shared" ref="G48:G51" si="2">F48*C48</f>
        <v>39.960577542596219</v>
      </c>
      <c r="I48" s="81"/>
      <c r="J48" s="81"/>
      <c r="K48" s="81"/>
      <c r="L48" s="81"/>
      <c r="M48" s="81"/>
      <c r="N48" s="81"/>
    </row>
    <row r="49" spans="2:14" ht="27" x14ac:dyDescent="0.25">
      <c r="B49" s="118" t="s">
        <v>108</v>
      </c>
      <c r="C49" s="94">
        <f>$J$17</f>
        <v>2739.188291715589</v>
      </c>
      <c r="D49" s="123">
        <v>4.0099999999999997E-2</v>
      </c>
      <c r="E49" s="124">
        <f t="shared" si="1"/>
        <v>109.84145049779511</v>
      </c>
      <c r="F49" s="125">
        <v>6.0100000000000001E-2</v>
      </c>
      <c r="G49" s="122">
        <f t="shared" si="2"/>
        <v>164.6252163321069</v>
      </c>
      <c r="I49" s="81"/>
      <c r="J49" s="81"/>
      <c r="K49" s="81"/>
      <c r="L49" s="81"/>
      <c r="M49" s="81"/>
      <c r="N49" s="81"/>
    </row>
    <row r="50" spans="2:14" ht="27" x14ac:dyDescent="0.25">
      <c r="B50" s="118" t="s">
        <v>109</v>
      </c>
      <c r="C50" s="94">
        <f>+J18</f>
        <v>-635.99999999999864</v>
      </c>
      <c r="D50" s="123">
        <v>9.7199999999999995E-2</v>
      </c>
      <c r="E50" s="124">
        <f t="shared" si="1"/>
        <v>-61.819199999999867</v>
      </c>
      <c r="F50" s="125">
        <v>0.1457</v>
      </c>
      <c r="G50" s="122">
        <f t="shared" si="2"/>
        <v>-92.6651999999998</v>
      </c>
      <c r="I50" s="81"/>
      <c r="J50" s="81"/>
      <c r="K50" s="81"/>
      <c r="L50" s="81"/>
      <c r="M50" s="81"/>
      <c r="N50" s="81"/>
    </row>
    <row r="51" spans="2:14" ht="27" x14ac:dyDescent="0.25">
      <c r="B51" s="118" t="s">
        <v>110</v>
      </c>
      <c r="C51" s="94">
        <f>'REGUL WINCKERT'!H43</f>
        <v>-15300</v>
      </c>
      <c r="D51" s="123">
        <v>1.4E-3</v>
      </c>
      <c r="E51" s="124">
        <f t="shared" si="1"/>
        <v>-21.419999999999998</v>
      </c>
      <c r="F51" s="125">
        <v>2.0999999999999999E-3</v>
      </c>
      <c r="G51" s="122">
        <f t="shared" si="2"/>
        <v>-32.129999999999995</v>
      </c>
      <c r="I51" s="81"/>
      <c r="J51" s="81"/>
      <c r="K51" s="81"/>
      <c r="L51" s="81"/>
      <c r="M51" s="81"/>
      <c r="N51" s="81"/>
    </row>
    <row r="52" spans="2:14" x14ac:dyDescent="0.25">
      <c r="B52" s="118" t="s">
        <v>111</v>
      </c>
      <c r="C52" s="94"/>
      <c r="D52" s="123"/>
      <c r="E52" s="124"/>
      <c r="F52" s="125"/>
      <c r="G52" s="122"/>
    </row>
    <row r="53" spans="2:14" x14ac:dyDescent="0.25">
      <c r="B53" s="113" t="s">
        <v>112</v>
      </c>
      <c r="C53" s="94">
        <f>$E$37</f>
        <v>2103.1882917155904</v>
      </c>
      <c r="D53" s="128"/>
      <c r="E53" s="94"/>
      <c r="F53" s="125">
        <v>3.4500000000000003E-2</v>
      </c>
      <c r="G53" s="322">
        <f>F53*C53</f>
        <v>72.559996064187871</v>
      </c>
    </row>
    <row r="54" spans="2:14" x14ac:dyDescent="0.25">
      <c r="B54" s="113" t="s">
        <v>113</v>
      </c>
      <c r="C54" s="94"/>
      <c r="D54" s="128"/>
      <c r="E54" s="94"/>
      <c r="F54" s="130"/>
      <c r="G54" s="122"/>
    </row>
    <row r="55" spans="2:14" x14ac:dyDescent="0.25">
      <c r="B55" s="118" t="s">
        <v>114</v>
      </c>
      <c r="C55" s="94">
        <f>E37</f>
        <v>2103.1882917155904</v>
      </c>
      <c r="D55" s="128"/>
      <c r="E55" s="94"/>
      <c r="F55" s="131">
        <v>4.2000000000000003E-2</v>
      </c>
      <c r="G55" s="122">
        <f t="shared" ref="G55" si="3">F55*C55</f>
        <v>88.333908252054798</v>
      </c>
    </row>
    <row r="56" spans="2:14" x14ac:dyDescent="0.25">
      <c r="B56" s="118" t="s">
        <v>115</v>
      </c>
      <c r="C56" s="94"/>
      <c r="D56" s="132">
        <v>2.4000000000000001E-4</v>
      </c>
      <c r="E56" s="133">
        <f>D56*C56</f>
        <v>0</v>
      </c>
      <c r="F56" s="130">
        <v>3.6000000000000002E-4</v>
      </c>
      <c r="G56" s="134">
        <f>C56*F56</f>
        <v>0</v>
      </c>
    </row>
    <row r="57" spans="2:14" x14ac:dyDescent="0.25">
      <c r="B57" s="113" t="s">
        <v>116</v>
      </c>
      <c r="C57" s="94"/>
      <c r="D57" s="128"/>
      <c r="E57" s="94"/>
      <c r="F57" s="130"/>
      <c r="G57" s="122">
        <f>E103</f>
        <v>35.254479281638623</v>
      </c>
    </row>
    <row r="58" spans="2:14" x14ac:dyDescent="0.25">
      <c r="B58" s="126"/>
      <c r="C58" s="94"/>
      <c r="D58" s="94"/>
      <c r="E58" s="94"/>
      <c r="F58" s="94"/>
      <c r="G58" s="135"/>
    </row>
    <row r="59" spans="2:14" ht="25.5" x14ac:dyDescent="0.25">
      <c r="B59" s="136" t="s">
        <v>117</v>
      </c>
      <c r="C59" s="94"/>
      <c r="D59" s="94"/>
      <c r="E59" s="94"/>
      <c r="F59" s="94"/>
      <c r="G59" s="135"/>
    </row>
    <row r="60" spans="2:14" x14ac:dyDescent="0.25">
      <c r="B60" s="126"/>
      <c r="C60" s="94"/>
      <c r="D60" s="132"/>
      <c r="E60" s="94"/>
      <c r="F60" s="137"/>
      <c r="G60" s="122"/>
    </row>
    <row r="61" spans="2:14" x14ac:dyDescent="0.25">
      <c r="B61" s="126" t="s">
        <v>118</v>
      </c>
      <c r="C61" s="94">
        <f>(E37*0.9825)+G44</f>
        <v>2088.3824966105676</v>
      </c>
      <c r="D61" s="123">
        <v>6.8000000000000005E-2</v>
      </c>
      <c r="E61" s="124">
        <f>D61*C61</f>
        <v>142.0100097695186</v>
      </c>
      <c r="F61" s="125"/>
      <c r="G61" s="122"/>
    </row>
    <row r="62" spans="2:14" x14ac:dyDescent="0.25">
      <c r="B62" s="126" t="s">
        <v>119</v>
      </c>
      <c r="C62" s="94">
        <f>C61</f>
        <v>2088.3824966105676</v>
      </c>
      <c r="D62" s="123">
        <v>2.9000000000000001E-2</v>
      </c>
      <c r="E62" s="124">
        <f>D62*C62</f>
        <v>60.563092401706463</v>
      </c>
      <c r="F62" s="125"/>
      <c r="G62" s="122"/>
    </row>
    <row r="63" spans="2:14" ht="25.5" x14ac:dyDescent="0.25">
      <c r="B63" s="138" t="s">
        <v>120</v>
      </c>
      <c r="C63" s="94">
        <f>(E24+E25+E26+E27)*0.9825</f>
        <v>0</v>
      </c>
      <c r="D63" s="123">
        <v>9.7000000000000003E-2</v>
      </c>
      <c r="E63" s="124">
        <f>D63*C63</f>
        <v>0</v>
      </c>
      <c r="F63" s="125"/>
      <c r="G63" s="122"/>
    </row>
    <row r="64" spans="2:14" x14ac:dyDescent="0.25">
      <c r="B64" s="138" t="s">
        <v>121</v>
      </c>
      <c r="C64" s="123"/>
      <c r="D64" s="123"/>
      <c r="E64" s="124"/>
      <c r="F64" s="125"/>
      <c r="G64" s="135"/>
    </row>
    <row r="65" spans="2:10" ht="32.25" customHeight="1" x14ac:dyDescent="0.25">
      <c r="B65" s="138" t="s">
        <v>122</v>
      </c>
      <c r="C65" s="139">
        <f>E24+E25+E26+E27</f>
        <v>0</v>
      </c>
      <c r="D65" s="123">
        <v>-0.11310000000000001</v>
      </c>
      <c r="E65" s="124">
        <f>D65*C65</f>
        <v>0</v>
      </c>
      <c r="F65" s="125"/>
      <c r="G65" s="122"/>
    </row>
    <row r="66" spans="2:10" ht="21.75" customHeight="1" thickBot="1" x14ac:dyDescent="0.3">
      <c r="B66" s="140" t="s">
        <v>123</v>
      </c>
      <c r="C66" s="141">
        <f>IF(AND(J4=151.67,J6&lt;20),C24+C25,0)</f>
        <v>0</v>
      </c>
      <c r="D66" s="142"/>
      <c r="E66" s="143"/>
      <c r="F66" s="144">
        <v>-1.5</v>
      </c>
      <c r="G66" s="145">
        <f>F66*C66</f>
        <v>0</v>
      </c>
    </row>
    <row r="67" spans="2:10" ht="15.75" thickBot="1" x14ac:dyDescent="0.3">
      <c r="B67" s="146" t="s">
        <v>124</v>
      </c>
      <c r="C67" s="147"/>
      <c r="D67" s="148"/>
      <c r="E67" s="149">
        <f>SUM(E41:E66)</f>
        <v>446.59209796425836</v>
      </c>
      <c r="F67" s="150"/>
      <c r="G67" s="151">
        <f>SUM(G41:G66)</f>
        <v>755.07753533612015</v>
      </c>
    </row>
    <row r="68" spans="2:10" x14ac:dyDescent="0.25">
      <c r="B68" s="152"/>
      <c r="C68" s="153"/>
      <c r="D68" s="154"/>
      <c r="E68" s="155"/>
      <c r="F68" s="156"/>
      <c r="G68" s="157"/>
    </row>
    <row r="69" spans="2:10" ht="15.75" thickBot="1" x14ac:dyDescent="0.3">
      <c r="B69" s="118" t="s">
        <v>125</v>
      </c>
      <c r="C69" s="124"/>
      <c r="D69" s="158"/>
      <c r="E69" s="159"/>
      <c r="F69" s="160"/>
      <c r="G69" s="161"/>
    </row>
    <row r="70" spans="2:10" x14ac:dyDescent="0.25">
      <c r="B70" s="118" t="s">
        <v>126</v>
      </c>
      <c r="C70" s="124"/>
      <c r="D70" s="158"/>
      <c r="E70" s="159"/>
      <c r="F70" s="160"/>
      <c r="G70" s="161"/>
      <c r="I70" s="16" t="s">
        <v>269</v>
      </c>
      <c r="J70" s="432">
        <f>E79</f>
        <v>1739.1592861530385</v>
      </c>
    </row>
    <row r="71" spans="2:10" x14ac:dyDescent="0.25">
      <c r="B71" s="118" t="s">
        <v>127</v>
      </c>
      <c r="C71" s="124"/>
      <c r="D71" s="158"/>
      <c r="E71" s="124"/>
      <c r="F71" s="160"/>
      <c r="G71" s="161"/>
      <c r="I71" s="20" t="s">
        <v>286</v>
      </c>
      <c r="J71" s="319">
        <f>'ARRET WINKERT'!D26</f>
        <v>556.33551780821927</v>
      </c>
    </row>
    <row r="72" spans="2:10" ht="15.75" customHeight="1" x14ac:dyDescent="0.25">
      <c r="B72" s="162" t="s">
        <v>128</v>
      </c>
      <c r="C72" s="124"/>
      <c r="D72" s="158"/>
      <c r="E72" s="163"/>
      <c r="F72" s="160"/>
      <c r="G72" s="161"/>
      <c r="I72" s="20" t="s">
        <v>287</v>
      </c>
      <c r="J72" s="319">
        <f>J71*3.8%</f>
        <v>21.140749676712332</v>
      </c>
    </row>
    <row r="73" spans="2:10" x14ac:dyDescent="0.25">
      <c r="B73" s="164" t="s">
        <v>249</v>
      </c>
      <c r="C73" s="356"/>
      <c r="D73" s="361">
        <v>0.5</v>
      </c>
      <c r="E73" s="166">
        <f>C73*D73</f>
        <v>0</v>
      </c>
      <c r="F73" s="167"/>
      <c r="G73" s="161"/>
      <c r="I73" s="20" t="s">
        <v>288</v>
      </c>
      <c r="J73" s="319">
        <f>+J71-J72</f>
        <v>535.19476813150698</v>
      </c>
    </row>
    <row r="74" spans="2:10" ht="15.75" thickBot="1" x14ac:dyDescent="0.3">
      <c r="B74" s="168" t="s">
        <v>217</v>
      </c>
      <c r="C74" s="124"/>
      <c r="D74" s="158"/>
      <c r="E74" s="169">
        <f>'ARRET WINKERT'!D28</f>
        <v>519.06103811506853</v>
      </c>
      <c r="F74" s="160"/>
      <c r="G74" s="161"/>
      <c r="I74" s="37" t="s">
        <v>289</v>
      </c>
      <c r="J74" s="320">
        <f>J73+J70</f>
        <v>2274.3540542845453</v>
      </c>
    </row>
    <row r="75" spans="2:10" ht="15.75" thickBot="1" x14ac:dyDescent="0.3">
      <c r="B75" s="140"/>
      <c r="C75" s="143"/>
      <c r="D75" s="170"/>
      <c r="E75" s="171"/>
      <c r="F75" s="172"/>
      <c r="G75" s="145"/>
    </row>
    <row r="76" spans="2:10" ht="15.75" thickBot="1" x14ac:dyDescent="0.3">
      <c r="B76" s="173" t="s">
        <v>130</v>
      </c>
      <c r="C76" s="147"/>
      <c r="D76" s="148"/>
      <c r="E76" s="149"/>
      <c r="F76" s="150"/>
      <c r="G76" s="174">
        <f>E37-E67+E69+E70+E71+E72+E73+E74+E75</f>
        <v>2175.6572318664007</v>
      </c>
    </row>
    <row r="77" spans="2:10" ht="28.5" x14ac:dyDescent="0.25">
      <c r="B77" s="175" t="s">
        <v>131</v>
      </c>
      <c r="C77" s="176"/>
      <c r="D77" s="177"/>
      <c r="E77" s="178"/>
      <c r="F77" s="179"/>
      <c r="G77" s="180">
        <f>E110</f>
        <v>30.747928746661444</v>
      </c>
    </row>
    <row r="78" spans="2:10" x14ac:dyDescent="0.25">
      <c r="B78" s="372" t="s">
        <v>132</v>
      </c>
      <c r="C78" s="372" t="s">
        <v>133</v>
      </c>
      <c r="D78" s="372" t="s">
        <v>96</v>
      </c>
      <c r="E78" s="373" t="s">
        <v>134</v>
      </c>
      <c r="F78" s="373"/>
      <c r="G78" s="374" t="s">
        <v>252</v>
      </c>
    </row>
    <row r="79" spans="2:10" x14ac:dyDescent="0.25">
      <c r="B79" s="375" t="s">
        <v>253</v>
      </c>
      <c r="C79" s="376"/>
      <c r="D79" s="377"/>
      <c r="E79" s="378">
        <f>E37-E67+E62+G44</f>
        <v>1739.1592861530385</v>
      </c>
      <c r="F79" s="379"/>
      <c r="G79" s="380"/>
    </row>
    <row r="80" spans="2:10" x14ac:dyDescent="0.25">
      <c r="B80" s="375" t="s">
        <v>254</v>
      </c>
      <c r="C80" s="381">
        <f>J74</f>
        <v>2274.3540542845453</v>
      </c>
      <c r="D80" s="382">
        <v>5.6000000000000001E-2</v>
      </c>
      <c r="E80" s="378">
        <f>D80*C80</f>
        <v>127.36382703993453</v>
      </c>
      <c r="F80" s="379"/>
      <c r="G80" s="380"/>
    </row>
    <row r="81" spans="2:7" x14ac:dyDescent="0.25">
      <c r="B81" s="375" t="s">
        <v>255</v>
      </c>
      <c r="C81" s="376"/>
      <c r="D81" s="378"/>
      <c r="E81" s="377"/>
      <c r="F81" s="379"/>
      <c r="G81" s="380"/>
    </row>
    <row r="82" spans="2:7" x14ac:dyDescent="0.25">
      <c r="B82" s="375"/>
      <c r="C82" s="376"/>
      <c r="D82" s="377"/>
      <c r="E82" s="377"/>
      <c r="F82" s="379"/>
      <c r="G82" s="383"/>
    </row>
    <row r="83" spans="2:7" x14ac:dyDescent="0.25">
      <c r="B83" s="384" t="s">
        <v>256</v>
      </c>
      <c r="C83" s="377"/>
      <c r="D83" s="377"/>
      <c r="E83" s="378">
        <f>G76-E80</f>
        <v>2048.293404826466</v>
      </c>
      <c r="F83" s="379"/>
      <c r="G83" s="380"/>
    </row>
    <row r="84" spans="2:7" x14ac:dyDescent="0.25">
      <c r="B84" s="375" t="s">
        <v>257</v>
      </c>
      <c r="C84" s="377"/>
      <c r="D84" s="377"/>
      <c r="E84" s="378">
        <f>E118</f>
        <v>164.04868675381604</v>
      </c>
      <c r="F84" s="379"/>
      <c r="G84" s="380"/>
    </row>
    <row r="85" spans="2:7" x14ac:dyDescent="0.25">
      <c r="B85" s="375" t="s">
        <v>258</v>
      </c>
      <c r="C85" s="385"/>
      <c r="D85" s="377"/>
      <c r="E85" s="378">
        <f>E37+G67</f>
        <v>2858.2658270517104</v>
      </c>
      <c r="F85" s="379"/>
      <c r="G85" s="380"/>
    </row>
    <row r="86" spans="2:7" ht="15.75" thickBot="1" x14ac:dyDescent="0.3">
      <c r="B86" s="386" t="s">
        <v>137</v>
      </c>
      <c r="C86" s="184"/>
      <c r="D86" s="184"/>
      <c r="E86" s="184"/>
      <c r="F86" s="387"/>
      <c r="G86" s="388"/>
    </row>
    <row r="87" spans="2:7" ht="15.75" thickBot="1" x14ac:dyDescent="0.3">
      <c r="B87" s="182" t="s">
        <v>137</v>
      </c>
      <c r="C87" s="183"/>
      <c r="D87" s="183"/>
      <c r="E87" s="184"/>
      <c r="F87" s="184"/>
      <c r="G87" s="185"/>
    </row>
    <row r="90" spans="2:7" s="186" customFormat="1" ht="15.75" thickBot="1" x14ac:dyDescent="0.3">
      <c r="B90" s="539" t="s">
        <v>116</v>
      </c>
      <c r="C90" s="540"/>
      <c r="D90" s="8"/>
      <c r="E90" s="8"/>
    </row>
    <row r="91" spans="2:7" s="186" customFormat="1" x14ac:dyDescent="0.25">
      <c r="B91" s="187"/>
      <c r="C91" s="188"/>
      <c r="D91" s="541">
        <f>+E37</f>
        <v>2103.1882917155904</v>
      </c>
      <c r="E91" s="189"/>
    </row>
    <row r="92" spans="2:7" s="186" customFormat="1" x14ac:dyDescent="0.25">
      <c r="B92" s="190" t="s">
        <v>138</v>
      </c>
      <c r="C92" s="191">
        <f>IF(J6&gt;=11,J8,0)</f>
        <v>0</v>
      </c>
      <c r="D92" s="542"/>
      <c r="E92" s="192">
        <f>C92*$D$91</f>
        <v>0</v>
      </c>
    </row>
    <row r="93" spans="2:7" s="186" customFormat="1" x14ac:dyDescent="0.25">
      <c r="B93" s="190" t="s">
        <v>139</v>
      </c>
      <c r="C93" s="191">
        <f>IF(J6&lt;50,0%,0.5%)</f>
        <v>0</v>
      </c>
      <c r="D93" s="542"/>
      <c r="E93" s="192">
        <f t="shared" ref="E93:E98" si="4">C93*$D$91</f>
        <v>0</v>
      </c>
    </row>
    <row r="94" spans="2:7" s="186" customFormat="1" x14ac:dyDescent="0.25">
      <c r="B94" s="190" t="s">
        <v>140</v>
      </c>
      <c r="C94" s="191">
        <v>1.6000000000000001E-4</v>
      </c>
      <c r="D94" s="542"/>
      <c r="E94" s="192">
        <f t="shared" si="4"/>
        <v>0.33651012667449448</v>
      </c>
    </row>
    <row r="95" spans="2:7" s="186" customFormat="1" x14ac:dyDescent="0.25">
      <c r="B95" s="190" t="s">
        <v>141</v>
      </c>
      <c r="C95" s="191">
        <v>3.0000000000000001E-3</v>
      </c>
      <c r="D95" s="542"/>
      <c r="E95" s="192">
        <f t="shared" si="4"/>
        <v>6.309564875146771</v>
      </c>
    </row>
    <row r="96" spans="2:7" s="186" customFormat="1" x14ac:dyDescent="0.25">
      <c r="B96" s="190" t="s">
        <v>142</v>
      </c>
      <c r="C96" s="191">
        <v>6.7999999999999996E-3</v>
      </c>
      <c r="D96" s="542"/>
      <c r="E96" s="192">
        <f t="shared" si="4"/>
        <v>14.301680383666014</v>
      </c>
    </row>
    <row r="97" spans="2:5" s="186" customFormat="1" x14ac:dyDescent="0.25">
      <c r="B97" s="190" t="s">
        <v>143</v>
      </c>
      <c r="C97" s="191">
        <f>IF(J6&lt;11,0.55%,1%)</f>
        <v>5.5000000000000005E-3</v>
      </c>
      <c r="D97" s="542"/>
      <c r="E97" s="192">
        <f t="shared" si="4"/>
        <v>11.567535604435749</v>
      </c>
    </row>
    <row r="98" spans="2:5" s="186" customFormat="1" x14ac:dyDescent="0.25">
      <c r="B98" s="190"/>
      <c r="C98" s="191">
        <f>IF(J6&lt;=50,0,0.45%)</f>
        <v>0</v>
      </c>
      <c r="D98" s="542"/>
      <c r="E98" s="192">
        <f t="shared" si="4"/>
        <v>0</v>
      </c>
    </row>
    <row r="99" spans="2:5" s="186" customFormat="1" x14ac:dyDescent="0.25">
      <c r="B99" s="20"/>
      <c r="C99" s="21"/>
      <c r="D99" s="21"/>
      <c r="E99" s="22"/>
    </row>
    <row r="100" spans="2:5" s="186" customFormat="1" x14ac:dyDescent="0.25">
      <c r="B100" s="20" t="s">
        <v>144</v>
      </c>
      <c r="C100" s="193">
        <f>IF(J6&gt;=11,+G42+G43+G44,0)</f>
        <v>0</v>
      </c>
      <c r="D100" s="194">
        <v>0.08</v>
      </c>
      <c r="E100" s="195">
        <f>D100*C100</f>
        <v>0</v>
      </c>
    </row>
    <row r="101" spans="2:5" s="186" customFormat="1" ht="15.75" thickBot="1" x14ac:dyDescent="0.3">
      <c r="B101" s="37" t="s">
        <v>145</v>
      </c>
      <c r="C101" s="196">
        <f>IF(J6&lt;50,J17,0)</f>
        <v>2739.188291715589</v>
      </c>
      <c r="D101" s="197">
        <v>1E-3</v>
      </c>
      <c r="E101" s="198">
        <f>D101*C101</f>
        <v>2.739188291715589</v>
      </c>
    </row>
    <row r="102" spans="2:5" s="186" customFormat="1" ht="15.75" thickBot="1" x14ac:dyDescent="0.3">
      <c r="B102" s="8"/>
      <c r="C102" s="8"/>
      <c r="D102" s="8"/>
      <c r="E102" s="8"/>
    </row>
    <row r="103" spans="2:5" s="186" customFormat="1" ht="15.75" thickBot="1" x14ac:dyDescent="0.3">
      <c r="B103" s="199" t="s">
        <v>146</v>
      </c>
      <c r="C103" s="200"/>
      <c r="D103" s="200"/>
      <c r="E103" s="201">
        <f>SUM(E92:E101)</f>
        <v>35.254479281638623</v>
      </c>
    </row>
    <row r="104" spans="2:5" s="186" customFormat="1" ht="15.75" thickBot="1" x14ac:dyDescent="0.3">
      <c r="B104" s="8"/>
      <c r="C104" s="8"/>
      <c r="D104" s="8"/>
      <c r="E104" s="8"/>
    </row>
    <row r="105" spans="2:5" s="186" customFormat="1" thickBot="1" x14ac:dyDescent="0.3">
      <c r="B105" s="529" t="s">
        <v>147</v>
      </c>
      <c r="C105" s="530"/>
      <c r="D105" s="530"/>
      <c r="E105" s="531"/>
    </row>
    <row r="106" spans="2:5" s="186" customFormat="1" x14ac:dyDescent="0.25">
      <c r="B106" s="202" t="s">
        <v>148</v>
      </c>
      <c r="C106" s="203">
        <f>E37</f>
        <v>2103.1882917155904</v>
      </c>
      <c r="D106" s="204">
        <v>2.4E-2</v>
      </c>
      <c r="E106" s="205">
        <f>D106*C106</f>
        <v>50.476519001174168</v>
      </c>
    </row>
    <row r="107" spans="2:5" s="186" customFormat="1" x14ac:dyDescent="0.25">
      <c r="B107" s="206" t="s">
        <v>17</v>
      </c>
      <c r="C107" s="203">
        <f>C106</f>
        <v>2103.1882917155904</v>
      </c>
      <c r="D107" s="207">
        <v>7.4999999999999997E-3</v>
      </c>
      <c r="E107" s="208">
        <f t="shared" ref="E107:E108" si="5">D107*C107</f>
        <v>15.773912187866927</v>
      </c>
    </row>
    <row r="108" spans="2:5" s="186" customFormat="1" x14ac:dyDescent="0.25">
      <c r="B108" s="206" t="s">
        <v>149</v>
      </c>
      <c r="C108" s="203">
        <f>C61+C63</f>
        <v>2088.3824966105676</v>
      </c>
      <c r="D108" s="207">
        <v>-1.7000000000000001E-2</v>
      </c>
      <c r="E108" s="208">
        <f t="shared" si="5"/>
        <v>-35.502502442379651</v>
      </c>
    </row>
    <row r="109" spans="2:5" s="186" customFormat="1" x14ac:dyDescent="0.25">
      <c r="B109" s="181"/>
      <c r="C109" s="209"/>
      <c r="D109" s="210"/>
      <c r="E109" s="211"/>
    </row>
    <row r="110" spans="2:5" s="186" customFormat="1" ht="15.75" thickBot="1" x14ac:dyDescent="0.3">
      <c r="B110" s="212" t="s">
        <v>150</v>
      </c>
      <c r="C110" s="213"/>
      <c r="D110" s="214"/>
      <c r="E110" s="215">
        <f>SUM(E106:E109)</f>
        <v>30.747928746661444</v>
      </c>
    </row>
    <row r="111" spans="2:5" s="186" customFormat="1" ht="12.75" x14ac:dyDescent="0.25"/>
    <row r="112" spans="2:5" s="186" customFormat="1" ht="13.5" thickBot="1" x14ac:dyDescent="0.3"/>
    <row r="113" spans="2:5" s="186" customFormat="1" thickBot="1" x14ac:dyDescent="0.3">
      <c r="B113" s="529" t="s">
        <v>151</v>
      </c>
      <c r="C113" s="530"/>
      <c r="D113" s="530"/>
      <c r="E113" s="531"/>
    </row>
    <row r="114" spans="2:5" s="186" customFormat="1" ht="15.75" customHeight="1" x14ac:dyDescent="0.25">
      <c r="B114" s="216" t="s">
        <v>152</v>
      </c>
      <c r="C114" s="217"/>
      <c r="D114" s="217"/>
      <c r="E114" s="218"/>
    </row>
    <row r="115" spans="2:5" s="186" customFormat="1" ht="15.75" customHeight="1" x14ac:dyDescent="0.25">
      <c r="B115" s="219"/>
      <c r="C115" s="220">
        <f>C66</f>
        <v>0</v>
      </c>
      <c r="D115" s="221"/>
      <c r="E115" s="222">
        <f>D115*C115</f>
        <v>0</v>
      </c>
    </row>
    <row r="116" spans="2:5" s="186" customFormat="1" ht="15.75" customHeight="1" x14ac:dyDescent="0.25">
      <c r="B116" s="219" t="s">
        <v>154</v>
      </c>
      <c r="C116" s="223">
        <f>C41</f>
        <v>2103.1882917155904</v>
      </c>
      <c r="D116" s="207">
        <v>1.7999999999999999E-2</v>
      </c>
      <c r="E116" s="222">
        <f>D116*C116</f>
        <v>37.857389250880622</v>
      </c>
    </row>
    <row r="117" spans="2:5" s="186" customFormat="1" ht="15.75" customHeight="1" x14ac:dyDescent="0.25">
      <c r="B117" s="219" t="s">
        <v>155</v>
      </c>
      <c r="C117" s="223">
        <f>C116</f>
        <v>2103.1882917155904</v>
      </c>
      <c r="D117" s="207">
        <v>0.06</v>
      </c>
      <c r="E117" s="222">
        <f>D117*C117</f>
        <v>126.19129750293541</v>
      </c>
    </row>
    <row r="118" spans="2:5" s="186" customFormat="1" ht="15.75" customHeight="1" thickBot="1" x14ac:dyDescent="0.3">
      <c r="B118" s="224" t="s">
        <v>156</v>
      </c>
      <c r="C118" s="225"/>
      <c r="D118" s="225"/>
      <c r="E118" s="226">
        <f>E114+E115+E116+E117</f>
        <v>164.04868675381604</v>
      </c>
    </row>
  </sheetData>
  <mergeCells count="6">
    <mergeCell ref="B113:E113"/>
    <mergeCell ref="C17:D17"/>
    <mergeCell ref="F17:G17"/>
    <mergeCell ref="B90:C90"/>
    <mergeCell ref="D91:D98"/>
    <mergeCell ref="B105:E10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AE2AD-1529-4967-94A6-9907E2177750}">
  <dimension ref="A1:M41"/>
  <sheetViews>
    <sheetView workbookViewId="0">
      <selection activeCell="I1" sqref="I1"/>
    </sheetView>
  </sheetViews>
  <sheetFormatPr baseColWidth="10" defaultRowHeight="15" x14ac:dyDescent="0.25"/>
  <cols>
    <col min="2" max="2" width="16.7109375" customWidth="1"/>
    <col min="3" max="3" width="13.85546875" customWidth="1"/>
    <col min="4" max="4" width="39.7109375" customWidth="1"/>
    <col min="11" max="11" width="19.28515625" bestFit="1" customWidth="1"/>
    <col min="13" max="13" width="20.42578125" bestFit="1" customWidth="1"/>
  </cols>
  <sheetData>
    <row r="1" spans="1:13" ht="15.75" thickBot="1" x14ac:dyDescent="0.3">
      <c r="B1" s="440" t="s">
        <v>3</v>
      </c>
      <c r="C1" s="441">
        <v>45025</v>
      </c>
      <c r="D1" s="442" t="s">
        <v>293</v>
      </c>
      <c r="F1" s="435" t="s">
        <v>3</v>
      </c>
      <c r="G1" s="436">
        <v>45025</v>
      </c>
      <c r="I1" s="437" t="s">
        <v>5</v>
      </c>
      <c r="J1" s="438">
        <v>45064</v>
      </c>
    </row>
    <row r="2" spans="1:13" ht="15.75" thickBot="1" x14ac:dyDescent="0.3">
      <c r="A2" s="484">
        <v>1</v>
      </c>
      <c r="B2" s="435" t="s">
        <v>4</v>
      </c>
      <c r="C2" s="443">
        <v>45026</v>
      </c>
      <c r="D2" s="549" t="s">
        <v>294</v>
      </c>
      <c r="F2" s="437" t="s">
        <v>4</v>
      </c>
      <c r="G2" s="438">
        <v>45026</v>
      </c>
      <c r="I2" s="434" t="s">
        <v>6</v>
      </c>
      <c r="J2" s="439">
        <v>45065</v>
      </c>
    </row>
    <row r="3" spans="1:13" x14ac:dyDescent="0.25">
      <c r="A3" s="485">
        <v>2</v>
      </c>
      <c r="B3" s="437" t="s">
        <v>299</v>
      </c>
      <c r="C3" s="444">
        <v>45027</v>
      </c>
      <c r="D3" s="550"/>
      <c r="F3" s="437" t="s">
        <v>299</v>
      </c>
      <c r="G3" s="438">
        <v>45027</v>
      </c>
      <c r="I3" s="437" t="s">
        <v>7</v>
      </c>
      <c r="J3" s="438">
        <v>45066</v>
      </c>
      <c r="M3" s="487">
        <v>43952</v>
      </c>
    </row>
    <row r="4" spans="1:13" ht="15.75" thickBot="1" x14ac:dyDescent="0.3">
      <c r="A4" s="485">
        <v>3</v>
      </c>
      <c r="B4" s="437" t="s">
        <v>300</v>
      </c>
      <c r="C4" s="444">
        <v>45028</v>
      </c>
      <c r="D4" s="550"/>
      <c r="F4" s="437" t="s">
        <v>300</v>
      </c>
      <c r="G4" s="438">
        <v>45028</v>
      </c>
      <c r="I4" s="434" t="s">
        <v>3</v>
      </c>
      <c r="J4" s="439">
        <v>45067</v>
      </c>
      <c r="M4" s="487">
        <v>43953</v>
      </c>
    </row>
    <row r="5" spans="1:13" x14ac:dyDescent="0.25">
      <c r="A5" s="485">
        <v>4</v>
      </c>
      <c r="B5" s="437" t="s">
        <v>5</v>
      </c>
      <c r="C5" s="444">
        <v>45029</v>
      </c>
      <c r="D5" s="550"/>
      <c r="F5" s="437" t="s">
        <v>5</v>
      </c>
      <c r="G5" s="438">
        <v>45029</v>
      </c>
      <c r="I5" s="437" t="s">
        <v>4</v>
      </c>
      <c r="J5" s="438">
        <v>45068</v>
      </c>
      <c r="K5" s="487">
        <v>43930</v>
      </c>
      <c r="M5" s="487">
        <v>43954</v>
      </c>
    </row>
    <row r="6" spans="1:13" ht="15.75" thickBot="1" x14ac:dyDescent="0.3">
      <c r="A6" s="485">
        <v>5</v>
      </c>
      <c r="B6" s="437" t="s">
        <v>6</v>
      </c>
      <c r="C6" s="444">
        <v>45030</v>
      </c>
      <c r="D6" s="550"/>
      <c r="F6" s="437" t="s">
        <v>6</v>
      </c>
      <c r="G6" s="438">
        <v>45030</v>
      </c>
      <c r="I6" s="434" t="s">
        <v>299</v>
      </c>
      <c r="J6" s="439">
        <v>45069</v>
      </c>
      <c r="M6" s="487">
        <v>43955</v>
      </c>
    </row>
    <row r="7" spans="1:13" x14ac:dyDescent="0.25">
      <c r="A7" s="485">
        <v>6</v>
      </c>
      <c r="B7" s="437" t="s">
        <v>7</v>
      </c>
      <c r="C7" s="444">
        <v>45031</v>
      </c>
      <c r="D7" s="550"/>
      <c r="F7" s="437" t="s">
        <v>7</v>
      </c>
      <c r="G7" s="438">
        <v>45031</v>
      </c>
      <c r="I7" s="437" t="s">
        <v>300</v>
      </c>
      <c r="J7" s="438">
        <v>45070</v>
      </c>
      <c r="M7" s="487">
        <v>43956</v>
      </c>
    </row>
    <row r="8" spans="1:13" ht="15.75" thickBot="1" x14ac:dyDescent="0.3">
      <c r="A8" s="485">
        <v>7</v>
      </c>
      <c r="B8" s="437" t="s">
        <v>3</v>
      </c>
      <c r="C8" s="444">
        <v>45032</v>
      </c>
      <c r="D8" s="550"/>
      <c r="F8" s="437" t="s">
        <v>3</v>
      </c>
      <c r="G8" s="438">
        <v>45032</v>
      </c>
      <c r="I8" s="434" t="s">
        <v>5</v>
      </c>
      <c r="J8" s="439">
        <v>45071</v>
      </c>
      <c r="M8" s="487">
        <v>43957</v>
      </c>
    </row>
    <row r="9" spans="1:13" x14ac:dyDescent="0.25">
      <c r="A9" s="485">
        <v>8</v>
      </c>
      <c r="B9" s="437" t="s">
        <v>4</v>
      </c>
      <c r="C9" s="444">
        <v>45033</v>
      </c>
      <c r="D9" s="550"/>
      <c r="F9" s="437" t="s">
        <v>4</v>
      </c>
      <c r="G9" s="438">
        <v>45033</v>
      </c>
      <c r="I9" s="437" t="s">
        <v>6</v>
      </c>
      <c r="J9" s="438">
        <v>45072</v>
      </c>
      <c r="M9" s="487">
        <v>43958</v>
      </c>
    </row>
    <row r="10" spans="1:13" ht="15.75" thickBot="1" x14ac:dyDescent="0.3">
      <c r="A10" s="485">
        <v>9</v>
      </c>
      <c r="B10" s="437" t="s">
        <v>299</v>
      </c>
      <c r="C10" s="444">
        <v>45034</v>
      </c>
      <c r="D10" s="550"/>
      <c r="F10" s="437" t="s">
        <v>299</v>
      </c>
      <c r="G10" s="438">
        <v>45034</v>
      </c>
      <c r="I10" s="434" t="s">
        <v>7</v>
      </c>
      <c r="J10" s="439">
        <v>45073</v>
      </c>
      <c r="M10" s="487">
        <v>43959</v>
      </c>
    </row>
    <row r="11" spans="1:13" x14ac:dyDescent="0.25">
      <c r="A11" s="485">
        <v>10</v>
      </c>
      <c r="B11" s="437" t="s">
        <v>300</v>
      </c>
      <c r="C11" s="444">
        <v>45035</v>
      </c>
      <c r="D11" s="550"/>
      <c r="F11" s="437" t="s">
        <v>300</v>
      </c>
      <c r="G11" s="438">
        <v>45035</v>
      </c>
      <c r="I11" s="437" t="s">
        <v>3</v>
      </c>
      <c r="J11" s="438">
        <v>45074</v>
      </c>
      <c r="M11" s="487">
        <v>43960</v>
      </c>
    </row>
    <row r="12" spans="1:13" ht="15.75" thickBot="1" x14ac:dyDescent="0.3">
      <c r="A12" s="485">
        <v>11</v>
      </c>
      <c r="B12" s="437" t="s">
        <v>5</v>
      </c>
      <c r="C12" s="444">
        <v>45036</v>
      </c>
      <c r="D12" s="550"/>
      <c r="F12" s="437" t="s">
        <v>5</v>
      </c>
      <c r="G12" s="438">
        <v>45036</v>
      </c>
      <c r="I12" s="434" t="s">
        <v>4</v>
      </c>
      <c r="J12" s="439">
        <v>45075</v>
      </c>
      <c r="M12" s="487">
        <v>43961</v>
      </c>
    </row>
    <row r="13" spans="1:13" x14ac:dyDescent="0.25">
      <c r="A13" s="485">
        <v>12</v>
      </c>
      <c r="B13" s="437" t="s">
        <v>6</v>
      </c>
      <c r="C13" s="444">
        <v>45037</v>
      </c>
      <c r="D13" s="550"/>
      <c r="F13" s="437" t="s">
        <v>6</v>
      </c>
      <c r="G13" s="438">
        <v>45037</v>
      </c>
      <c r="I13" s="437" t="s">
        <v>299</v>
      </c>
      <c r="J13" s="438">
        <v>45076</v>
      </c>
      <c r="M13" s="487">
        <v>43962</v>
      </c>
    </row>
    <row r="14" spans="1:13" x14ac:dyDescent="0.25">
      <c r="A14" s="485">
        <v>13</v>
      </c>
      <c r="B14" s="437" t="s">
        <v>7</v>
      </c>
      <c r="C14" s="444">
        <v>45038</v>
      </c>
      <c r="D14" s="550"/>
      <c r="F14" s="437" t="s">
        <v>7</v>
      </c>
      <c r="G14" s="438">
        <v>45038</v>
      </c>
      <c r="I14" s="437" t="s">
        <v>300</v>
      </c>
      <c r="J14" s="438">
        <v>45077</v>
      </c>
      <c r="M14" s="487">
        <v>43963</v>
      </c>
    </row>
    <row r="15" spans="1:13" x14ac:dyDescent="0.25">
      <c r="A15" s="485">
        <v>14</v>
      </c>
      <c r="B15" s="437" t="s">
        <v>3</v>
      </c>
      <c r="C15" s="444">
        <v>45039</v>
      </c>
      <c r="D15" s="550"/>
      <c r="F15" s="437" t="s">
        <v>3</v>
      </c>
      <c r="G15" s="438">
        <v>45039</v>
      </c>
      <c r="M15" s="487">
        <v>43964</v>
      </c>
    </row>
    <row r="16" spans="1:13" ht="15.75" thickBot="1" x14ac:dyDescent="0.3">
      <c r="A16" s="486">
        <v>15</v>
      </c>
      <c r="B16" s="434" t="s">
        <v>4</v>
      </c>
      <c r="C16" s="445">
        <v>45040</v>
      </c>
      <c r="D16" s="551"/>
      <c r="F16" s="437" t="s">
        <v>4</v>
      </c>
      <c r="G16" s="438">
        <v>45040</v>
      </c>
      <c r="M16" s="487">
        <v>43965</v>
      </c>
    </row>
    <row r="17" spans="1:13" ht="15.75" thickBot="1" x14ac:dyDescent="0.3">
      <c r="B17" s="440" t="s">
        <v>299</v>
      </c>
      <c r="C17" s="441">
        <v>45041</v>
      </c>
      <c r="D17" s="442" t="s">
        <v>295</v>
      </c>
      <c r="F17" s="437" t="s">
        <v>299</v>
      </c>
      <c r="G17" s="438">
        <v>45041</v>
      </c>
      <c r="M17" s="487">
        <v>43966</v>
      </c>
    </row>
    <row r="18" spans="1:13" ht="15.75" thickBot="1" x14ac:dyDescent="0.3">
      <c r="B18" s="440" t="s">
        <v>322</v>
      </c>
      <c r="C18" s="441">
        <v>45043</v>
      </c>
      <c r="D18" s="442" t="s">
        <v>296</v>
      </c>
      <c r="F18" s="437" t="s">
        <v>300</v>
      </c>
      <c r="G18" s="438">
        <v>45042</v>
      </c>
      <c r="M18" s="487">
        <v>43967</v>
      </c>
    </row>
    <row r="19" spans="1:13" x14ac:dyDescent="0.25">
      <c r="A19" s="484">
        <v>1</v>
      </c>
      <c r="B19" s="435" t="s">
        <v>323</v>
      </c>
      <c r="C19" s="436">
        <v>45044</v>
      </c>
      <c r="D19" s="552" t="s">
        <v>297</v>
      </c>
      <c r="F19" s="437" t="s">
        <v>5</v>
      </c>
      <c r="G19" s="438">
        <v>45043</v>
      </c>
      <c r="M19" s="487">
        <v>43968</v>
      </c>
    </row>
    <row r="20" spans="1:13" x14ac:dyDescent="0.25">
      <c r="A20" s="485">
        <v>2</v>
      </c>
      <c r="B20" s="437" t="s">
        <v>324</v>
      </c>
      <c r="C20" s="444">
        <v>45045</v>
      </c>
      <c r="D20" s="553"/>
      <c r="F20" s="437" t="s">
        <v>6</v>
      </c>
      <c r="G20" s="438">
        <v>45044</v>
      </c>
      <c r="M20" s="487">
        <v>43969</v>
      </c>
    </row>
    <row r="21" spans="1:13" x14ac:dyDescent="0.25">
      <c r="A21" s="485">
        <v>3</v>
      </c>
      <c r="B21" s="437" t="s">
        <v>325</v>
      </c>
      <c r="C21" s="444">
        <v>45046</v>
      </c>
      <c r="D21" s="550"/>
      <c r="F21" s="437" t="s">
        <v>7</v>
      </c>
      <c r="G21" s="438">
        <v>45045</v>
      </c>
      <c r="M21" s="487">
        <v>43970</v>
      </c>
    </row>
    <row r="22" spans="1:13" x14ac:dyDescent="0.25">
      <c r="A22" s="485">
        <v>4</v>
      </c>
      <c r="B22" s="437" t="s">
        <v>299</v>
      </c>
      <c r="C22" s="444">
        <v>45048</v>
      </c>
      <c r="D22" s="553"/>
      <c r="F22" s="437" t="s">
        <v>3</v>
      </c>
      <c r="G22" s="438">
        <v>45046</v>
      </c>
      <c r="M22" s="487">
        <v>43971</v>
      </c>
    </row>
    <row r="23" spans="1:13" x14ac:dyDescent="0.25">
      <c r="A23" s="485">
        <v>5</v>
      </c>
      <c r="B23" s="437" t="s">
        <v>5</v>
      </c>
      <c r="C23" s="444">
        <v>45050</v>
      </c>
      <c r="D23" s="550"/>
      <c r="F23" s="437" t="s">
        <v>4</v>
      </c>
      <c r="G23" s="438">
        <v>45047</v>
      </c>
      <c r="M23" s="487">
        <v>43972</v>
      </c>
    </row>
    <row r="24" spans="1:13" x14ac:dyDescent="0.25">
      <c r="A24" s="485">
        <v>6</v>
      </c>
      <c r="B24" s="437" t="s">
        <v>6</v>
      </c>
      <c r="C24" s="444">
        <v>45051</v>
      </c>
      <c r="D24" s="553"/>
      <c r="F24" s="437" t="s">
        <v>299</v>
      </c>
      <c r="G24" s="438">
        <v>45048</v>
      </c>
      <c r="M24" s="487">
        <v>43973</v>
      </c>
    </row>
    <row r="25" spans="1:13" x14ac:dyDescent="0.25">
      <c r="A25" s="485">
        <v>7</v>
      </c>
      <c r="B25" s="437" t="s">
        <v>7</v>
      </c>
      <c r="C25" s="444">
        <v>45052</v>
      </c>
      <c r="D25" s="553"/>
      <c r="F25" s="437" t="s">
        <v>300</v>
      </c>
      <c r="G25" s="438">
        <v>45049</v>
      </c>
      <c r="M25" s="487">
        <v>43974</v>
      </c>
    </row>
    <row r="26" spans="1:13" x14ac:dyDescent="0.25">
      <c r="A26" s="485">
        <v>8</v>
      </c>
      <c r="B26" s="437" t="s">
        <v>3</v>
      </c>
      <c r="C26" s="444">
        <v>45053</v>
      </c>
      <c r="D26" s="553"/>
      <c r="F26" s="437" t="s">
        <v>5</v>
      </c>
      <c r="G26" s="438">
        <v>45050</v>
      </c>
      <c r="M26" s="487">
        <v>43975</v>
      </c>
    </row>
    <row r="27" spans="1:13" x14ac:dyDescent="0.25">
      <c r="A27" s="485">
        <v>9</v>
      </c>
      <c r="B27" s="437" t="s">
        <v>299</v>
      </c>
      <c r="C27" s="444">
        <v>45055</v>
      </c>
      <c r="D27" s="553"/>
      <c r="F27" s="437" t="s">
        <v>6</v>
      </c>
      <c r="G27" s="438">
        <v>45051</v>
      </c>
      <c r="M27" s="487">
        <v>43976</v>
      </c>
    </row>
    <row r="28" spans="1:13" x14ac:dyDescent="0.25">
      <c r="A28" s="485">
        <v>10</v>
      </c>
      <c r="B28" s="437" t="s">
        <v>5</v>
      </c>
      <c r="C28" s="444">
        <v>45057</v>
      </c>
      <c r="D28" s="553"/>
      <c r="F28" s="437" t="s">
        <v>7</v>
      </c>
      <c r="G28" s="438">
        <v>45052</v>
      </c>
      <c r="M28" s="487">
        <v>43977</v>
      </c>
    </row>
    <row r="29" spans="1:13" x14ac:dyDescent="0.25">
      <c r="A29" s="485">
        <v>11</v>
      </c>
      <c r="B29" s="437" t="s">
        <v>6</v>
      </c>
      <c r="C29" s="444">
        <v>45058</v>
      </c>
      <c r="D29" s="553"/>
      <c r="F29" s="437" t="s">
        <v>3</v>
      </c>
      <c r="G29" s="438">
        <v>45053</v>
      </c>
      <c r="M29" s="487">
        <v>43978</v>
      </c>
    </row>
    <row r="30" spans="1:13" x14ac:dyDescent="0.25">
      <c r="A30" s="485">
        <v>12</v>
      </c>
      <c r="B30" s="437" t="s">
        <v>7</v>
      </c>
      <c r="C30" s="444">
        <v>45059</v>
      </c>
      <c r="D30" s="553"/>
      <c r="F30" s="437" t="s">
        <v>4</v>
      </c>
      <c r="G30" s="438">
        <v>45054</v>
      </c>
      <c r="M30" s="487">
        <v>43979</v>
      </c>
    </row>
    <row r="31" spans="1:13" x14ac:dyDescent="0.25">
      <c r="A31" s="485">
        <v>13</v>
      </c>
      <c r="B31" s="437" t="s">
        <v>3</v>
      </c>
      <c r="C31" s="444">
        <v>45060</v>
      </c>
      <c r="D31" s="553"/>
      <c r="F31" s="437" t="s">
        <v>299</v>
      </c>
      <c r="G31" s="438">
        <v>45055</v>
      </c>
      <c r="M31" s="487">
        <v>43980</v>
      </c>
    </row>
    <row r="32" spans="1:13" x14ac:dyDescent="0.25">
      <c r="A32" s="485">
        <v>14</v>
      </c>
      <c r="B32" s="437" t="s">
        <v>4</v>
      </c>
      <c r="C32" s="444">
        <v>45061</v>
      </c>
      <c r="D32" s="554"/>
      <c r="F32" s="437" t="s">
        <v>300</v>
      </c>
      <c r="G32" s="438">
        <v>45056</v>
      </c>
      <c r="M32" s="487">
        <v>43981</v>
      </c>
    </row>
    <row r="33" spans="1:13" ht="15.75" thickBot="1" x14ac:dyDescent="0.3">
      <c r="A33" s="486">
        <v>15</v>
      </c>
      <c r="B33" s="437" t="s">
        <v>299</v>
      </c>
      <c r="C33" s="444">
        <v>45062</v>
      </c>
      <c r="D33" s="555"/>
      <c r="F33" s="437" t="s">
        <v>5</v>
      </c>
      <c r="G33" s="438">
        <v>45057</v>
      </c>
      <c r="M33" s="487">
        <v>43982</v>
      </c>
    </row>
    <row r="34" spans="1:13" ht="15.75" thickBot="1" x14ac:dyDescent="0.3">
      <c r="B34" s="446" t="s">
        <v>5</v>
      </c>
      <c r="C34" s="447">
        <v>45064</v>
      </c>
      <c r="D34" s="448" t="s">
        <v>298</v>
      </c>
      <c r="F34" s="437" t="s">
        <v>6</v>
      </c>
      <c r="G34" s="438">
        <v>45058</v>
      </c>
    </row>
    <row r="35" spans="1:13" x14ac:dyDescent="0.25">
      <c r="F35" s="437" t="s">
        <v>7</v>
      </c>
      <c r="G35" s="438">
        <v>45059</v>
      </c>
    </row>
    <row r="36" spans="1:13" x14ac:dyDescent="0.25">
      <c r="F36" s="437" t="s">
        <v>3</v>
      </c>
      <c r="G36" s="438">
        <v>45060</v>
      </c>
    </row>
    <row r="37" spans="1:13" x14ac:dyDescent="0.25">
      <c r="F37" s="437" t="s">
        <v>4</v>
      </c>
      <c r="G37" s="438">
        <v>45061</v>
      </c>
    </row>
    <row r="38" spans="1:13" x14ac:dyDescent="0.25">
      <c r="F38" s="437" t="s">
        <v>299</v>
      </c>
      <c r="G38" s="438">
        <v>45062</v>
      </c>
    </row>
    <row r="39" spans="1:13" x14ac:dyDescent="0.25">
      <c r="F39" s="437" t="s">
        <v>300</v>
      </c>
      <c r="G39" s="438">
        <v>45063</v>
      </c>
    </row>
    <row r="40" spans="1:13" x14ac:dyDescent="0.25">
      <c r="F40" s="437" t="s">
        <v>5</v>
      </c>
      <c r="G40" s="438">
        <v>45064</v>
      </c>
    </row>
    <row r="41" spans="1:13" ht="15.75" thickBot="1" x14ac:dyDescent="0.3">
      <c r="F41" s="434" t="s">
        <v>6</v>
      </c>
      <c r="G41" s="439">
        <v>45065</v>
      </c>
    </row>
  </sheetData>
  <mergeCells count="2">
    <mergeCell ref="D2:D16"/>
    <mergeCell ref="D19:D33"/>
  </mergeCells>
  <phoneticPr fontId="4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7148A-70A0-4E5E-9AF6-0230B7DE9D02}">
  <dimension ref="A1:H39"/>
  <sheetViews>
    <sheetView topLeftCell="A31" workbookViewId="0">
      <selection activeCell="C37" sqref="C37"/>
    </sheetView>
  </sheetViews>
  <sheetFormatPr baseColWidth="10" defaultRowHeight="15" x14ac:dyDescent="0.25"/>
  <cols>
    <col min="1" max="1" width="22.140625" bestFit="1" customWidth="1"/>
    <col min="2" max="2" width="19.85546875" bestFit="1" customWidth="1"/>
    <col min="3" max="3" width="37.7109375" customWidth="1"/>
    <col min="7" max="7" width="16.42578125" bestFit="1" customWidth="1"/>
    <col min="10" max="10" width="11.85546875" bestFit="1" customWidth="1"/>
  </cols>
  <sheetData>
    <row r="1" spans="1:2" ht="21" x14ac:dyDescent="0.35">
      <c r="A1" s="464" t="s">
        <v>301</v>
      </c>
    </row>
    <row r="2" spans="1:2" ht="15.75" thickBot="1" x14ac:dyDescent="0.3"/>
    <row r="3" spans="1:2" x14ac:dyDescent="0.25">
      <c r="A3" s="435" t="s">
        <v>5</v>
      </c>
      <c r="B3" s="436">
        <v>45064</v>
      </c>
    </row>
    <row r="4" spans="1:2" x14ac:dyDescent="0.25">
      <c r="A4" s="437" t="s">
        <v>6</v>
      </c>
      <c r="B4" s="438">
        <v>45065</v>
      </c>
    </row>
    <row r="5" spans="1:2" x14ac:dyDescent="0.25">
      <c r="A5" s="437" t="s">
        <v>7</v>
      </c>
      <c r="B5" s="438">
        <v>45066</v>
      </c>
    </row>
    <row r="6" spans="1:2" x14ac:dyDescent="0.25">
      <c r="A6" s="437" t="s">
        <v>3</v>
      </c>
      <c r="B6" s="438">
        <v>45067</v>
      </c>
    </row>
    <row r="7" spans="1:2" x14ac:dyDescent="0.25">
      <c r="A7" s="437" t="s">
        <v>4</v>
      </c>
      <c r="B7" s="438">
        <v>45068</v>
      </c>
    </row>
    <row r="8" spans="1:2" x14ac:dyDescent="0.25">
      <c r="A8" s="437" t="s">
        <v>299</v>
      </c>
      <c r="B8" s="438">
        <v>45069</v>
      </c>
    </row>
    <row r="9" spans="1:2" x14ac:dyDescent="0.25">
      <c r="A9" s="437" t="s">
        <v>300</v>
      </c>
      <c r="B9" s="438">
        <v>45070</v>
      </c>
    </row>
    <row r="10" spans="1:2" x14ac:dyDescent="0.25">
      <c r="A10" s="437" t="s">
        <v>5</v>
      </c>
      <c r="B10" s="438">
        <v>45071</v>
      </c>
    </row>
    <row r="11" spans="1:2" x14ac:dyDescent="0.25">
      <c r="A11" s="437" t="s">
        <v>6</v>
      </c>
      <c r="B11" s="438">
        <v>45072</v>
      </c>
    </row>
    <row r="12" spans="1:2" x14ac:dyDescent="0.25">
      <c r="A12" s="437" t="s">
        <v>7</v>
      </c>
      <c r="B12" s="438">
        <v>45073</v>
      </c>
    </row>
    <row r="13" spans="1:2" x14ac:dyDescent="0.25">
      <c r="A13" s="437" t="s">
        <v>3</v>
      </c>
      <c r="B13" s="438">
        <v>45074</v>
      </c>
    </row>
    <row r="14" spans="1:2" x14ac:dyDescent="0.25">
      <c r="A14" s="437" t="s">
        <v>4</v>
      </c>
      <c r="B14" s="438">
        <v>45075</v>
      </c>
    </row>
    <row r="15" spans="1:2" x14ac:dyDescent="0.25">
      <c r="A15" s="437" t="s">
        <v>299</v>
      </c>
      <c r="B15" s="438">
        <v>45076</v>
      </c>
    </row>
    <row r="16" spans="1:2" ht="15.75" thickBot="1" x14ac:dyDescent="0.3">
      <c r="A16" s="434" t="s">
        <v>300</v>
      </c>
      <c r="B16" s="439">
        <v>45077</v>
      </c>
    </row>
    <row r="17" spans="1:8" x14ac:dyDescent="0.25">
      <c r="A17" s="451" t="s">
        <v>302</v>
      </c>
      <c r="B17" s="452">
        <v>10</v>
      </c>
    </row>
    <row r="19" spans="1:8" ht="23.25" x14ac:dyDescent="0.25">
      <c r="A19" s="282" t="s">
        <v>182</v>
      </c>
      <c r="B19" s="283"/>
      <c r="C19" s="283"/>
      <c r="D19" s="283"/>
      <c r="E19" s="283"/>
      <c r="F19" s="283"/>
      <c r="G19" s="283"/>
      <c r="H19" s="283"/>
    </row>
    <row r="20" spans="1:8" x14ac:dyDescent="0.25">
      <c r="A20" s="229"/>
      <c r="B20" s="229"/>
      <c r="C20" s="229"/>
      <c r="D20" s="229"/>
      <c r="E20" s="229"/>
      <c r="F20" s="229"/>
      <c r="G20" s="229"/>
      <c r="H20" s="229"/>
    </row>
    <row r="21" spans="1:8" ht="18.75" x14ac:dyDescent="0.25">
      <c r="A21" s="488" t="s">
        <v>183</v>
      </c>
      <c r="B21" s="283"/>
      <c r="C21" s="229"/>
      <c r="D21" s="285">
        <v>3666</v>
      </c>
      <c r="E21" s="229"/>
      <c r="F21" s="301"/>
      <c r="G21" s="229"/>
      <c r="H21" s="314"/>
    </row>
    <row r="22" spans="1:8" ht="15.75" thickBot="1" x14ac:dyDescent="0.3">
      <c r="A22" s="229"/>
      <c r="B22" s="229"/>
      <c r="C22" s="229"/>
      <c r="D22" s="229"/>
      <c r="E22" s="229"/>
      <c r="F22" s="229"/>
      <c r="G22" s="229"/>
      <c r="H22" s="229"/>
    </row>
    <row r="23" spans="1:8" ht="30" x14ac:dyDescent="0.25">
      <c r="A23" s="286" t="s">
        <v>158</v>
      </c>
      <c r="B23" s="230" t="s">
        <v>135</v>
      </c>
      <c r="C23" s="230" t="s">
        <v>184</v>
      </c>
      <c r="D23" s="230" t="s">
        <v>185</v>
      </c>
      <c r="E23" s="232" t="s">
        <v>186</v>
      </c>
      <c r="F23" s="232" t="s">
        <v>187</v>
      </c>
      <c r="G23" s="232" t="s">
        <v>188</v>
      </c>
      <c r="H23" s="233" t="s">
        <v>189</v>
      </c>
    </row>
    <row r="24" spans="1:8" x14ac:dyDescent="0.25">
      <c r="A24" s="465" t="s">
        <v>190</v>
      </c>
      <c r="B24" s="466">
        <v>2900</v>
      </c>
      <c r="C24" s="467">
        <f>B24</f>
        <v>2900</v>
      </c>
      <c r="D24" s="468">
        <f>+$D$21</f>
        <v>3666</v>
      </c>
      <c r="E24" s="468">
        <f>D24</f>
        <v>3666</v>
      </c>
      <c r="F24" s="469">
        <f>MIN(C24,E24)</f>
        <v>2900</v>
      </c>
      <c r="G24" s="468">
        <f>F24</f>
        <v>2900</v>
      </c>
      <c r="H24" s="470">
        <f t="shared" ref="H24" si="0">B24-G24</f>
        <v>0</v>
      </c>
    </row>
    <row r="25" spans="1:8" x14ac:dyDescent="0.25">
      <c r="A25" s="465" t="s">
        <v>191</v>
      </c>
      <c r="B25" s="466">
        <v>2900</v>
      </c>
      <c r="C25" s="468">
        <f>C24+B25</f>
        <v>5800</v>
      </c>
      <c r="D25" s="468">
        <f t="shared" ref="D25:D27" si="1">+$D$21</f>
        <v>3666</v>
      </c>
      <c r="E25" s="468">
        <f>E24+D25</f>
        <v>7332</v>
      </c>
      <c r="F25" s="469">
        <f t="shared" ref="F25:F28" si="2">MIN(C25,E25)</f>
        <v>5800</v>
      </c>
      <c r="G25" s="468">
        <f>F25-F24</f>
        <v>2900</v>
      </c>
      <c r="H25" s="470">
        <f>B25-G25</f>
        <v>0</v>
      </c>
    </row>
    <row r="26" spans="1:8" x14ac:dyDescent="0.25">
      <c r="A26" s="465" t="s">
        <v>192</v>
      </c>
      <c r="B26" s="466">
        <v>2900</v>
      </c>
      <c r="C26" s="468">
        <f t="shared" ref="C26:C28" si="3">C25+B26</f>
        <v>8700</v>
      </c>
      <c r="D26" s="468">
        <f t="shared" si="1"/>
        <v>3666</v>
      </c>
      <c r="E26" s="468">
        <f t="shared" ref="E26:E28" si="4">E25+D26</f>
        <v>10998</v>
      </c>
      <c r="F26" s="469">
        <f t="shared" si="2"/>
        <v>8700</v>
      </c>
      <c r="G26" s="468">
        <f t="shared" ref="G26:G28" si="5">F26-F25</f>
        <v>2900</v>
      </c>
      <c r="H26" s="470">
        <f t="shared" ref="H26:H28" si="6">B26-G26</f>
        <v>0</v>
      </c>
    </row>
    <row r="27" spans="1:8" x14ac:dyDescent="0.25">
      <c r="A27" s="465" t="s">
        <v>193</v>
      </c>
      <c r="B27" s="466">
        <v>2900</v>
      </c>
      <c r="C27" s="468">
        <f t="shared" si="3"/>
        <v>11600</v>
      </c>
      <c r="D27" s="468">
        <f t="shared" si="1"/>
        <v>3666</v>
      </c>
      <c r="E27" s="468">
        <f t="shared" si="4"/>
        <v>14664</v>
      </c>
      <c r="F27" s="469">
        <f t="shared" si="2"/>
        <v>11600</v>
      </c>
      <c r="G27" s="468">
        <f t="shared" si="5"/>
        <v>2900</v>
      </c>
      <c r="H27" s="470">
        <f t="shared" si="6"/>
        <v>0</v>
      </c>
    </row>
    <row r="28" spans="1:8" ht="15.75" thickBot="1" x14ac:dyDescent="0.3">
      <c r="A28" s="471" t="s">
        <v>194</v>
      </c>
      <c r="B28" s="476">
        <f>+'Bulletin FULLER'!E37</f>
        <v>4159.0476190476193</v>
      </c>
      <c r="C28" s="472">
        <f t="shared" si="3"/>
        <v>15759.047619047618</v>
      </c>
      <c r="D28" s="472">
        <f>3666*15/31</f>
        <v>1773.8709677419354</v>
      </c>
      <c r="E28" s="472">
        <f t="shared" si="4"/>
        <v>16437.870967741936</v>
      </c>
      <c r="F28" s="473">
        <f t="shared" si="2"/>
        <v>15759.047619047618</v>
      </c>
      <c r="G28" s="474">
        <f t="shared" si="5"/>
        <v>4159.0476190476184</v>
      </c>
      <c r="H28" s="475">
        <f t="shared" si="6"/>
        <v>0</v>
      </c>
    </row>
    <row r="30" spans="1:8" x14ac:dyDescent="0.25">
      <c r="D30" t="s">
        <v>308</v>
      </c>
    </row>
    <row r="32" spans="1:8" ht="23.25" x14ac:dyDescent="0.25">
      <c r="A32" s="282" t="s">
        <v>309</v>
      </c>
      <c r="B32" s="283"/>
      <c r="C32" s="283"/>
      <c r="D32" s="283"/>
      <c r="E32" s="283"/>
      <c r="F32" s="283"/>
      <c r="G32" s="283"/>
      <c r="H32" s="283"/>
    </row>
    <row r="33" spans="1:3" ht="15.75" thickBot="1" x14ac:dyDescent="0.3"/>
    <row r="34" spans="1:3" x14ac:dyDescent="0.25">
      <c r="A34" s="346" t="s">
        <v>310</v>
      </c>
      <c r="B34" s="241"/>
      <c r="C34" s="479">
        <v>2900</v>
      </c>
    </row>
    <row r="35" spans="1:3" x14ac:dyDescent="0.25">
      <c r="A35" s="243" t="s">
        <v>312</v>
      </c>
      <c r="B35" s="244"/>
      <c r="C35" s="398" t="s">
        <v>313</v>
      </c>
    </row>
    <row r="36" spans="1:3" x14ac:dyDescent="0.25">
      <c r="A36" s="243" t="s">
        <v>314</v>
      </c>
      <c r="B36" s="244"/>
      <c r="C36" s="6">
        <f>10/12+2</f>
        <v>2.8333333333333335</v>
      </c>
    </row>
    <row r="37" spans="1:3" ht="15.75" thickBot="1" x14ac:dyDescent="0.3">
      <c r="A37" s="347" t="s">
        <v>311</v>
      </c>
      <c r="B37" s="480" t="s">
        <v>315</v>
      </c>
      <c r="C37" s="481">
        <f>1/4*C36*C34</f>
        <v>2054.166666666667</v>
      </c>
    </row>
    <row r="39" spans="1:3" x14ac:dyDescent="0.25">
      <c r="B39" s="478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EF325-207A-4223-9823-4E060290CE7B}">
  <dimension ref="B1:P165"/>
  <sheetViews>
    <sheetView tabSelected="1" topLeftCell="B3" zoomScale="75" zoomScaleNormal="75" workbookViewId="0">
      <selection activeCell="E22" sqref="E22"/>
    </sheetView>
  </sheetViews>
  <sheetFormatPr baseColWidth="10" defaultRowHeight="15" x14ac:dyDescent="0.25"/>
  <cols>
    <col min="1" max="1" width="11.42578125" style="8"/>
    <col min="2" max="2" width="72.28515625" style="8" customWidth="1"/>
    <col min="3" max="3" width="15" style="8" bestFit="1" customWidth="1"/>
    <col min="4" max="4" width="17.140625" style="8" bestFit="1" customWidth="1"/>
    <col min="5" max="5" width="25.5703125" style="8" bestFit="1" customWidth="1"/>
    <col min="6" max="6" width="12.5703125" style="8" customWidth="1"/>
    <col min="7" max="7" width="18.28515625" style="8" customWidth="1"/>
    <col min="8" max="8" width="11.42578125" style="8"/>
    <col min="9" max="9" width="52.140625" style="8" bestFit="1" customWidth="1"/>
    <col min="10" max="10" width="14" style="8" bestFit="1" customWidth="1"/>
    <col min="11" max="11" width="21.140625" style="8" customWidth="1"/>
    <col min="12" max="12" width="11.42578125" style="8"/>
    <col min="13" max="13" width="12.140625" style="8" bestFit="1" customWidth="1"/>
    <col min="14" max="15" width="12" style="8" bestFit="1" customWidth="1"/>
    <col min="16" max="16384" width="11.42578125" style="8"/>
  </cols>
  <sheetData>
    <row r="1" spans="2:10" ht="23.25" thickBot="1" x14ac:dyDescent="0.3">
      <c r="B1" s="9" t="s">
        <v>34</v>
      </c>
      <c r="C1" s="10"/>
      <c r="D1" s="10"/>
      <c r="E1" s="10"/>
      <c r="F1" s="10"/>
      <c r="G1" s="11"/>
      <c r="I1" s="12" t="s">
        <v>35</v>
      </c>
    </row>
    <row r="2" spans="2:10" ht="15.75" thickBot="1" x14ac:dyDescent="0.3">
      <c r="B2" s="13" t="s">
        <v>36</v>
      </c>
      <c r="C2" s="14"/>
      <c r="D2" s="15"/>
      <c r="E2" s="16" t="s">
        <v>37</v>
      </c>
      <c r="F2" s="14"/>
      <c r="G2" s="15"/>
    </row>
    <row r="3" spans="2:10" x14ac:dyDescent="0.25">
      <c r="B3" s="17" t="s">
        <v>38</v>
      </c>
      <c r="C3" s="18"/>
      <c r="D3" s="19"/>
      <c r="E3" s="20" t="s">
        <v>38</v>
      </c>
      <c r="F3" s="21"/>
      <c r="G3" s="22"/>
      <c r="I3" s="16" t="s">
        <v>11</v>
      </c>
      <c r="J3" s="23">
        <v>2900</v>
      </c>
    </row>
    <row r="4" spans="2:10" x14ac:dyDescent="0.25">
      <c r="B4" s="17" t="s">
        <v>39</v>
      </c>
      <c r="C4" s="18"/>
      <c r="D4" s="19"/>
      <c r="E4" s="20" t="s">
        <v>40</v>
      </c>
      <c r="F4" s="21"/>
      <c r="G4" s="22"/>
      <c r="I4" s="20" t="s">
        <v>41</v>
      </c>
      <c r="J4" s="24">
        <v>151.66999999999999</v>
      </c>
    </row>
    <row r="5" spans="2:10" x14ac:dyDescent="0.25">
      <c r="B5" s="17" t="s">
        <v>42</v>
      </c>
      <c r="C5" s="18"/>
      <c r="D5" s="19"/>
      <c r="E5" s="20" t="s">
        <v>43</v>
      </c>
      <c r="F5" s="21"/>
      <c r="G5" s="22"/>
      <c r="I5" s="20" t="s">
        <v>44</v>
      </c>
      <c r="J5" s="22">
        <v>147</v>
      </c>
    </row>
    <row r="6" spans="2:10" x14ac:dyDescent="0.25">
      <c r="B6" s="17" t="s">
        <v>42</v>
      </c>
      <c r="C6" s="18"/>
      <c r="D6" s="19"/>
      <c r="E6" s="20" t="s">
        <v>45</v>
      </c>
      <c r="F6" s="21"/>
      <c r="G6" s="22"/>
      <c r="I6" s="25" t="s">
        <v>8</v>
      </c>
      <c r="J6" s="26">
        <v>5</v>
      </c>
    </row>
    <row r="7" spans="2:10" x14ac:dyDescent="0.25">
      <c r="B7" s="17" t="s">
        <v>46</v>
      </c>
      <c r="C7" s="18"/>
      <c r="D7" s="19"/>
      <c r="E7" s="20"/>
      <c r="F7" s="21"/>
      <c r="G7" s="22"/>
      <c r="I7" s="20" t="s">
        <v>47</v>
      </c>
      <c r="J7" s="27">
        <v>3.5999999999999997E-2</v>
      </c>
    </row>
    <row r="8" spans="2:10" x14ac:dyDescent="0.25">
      <c r="B8" s="17" t="s">
        <v>48</v>
      </c>
      <c r="C8" s="18"/>
      <c r="D8" s="19"/>
      <c r="E8" s="20" t="s">
        <v>49</v>
      </c>
      <c r="F8" s="21"/>
      <c r="G8" s="22"/>
      <c r="I8" s="28"/>
      <c r="J8" s="29"/>
    </row>
    <row r="9" spans="2:10" x14ac:dyDescent="0.25">
      <c r="B9" s="17" t="s">
        <v>52</v>
      </c>
      <c r="C9" s="18"/>
      <c r="D9" s="19"/>
      <c r="E9" s="20" t="s">
        <v>53</v>
      </c>
      <c r="F9" s="31" t="s">
        <v>54</v>
      </c>
      <c r="G9" s="22"/>
      <c r="I9" s="20" t="s">
        <v>55</v>
      </c>
      <c r="J9" s="32">
        <v>11.52</v>
      </c>
    </row>
    <row r="10" spans="2:10" x14ac:dyDescent="0.25">
      <c r="B10" s="17" t="s">
        <v>56</v>
      </c>
      <c r="C10" s="18"/>
      <c r="D10" s="19"/>
      <c r="E10" s="20" t="s">
        <v>57</v>
      </c>
      <c r="F10" s="31"/>
      <c r="G10" s="22"/>
      <c r="I10" s="4" t="s">
        <v>0</v>
      </c>
      <c r="J10" s="389">
        <v>35</v>
      </c>
    </row>
    <row r="11" spans="2:10" x14ac:dyDescent="0.25">
      <c r="B11" s="17" t="s">
        <v>58</v>
      </c>
      <c r="C11" s="18"/>
      <c r="D11" s="19"/>
      <c r="E11" s="20" t="s">
        <v>59</v>
      </c>
      <c r="F11" s="31"/>
      <c r="G11" s="22"/>
      <c r="I11" s="20" t="s">
        <v>60</v>
      </c>
      <c r="J11" s="22"/>
    </row>
    <row r="12" spans="2:10" x14ac:dyDescent="0.25">
      <c r="B12" s="17" t="s">
        <v>61</v>
      </c>
      <c r="C12" s="18">
        <v>4</v>
      </c>
      <c r="D12" s="19"/>
      <c r="E12" s="20" t="s">
        <v>62</v>
      </c>
      <c r="F12" s="34"/>
      <c r="G12" s="35"/>
      <c r="I12" s="20" t="s">
        <v>63</v>
      </c>
      <c r="J12" s="22"/>
    </row>
    <row r="13" spans="2:10" x14ac:dyDescent="0.25">
      <c r="B13" s="17" t="s">
        <v>64</v>
      </c>
      <c r="C13" s="18"/>
      <c r="D13" s="19"/>
      <c r="E13" s="20" t="s">
        <v>65</v>
      </c>
      <c r="F13" s="36"/>
      <c r="G13" s="22"/>
      <c r="I13" s="20" t="s">
        <v>66</v>
      </c>
      <c r="J13" s="22"/>
    </row>
    <row r="14" spans="2:10" x14ac:dyDescent="0.25">
      <c r="B14" s="17"/>
      <c r="C14" s="18"/>
      <c r="D14" s="19"/>
      <c r="E14" s="20" t="s">
        <v>67</v>
      </c>
      <c r="F14" s="21"/>
      <c r="G14" s="22"/>
      <c r="I14" s="20" t="s">
        <v>68</v>
      </c>
      <c r="J14" s="22"/>
    </row>
    <row r="15" spans="2:10" x14ac:dyDescent="0.25">
      <c r="B15" s="20"/>
      <c r="C15" s="18"/>
      <c r="D15" s="19"/>
      <c r="E15" s="20"/>
      <c r="F15" s="21"/>
      <c r="G15" s="22"/>
      <c r="I15" s="20" t="s">
        <v>69</v>
      </c>
      <c r="J15" s="22"/>
    </row>
    <row r="16" spans="2:10" ht="15.75" thickBot="1" x14ac:dyDescent="0.3">
      <c r="B16" s="37"/>
      <c r="C16" s="38"/>
      <c r="D16" s="39"/>
      <c r="E16" s="37"/>
      <c r="F16" s="40"/>
      <c r="G16" s="41"/>
      <c r="I16" s="25" t="s">
        <v>70</v>
      </c>
      <c r="J16" s="22"/>
    </row>
    <row r="17" spans="2:16" ht="15.75" thickBot="1" x14ac:dyDescent="0.3">
      <c r="B17" s="42" t="s">
        <v>71</v>
      </c>
      <c r="C17" s="533"/>
      <c r="D17" s="534"/>
      <c r="E17" s="43" t="s">
        <v>72</v>
      </c>
      <c r="F17" s="533"/>
      <c r="G17" s="538"/>
      <c r="I17" s="25" t="s">
        <v>73</v>
      </c>
      <c r="J17" s="319">
        <f>+E37</f>
        <v>4159.0476190476193</v>
      </c>
    </row>
    <row r="18" spans="2:16" ht="20.25" customHeight="1" thickBot="1" x14ac:dyDescent="0.3">
      <c r="B18" s="45" t="s">
        <v>74</v>
      </c>
      <c r="C18" s="46"/>
      <c r="D18" s="46"/>
      <c r="E18" s="46"/>
      <c r="F18" s="46"/>
      <c r="G18" s="47"/>
      <c r="I18" s="25" t="s">
        <v>75</v>
      </c>
      <c r="J18" s="44"/>
    </row>
    <row r="19" spans="2:16" ht="24" customHeight="1" thickBot="1" x14ac:dyDescent="0.3">
      <c r="B19" s="49" t="s">
        <v>74</v>
      </c>
      <c r="C19" s="50" t="s">
        <v>76</v>
      </c>
      <c r="D19" s="50" t="s">
        <v>77</v>
      </c>
      <c r="E19" s="51" t="s">
        <v>78</v>
      </c>
      <c r="F19" s="52"/>
      <c r="G19" s="52"/>
      <c r="I19" s="20" t="s">
        <v>79</v>
      </c>
      <c r="J19" s="359">
        <v>0.31909999999999999</v>
      </c>
    </row>
    <row r="20" spans="2:16" s="53" customFormat="1" x14ac:dyDescent="0.25">
      <c r="B20" s="16" t="s">
        <v>11</v>
      </c>
      <c r="C20" s="54"/>
      <c r="D20" s="55"/>
      <c r="E20" s="23">
        <f>J3</f>
        <v>2900</v>
      </c>
      <c r="F20" s="56"/>
      <c r="G20" s="57"/>
      <c r="H20" s="8"/>
      <c r="I20" s="58" t="s">
        <v>80</v>
      </c>
      <c r="J20" s="59">
        <v>7.0999999999999994E-2</v>
      </c>
      <c r="K20" s="8"/>
      <c r="L20" s="8"/>
      <c r="M20" s="8"/>
      <c r="N20" s="8"/>
      <c r="O20" s="8"/>
      <c r="P20" s="8"/>
    </row>
    <row r="21" spans="2:16" s="53" customFormat="1" x14ac:dyDescent="0.25">
      <c r="B21" s="60" t="s">
        <v>250</v>
      </c>
      <c r="C21" s="61"/>
      <c r="D21" s="62"/>
      <c r="E21" s="63"/>
      <c r="F21" s="64"/>
      <c r="G21" s="65"/>
      <c r="I21" s="20" t="s">
        <v>81</v>
      </c>
      <c r="J21" s="69">
        <v>20</v>
      </c>
      <c r="K21" s="8"/>
      <c r="L21" s="8"/>
      <c r="M21" s="8"/>
      <c r="N21" s="8"/>
      <c r="O21" s="8"/>
      <c r="P21" s="8"/>
    </row>
    <row r="22" spans="2:16" s="53" customFormat="1" x14ac:dyDescent="0.25">
      <c r="B22" s="60" t="s">
        <v>82</v>
      </c>
      <c r="C22" s="61">
        <v>70</v>
      </c>
      <c r="D22" s="66">
        <f>E20/J5</f>
        <v>19.727891156462587</v>
      </c>
      <c r="E22" s="63">
        <f>-D22*C22</f>
        <v>-1380.952380952381</v>
      </c>
      <c r="F22" s="64"/>
      <c r="G22" s="65"/>
      <c r="I22" s="20" t="s">
        <v>83</v>
      </c>
      <c r="J22" s="69">
        <v>22</v>
      </c>
      <c r="K22" s="8"/>
      <c r="L22" s="8"/>
      <c r="M22" s="8"/>
      <c r="N22" s="8"/>
      <c r="O22" s="8"/>
      <c r="P22" s="8"/>
    </row>
    <row r="23" spans="2:16" s="53" customFormat="1" x14ac:dyDescent="0.25">
      <c r="B23" s="60"/>
      <c r="C23" s="61"/>
      <c r="D23" s="62"/>
      <c r="E23" s="63"/>
      <c r="F23" s="64"/>
      <c r="G23" s="65"/>
      <c r="I23" s="20" t="s">
        <v>84</v>
      </c>
      <c r="J23" s="449"/>
      <c r="K23" s="8"/>
      <c r="L23" s="8"/>
      <c r="M23" s="8"/>
      <c r="N23" s="8"/>
      <c r="O23" s="8"/>
      <c r="P23" s="8"/>
    </row>
    <row r="24" spans="2:16" x14ac:dyDescent="0.25">
      <c r="B24" s="20" t="s">
        <v>63</v>
      </c>
      <c r="C24" s="21">
        <f>J12</f>
        <v>0</v>
      </c>
      <c r="D24" s="68">
        <f>IF($J$4&gt;=151.67,$J$3/151.67*1.25,0)</f>
        <v>23.900573613766731</v>
      </c>
      <c r="E24" s="69">
        <f>D24*C24</f>
        <v>0</v>
      </c>
      <c r="F24" s="70"/>
      <c r="G24" s="71"/>
      <c r="I24" s="20" t="s">
        <v>85</v>
      </c>
      <c r="J24" s="67"/>
    </row>
    <row r="25" spans="2:16" ht="15.75" x14ac:dyDescent="0.25">
      <c r="B25" s="20" t="s">
        <v>66</v>
      </c>
      <c r="C25" s="21">
        <f>J13</f>
        <v>0</v>
      </c>
      <c r="D25" s="68">
        <f>IF($J$4&gt;=151.67,$J$3/151.67*1.5,0)</f>
        <v>28.680688336520078</v>
      </c>
      <c r="E25" s="69">
        <f>D25*C25</f>
        <v>0</v>
      </c>
      <c r="F25" s="70"/>
      <c r="G25" s="73"/>
      <c r="I25" s="4" t="s">
        <v>86</v>
      </c>
      <c r="J25" s="450"/>
      <c r="K25" s="75"/>
    </row>
    <row r="26" spans="2:16" ht="15.75" thickBot="1" x14ac:dyDescent="0.3">
      <c r="B26" s="20" t="s">
        <v>68</v>
      </c>
      <c r="C26" s="21">
        <f>J14</f>
        <v>0</v>
      </c>
      <c r="D26" s="21">
        <f>IF($J$4&lt;151.67,$E$20/151.67*1.1,0)</f>
        <v>0</v>
      </c>
      <c r="E26" s="69">
        <f t="shared" ref="E26:E27" si="0">D26*C26</f>
        <v>0</v>
      </c>
      <c r="F26" s="70"/>
      <c r="G26" s="73"/>
      <c r="I26" s="76" t="s">
        <v>87</v>
      </c>
      <c r="J26" s="77">
        <v>2200</v>
      </c>
    </row>
    <row r="27" spans="2:16" x14ac:dyDescent="0.25">
      <c r="B27" s="20" t="s">
        <v>69</v>
      </c>
      <c r="C27" s="21">
        <f>J15</f>
        <v>0</v>
      </c>
      <c r="D27" s="21">
        <f>IF($J$4&lt;151.67,$E$20/151.67*1.1,0)</f>
        <v>0</v>
      </c>
      <c r="E27" s="69">
        <f t="shared" si="0"/>
        <v>0</v>
      </c>
      <c r="F27" s="70"/>
      <c r="G27" s="73"/>
    </row>
    <row r="28" spans="2:16" x14ac:dyDescent="0.25">
      <c r="B28" s="20"/>
      <c r="C28" s="21"/>
      <c r="D28" s="21"/>
      <c r="E28" s="69"/>
      <c r="F28" s="70"/>
      <c r="G28" s="73"/>
    </row>
    <row r="29" spans="2:16" ht="27" x14ac:dyDescent="0.25">
      <c r="B29" s="20" t="s">
        <v>88</v>
      </c>
      <c r="C29" s="78"/>
      <c r="D29" s="21"/>
      <c r="E29" s="69"/>
      <c r="F29" s="79"/>
      <c r="G29" s="80"/>
      <c r="I29" s="81"/>
      <c r="J29" s="81"/>
      <c r="K29" s="81"/>
      <c r="L29" s="81"/>
      <c r="M29" s="81"/>
      <c r="N29" s="81"/>
    </row>
    <row r="30" spans="2:16" ht="27" x14ac:dyDescent="0.25">
      <c r="B30" s="20" t="s">
        <v>292</v>
      </c>
      <c r="C30" s="78"/>
      <c r="D30" s="21"/>
      <c r="E30" s="69">
        <v>2640</v>
      </c>
      <c r="F30" s="79"/>
      <c r="G30" s="80"/>
      <c r="I30" s="81"/>
      <c r="J30" s="81"/>
      <c r="K30" s="81"/>
      <c r="L30" s="81"/>
      <c r="M30" s="81"/>
      <c r="N30" s="81"/>
    </row>
    <row r="31" spans="2:16" ht="27" x14ac:dyDescent="0.25">
      <c r="B31" s="20"/>
      <c r="C31" s="82"/>
      <c r="D31" s="83"/>
      <c r="E31" s="84"/>
      <c r="F31" s="85"/>
      <c r="G31" s="86"/>
      <c r="I31" s="81"/>
      <c r="J31" s="81"/>
      <c r="K31" s="81"/>
      <c r="L31" s="81"/>
      <c r="M31" s="81"/>
      <c r="N31" s="81"/>
    </row>
    <row r="32" spans="2:16" ht="27.75" thickBot="1" x14ac:dyDescent="0.3">
      <c r="B32" s="87" t="s">
        <v>90</v>
      </c>
      <c r="C32" s="407"/>
      <c r="D32" s="406"/>
      <c r="E32" s="90">
        <f>D32*-C32</f>
        <v>0</v>
      </c>
      <c r="F32" s="91"/>
      <c r="G32" s="92"/>
      <c r="I32" s="81"/>
      <c r="J32" s="81"/>
      <c r="K32" s="81"/>
      <c r="L32" s="81"/>
      <c r="M32" s="81"/>
      <c r="N32" s="81"/>
    </row>
    <row r="33" spans="2:14" ht="27" x14ac:dyDescent="0.25">
      <c r="B33" s="93" t="s">
        <v>91</v>
      </c>
      <c r="C33" s="94"/>
      <c r="D33" s="95"/>
      <c r="E33" s="96"/>
      <c r="F33" s="97"/>
      <c r="G33" s="98"/>
      <c r="I33" s="81"/>
      <c r="J33" s="81"/>
      <c r="K33" s="81"/>
      <c r="L33" s="81"/>
      <c r="M33" s="81"/>
      <c r="N33" s="81"/>
    </row>
    <row r="34" spans="2:14" ht="27" x14ac:dyDescent="0.25">
      <c r="B34" s="87" t="s">
        <v>28</v>
      </c>
      <c r="C34" s="407"/>
      <c r="D34" s="220"/>
      <c r="E34" s="96">
        <f>D34*C34</f>
        <v>0</v>
      </c>
      <c r="F34" s="97"/>
      <c r="G34" s="98"/>
      <c r="I34" s="81"/>
      <c r="J34" s="81"/>
      <c r="K34" s="81"/>
      <c r="L34" s="81"/>
      <c r="M34" s="81"/>
      <c r="N34" s="81"/>
    </row>
    <row r="35" spans="2:14" ht="27" x14ac:dyDescent="0.25">
      <c r="B35" s="93"/>
      <c r="C35" s="94"/>
      <c r="D35" s="95"/>
      <c r="E35" s="96"/>
      <c r="F35" s="97"/>
      <c r="G35" s="98"/>
      <c r="I35" s="81"/>
      <c r="J35" s="81"/>
      <c r="K35" s="81"/>
      <c r="L35" s="81"/>
      <c r="M35" s="81"/>
      <c r="N35" s="81"/>
    </row>
    <row r="36" spans="2:14" ht="27.75" thickBot="1" x14ac:dyDescent="0.3">
      <c r="B36" s="99" t="s">
        <v>92</v>
      </c>
      <c r="C36" s="94"/>
      <c r="D36" s="95"/>
      <c r="E36" s="100">
        <f>C36*D36</f>
        <v>0</v>
      </c>
      <c r="F36" s="97"/>
      <c r="G36" s="98"/>
      <c r="I36" s="81"/>
      <c r="J36" s="81"/>
      <c r="K36" s="81"/>
      <c r="L36" s="81"/>
      <c r="M36" s="81"/>
      <c r="N36" s="81"/>
    </row>
    <row r="37" spans="2:14" ht="28.5" thickTop="1" thickBot="1" x14ac:dyDescent="0.3">
      <c r="B37" s="101" t="s">
        <v>93</v>
      </c>
      <c r="C37" s="102"/>
      <c r="D37" s="103"/>
      <c r="E37" s="104">
        <f>SUM(E20:E36)</f>
        <v>4159.0476190476193</v>
      </c>
      <c r="F37" s="97"/>
      <c r="G37" s="98"/>
      <c r="I37" s="81"/>
      <c r="J37" s="81"/>
      <c r="K37" s="81"/>
      <c r="L37" s="81"/>
      <c r="M37" s="81"/>
      <c r="N37" s="81"/>
    </row>
    <row r="38" spans="2:14" ht="27.75" thickBot="1" x14ac:dyDescent="0.3">
      <c r="B38" s="105"/>
      <c r="C38" s="106"/>
      <c r="D38" s="107"/>
      <c r="E38" s="107"/>
      <c r="F38" s="108"/>
      <c r="G38" s="109"/>
      <c r="I38" s="81"/>
      <c r="J38" s="81"/>
      <c r="K38" s="81"/>
      <c r="L38" s="81"/>
      <c r="M38" s="81"/>
      <c r="N38" s="81"/>
    </row>
    <row r="39" spans="2:14" ht="28.5" x14ac:dyDescent="0.25">
      <c r="B39" s="110" t="s">
        <v>94</v>
      </c>
      <c r="C39" s="111" t="s">
        <v>95</v>
      </c>
      <c r="D39" s="111" t="s">
        <v>96</v>
      </c>
      <c r="E39" s="111" t="s">
        <v>97</v>
      </c>
      <c r="F39" s="111" t="s">
        <v>96</v>
      </c>
      <c r="G39" s="112" t="s">
        <v>98</v>
      </c>
      <c r="I39" s="81"/>
      <c r="J39" s="81"/>
      <c r="K39" s="81"/>
      <c r="L39" s="81"/>
      <c r="M39" s="81"/>
      <c r="N39" s="81"/>
    </row>
    <row r="40" spans="2:14" ht="27" x14ac:dyDescent="0.25">
      <c r="B40" s="113" t="s">
        <v>99</v>
      </c>
      <c r="C40" s="114"/>
      <c r="D40" s="115"/>
      <c r="E40" s="115"/>
      <c r="F40" s="116"/>
      <c r="G40" s="117"/>
      <c r="I40" s="81"/>
      <c r="J40" s="81"/>
      <c r="K40" s="81"/>
      <c r="L40" s="81"/>
      <c r="M40" s="81"/>
      <c r="N40" s="81"/>
    </row>
    <row r="41" spans="2:14" ht="27" x14ac:dyDescent="0.25">
      <c r="B41" s="118" t="s">
        <v>100</v>
      </c>
      <c r="C41" s="94">
        <f>$E$37</f>
        <v>4159.0476190476193</v>
      </c>
      <c r="D41" s="119"/>
      <c r="E41" s="120"/>
      <c r="F41" s="121">
        <v>7.0000000000000007E-2</v>
      </c>
      <c r="G41" s="323">
        <f>F41*C41</f>
        <v>291.13333333333338</v>
      </c>
      <c r="I41" s="81"/>
      <c r="J41" s="81"/>
      <c r="K41" s="81"/>
      <c r="L41" s="81"/>
      <c r="M41" s="81"/>
      <c r="N41" s="81"/>
    </row>
    <row r="42" spans="2:14" ht="27" x14ac:dyDescent="0.25">
      <c r="B42" s="118" t="s">
        <v>101</v>
      </c>
      <c r="C42" s="94">
        <f>$J$17</f>
        <v>4159.0476190476193</v>
      </c>
      <c r="D42" s="123"/>
      <c r="E42" s="124"/>
      <c r="F42" s="125">
        <f>J24</f>
        <v>0</v>
      </c>
      <c r="G42" s="122">
        <f>F42*C42</f>
        <v>0</v>
      </c>
      <c r="I42" s="81"/>
      <c r="J42" s="81"/>
      <c r="K42" s="81"/>
      <c r="L42" s="81"/>
      <c r="M42" s="81"/>
      <c r="N42" s="81"/>
    </row>
    <row r="43" spans="2:14" ht="27" x14ac:dyDescent="0.25">
      <c r="B43" s="118" t="s">
        <v>102</v>
      </c>
      <c r="C43" s="94">
        <f>$J$18</f>
        <v>0</v>
      </c>
      <c r="D43" s="123"/>
      <c r="E43" s="124"/>
      <c r="F43" s="125"/>
      <c r="G43" s="122">
        <f>F43*C43</f>
        <v>0</v>
      </c>
      <c r="I43" s="81"/>
      <c r="J43" s="81"/>
      <c r="K43" s="81"/>
      <c r="L43" s="81"/>
      <c r="M43" s="81"/>
      <c r="N43" s="81"/>
    </row>
    <row r="44" spans="2:14" ht="27" x14ac:dyDescent="0.25">
      <c r="B44" s="118" t="s">
        <v>103</v>
      </c>
      <c r="C44" s="94"/>
      <c r="D44" s="123"/>
      <c r="E44" s="124">
        <v>20</v>
      </c>
      <c r="F44" s="125"/>
      <c r="G44" s="122">
        <v>22</v>
      </c>
      <c r="I44" s="81"/>
      <c r="J44" s="81"/>
      <c r="K44" s="81"/>
      <c r="L44" s="81"/>
      <c r="M44" s="81"/>
      <c r="N44" s="81"/>
    </row>
    <row r="45" spans="2:14" ht="27" x14ac:dyDescent="0.25">
      <c r="B45" s="126" t="s">
        <v>104</v>
      </c>
      <c r="C45" s="94">
        <f>J17+J18</f>
        <v>4159.0476190476193</v>
      </c>
      <c r="E45" s="94"/>
      <c r="F45" s="127">
        <f>J7</f>
        <v>3.5999999999999997E-2</v>
      </c>
      <c r="G45" s="122">
        <f>F45*C45</f>
        <v>149.72571428571428</v>
      </c>
      <c r="I45" s="81"/>
      <c r="J45" s="81"/>
      <c r="K45" s="81"/>
      <c r="L45" s="81"/>
      <c r="M45" s="81"/>
      <c r="N45" s="81"/>
    </row>
    <row r="46" spans="2:14" ht="27" x14ac:dyDescent="0.25">
      <c r="B46" s="113" t="s">
        <v>105</v>
      </c>
      <c r="C46" s="114"/>
      <c r="D46" s="115"/>
      <c r="E46" s="115"/>
      <c r="F46" s="116"/>
      <c r="G46" s="117"/>
      <c r="I46" s="81"/>
      <c r="J46" s="81"/>
      <c r="K46" s="81"/>
      <c r="L46" s="81"/>
      <c r="M46" s="81"/>
      <c r="N46" s="81"/>
    </row>
    <row r="47" spans="2:14" ht="27" x14ac:dyDescent="0.25">
      <c r="B47" s="118" t="s">
        <v>106</v>
      </c>
      <c r="C47" s="94">
        <f>$J$17</f>
        <v>4159.0476190476193</v>
      </c>
      <c r="D47" s="123">
        <v>6.9000000000000006E-2</v>
      </c>
      <c r="E47" s="124">
        <f>D47*C47</f>
        <v>286.97428571428577</v>
      </c>
      <c r="F47" s="125">
        <v>8.5500000000000007E-2</v>
      </c>
      <c r="G47" s="122">
        <f>F47*C47</f>
        <v>355.59857142857146</v>
      </c>
      <c r="I47" s="81"/>
      <c r="J47" s="81"/>
      <c r="K47" s="81"/>
      <c r="L47" s="81"/>
      <c r="M47" s="81"/>
      <c r="N47" s="81"/>
    </row>
    <row r="48" spans="2:14" ht="27" x14ac:dyDescent="0.25">
      <c r="B48" s="118" t="s">
        <v>107</v>
      </c>
      <c r="C48" s="94">
        <f>$E$37</f>
        <v>4159.0476190476193</v>
      </c>
      <c r="D48" s="123">
        <v>4.0000000000000001E-3</v>
      </c>
      <c r="E48" s="124">
        <f t="shared" ref="E48:E51" si="1">D48*C48</f>
        <v>16.636190476190478</v>
      </c>
      <c r="F48" s="125">
        <v>1.9E-2</v>
      </c>
      <c r="G48" s="122">
        <f t="shared" ref="G48:G51" si="2">F48*C48</f>
        <v>79.021904761904764</v>
      </c>
      <c r="I48" s="81"/>
      <c r="J48" s="81"/>
      <c r="K48" s="81"/>
      <c r="L48" s="81"/>
      <c r="M48" s="81"/>
      <c r="N48" s="81"/>
    </row>
    <row r="49" spans="2:14" ht="27" x14ac:dyDescent="0.25">
      <c r="B49" s="118" t="s">
        <v>108</v>
      </c>
      <c r="C49" s="94">
        <f>$J$17</f>
        <v>4159.0476190476193</v>
      </c>
      <c r="D49" s="123">
        <v>4.0099999999999997E-2</v>
      </c>
      <c r="E49" s="124">
        <f t="shared" si="1"/>
        <v>166.77780952380951</v>
      </c>
      <c r="F49" s="125">
        <v>6.0100000000000001E-2</v>
      </c>
      <c r="G49" s="122">
        <f t="shared" si="2"/>
        <v>249.95876190476193</v>
      </c>
      <c r="I49" s="81"/>
      <c r="J49" s="81"/>
      <c r="K49" s="81"/>
      <c r="L49" s="81"/>
      <c r="M49" s="81"/>
      <c r="N49" s="81"/>
    </row>
    <row r="50" spans="2:14" ht="27" x14ac:dyDescent="0.25">
      <c r="B50" s="118" t="s">
        <v>109</v>
      </c>
      <c r="C50" s="94">
        <f>+J18</f>
        <v>0</v>
      </c>
      <c r="D50" s="123">
        <v>9.7199999999999995E-2</v>
      </c>
      <c r="E50" s="124">
        <f t="shared" si="1"/>
        <v>0</v>
      </c>
      <c r="F50" s="125">
        <v>0.1457</v>
      </c>
      <c r="G50" s="122">
        <f t="shared" si="2"/>
        <v>0</v>
      </c>
      <c r="I50" s="81"/>
      <c r="J50" s="81"/>
      <c r="K50" s="81"/>
      <c r="L50" s="81"/>
      <c r="M50" s="81"/>
      <c r="N50" s="81"/>
    </row>
    <row r="51" spans="2:14" ht="27" x14ac:dyDescent="0.25">
      <c r="B51" s="118" t="s">
        <v>110</v>
      </c>
      <c r="C51" s="94"/>
      <c r="D51" s="123">
        <v>1.4E-3</v>
      </c>
      <c r="E51" s="124">
        <f t="shared" si="1"/>
        <v>0</v>
      </c>
      <c r="F51" s="125">
        <v>2.0999999999999999E-3</v>
      </c>
      <c r="G51" s="122">
        <f t="shared" si="2"/>
        <v>0</v>
      </c>
      <c r="I51" s="81"/>
      <c r="J51" s="81"/>
      <c r="K51" s="81"/>
      <c r="L51" s="81"/>
      <c r="M51" s="81"/>
      <c r="N51" s="81"/>
    </row>
    <row r="52" spans="2:14" x14ac:dyDescent="0.25">
      <c r="B52" s="118" t="s">
        <v>111</v>
      </c>
      <c r="C52" s="94"/>
      <c r="D52" s="123"/>
      <c r="E52" s="124"/>
      <c r="F52" s="125"/>
      <c r="G52" s="122"/>
    </row>
    <row r="53" spans="2:14" x14ac:dyDescent="0.25">
      <c r="B53" s="113" t="s">
        <v>112</v>
      </c>
      <c r="C53" s="94">
        <f>$E$37</f>
        <v>4159.0476190476193</v>
      </c>
      <c r="D53" s="128"/>
      <c r="E53" s="94"/>
      <c r="F53" s="125">
        <v>3.4500000000000003E-2</v>
      </c>
      <c r="G53" s="322">
        <f>F53*C53</f>
        <v>143.48714285714289</v>
      </c>
    </row>
    <row r="54" spans="2:14" x14ac:dyDescent="0.25">
      <c r="B54" s="113" t="s">
        <v>113</v>
      </c>
      <c r="C54" s="94"/>
      <c r="D54" s="128"/>
      <c r="E54" s="94"/>
      <c r="F54" s="130"/>
      <c r="G54" s="122"/>
    </row>
    <row r="55" spans="2:14" x14ac:dyDescent="0.25">
      <c r="B55" s="118" t="s">
        <v>114</v>
      </c>
      <c r="C55" s="94">
        <f>E37</f>
        <v>4159.0476190476193</v>
      </c>
      <c r="D55" s="128"/>
      <c r="E55" s="94"/>
      <c r="F55" s="131">
        <v>4.2000000000000003E-2</v>
      </c>
      <c r="G55" s="122">
        <f t="shared" ref="G55" si="3">F55*C55</f>
        <v>174.68</v>
      </c>
    </row>
    <row r="56" spans="2:14" x14ac:dyDescent="0.25">
      <c r="B56" s="118" t="s">
        <v>115</v>
      </c>
      <c r="C56" s="94"/>
      <c r="D56" s="132">
        <v>2.4000000000000001E-4</v>
      </c>
      <c r="E56" s="133">
        <f>D56*C56</f>
        <v>0</v>
      </c>
      <c r="F56" s="130">
        <v>3.6000000000000002E-4</v>
      </c>
      <c r="G56" s="134">
        <f>C56*F56</f>
        <v>0</v>
      </c>
    </row>
    <row r="57" spans="2:14" x14ac:dyDescent="0.25">
      <c r="B57" s="113" t="s">
        <v>116</v>
      </c>
      <c r="C57" s="94"/>
      <c r="D57" s="128"/>
      <c r="E57" s="94"/>
      <c r="F57" s="130"/>
      <c r="G57" s="122">
        <f>E103</f>
        <v>68.457923809523805</v>
      </c>
    </row>
    <row r="58" spans="2:14" x14ac:dyDescent="0.25">
      <c r="B58" s="126"/>
      <c r="C58" s="94"/>
      <c r="D58" s="94"/>
      <c r="E58" s="94"/>
      <c r="F58" s="94"/>
      <c r="G58" s="135"/>
    </row>
    <row r="59" spans="2:14" x14ac:dyDescent="0.25">
      <c r="B59" s="136" t="s">
        <v>117</v>
      </c>
      <c r="C59" s="94"/>
      <c r="D59" s="94"/>
      <c r="E59" s="94"/>
      <c r="F59" s="94"/>
      <c r="G59" s="135"/>
    </row>
    <row r="60" spans="2:14" x14ac:dyDescent="0.25">
      <c r="B60" s="126"/>
      <c r="C60" s="94"/>
      <c r="D60" s="132"/>
      <c r="E60" s="94"/>
      <c r="F60" s="137"/>
      <c r="G60" s="122"/>
    </row>
    <row r="61" spans="2:14" x14ac:dyDescent="0.25">
      <c r="B61" s="126" t="s">
        <v>118</v>
      </c>
      <c r="C61" s="94">
        <f>(E37*0.9825)+G44</f>
        <v>4108.2642857142855</v>
      </c>
      <c r="D61" s="123">
        <v>6.8000000000000005E-2</v>
      </c>
      <c r="E61" s="124">
        <f>D61*C61</f>
        <v>279.36197142857145</v>
      </c>
      <c r="F61" s="125"/>
      <c r="G61" s="122"/>
    </row>
    <row r="62" spans="2:14" x14ac:dyDescent="0.25">
      <c r="B62" s="126" t="s">
        <v>119</v>
      </c>
      <c r="C62" s="94">
        <f>C61</f>
        <v>4108.2642857142855</v>
      </c>
      <c r="D62" s="123">
        <v>2.9000000000000001E-2</v>
      </c>
      <c r="E62" s="124">
        <f>D62*C62</f>
        <v>119.13966428571429</v>
      </c>
      <c r="F62" s="125"/>
      <c r="G62" s="122"/>
    </row>
    <row r="63" spans="2:14" x14ac:dyDescent="0.25">
      <c r="B63" s="138" t="s">
        <v>120</v>
      </c>
      <c r="C63" s="94">
        <f>(E24+E25+E26+E27)*0.9825</f>
        <v>0</v>
      </c>
      <c r="D63" s="123">
        <v>9.7000000000000003E-2</v>
      </c>
      <c r="E63" s="124">
        <f>D63*C63</f>
        <v>0</v>
      </c>
      <c r="F63" s="125"/>
      <c r="G63" s="122"/>
    </row>
    <row r="64" spans="2:14" x14ac:dyDescent="0.25">
      <c r="B64" s="138" t="s">
        <v>121</v>
      </c>
      <c r="C64" s="123"/>
      <c r="D64" s="123"/>
      <c r="E64" s="124"/>
      <c r="F64" s="125"/>
      <c r="G64" s="122"/>
    </row>
    <row r="65" spans="2:7" ht="32.25" customHeight="1" x14ac:dyDescent="0.25">
      <c r="B65" s="138" t="s">
        <v>122</v>
      </c>
      <c r="C65" s="139">
        <f>E24+E25+E26+E27</f>
        <v>0</v>
      </c>
      <c r="D65" s="123">
        <v>-0.11310000000000001</v>
      </c>
      <c r="E65" s="124">
        <f>D65*C65</f>
        <v>0</v>
      </c>
      <c r="F65" s="125"/>
      <c r="G65" s="122"/>
    </row>
    <row r="66" spans="2:7" ht="30.75" customHeight="1" thickBot="1" x14ac:dyDescent="0.3">
      <c r="B66" s="140" t="s">
        <v>123</v>
      </c>
      <c r="C66" s="141">
        <f>IF(AND(J4=151.67,J6&lt;20),C24+C25,0)</f>
        <v>0</v>
      </c>
      <c r="D66" s="142"/>
      <c r="E66" s="143"/>
      <c r="F66" s="144">
        <v>-1.5</v>
      </c>
      <c r="G66" s="145">
        <f>F66*C66</f>
        <v>0</v>
      </c>
    </row>
    <row r="67" spans="2:7" ht="15.75" thickBot="1" x14ac:dyDescent="0.3">
      <c r="B67" s="146" t="s">
        <v>124</v>
      </c>
      <c r="C67" s="147"/>
      <c r="D67" s="148"/>
      <c r="E67" s="149">
        <f>SUM(E41:E66)</f>
        <v>888.88992142857148</v>
      </c>
      <c r="F67" s="150"/>
      <c r="G67" s="151">
        <f>SUM(G41:G66)</f>
        <v>1534.0633523809527</v>
      </c>
    </row>
    <row r="68" spans="2:7" x14ac:dyDescent="0.25">
      <c r="B68" s="152"/>
      <c r="C68" s="153"/>
      <c r="D68" s="154"/>
      <c r="E68" s="155"/>
      <c r="F68" s="156"/>
      <c r="G68" s="157"/>
    </row>
    <row r="69" spans="2:7" x14ac:dyDescent="0.25">
      <c r="B69" s="118" t="s">
        <v>125</v>
      </c>
      <c r="C69" s="124"/>
      <c r="D69" s="158"/>
      <c r="E69" s="159"/>
      <c r="F69" s="160"/>
      <c r="G69" s="161"/>
    </row>
    <row r="70" spans="2:7" x14ac:dyDescent="0.25">
      <c r="B70" s="118" t="s">
        <v>126</v>
      </c>
      <c r="C70" s="124"/>
      <c r="D70" s="158"/>
      <c r="E70" s="159"/>
      <c r="F70" s="160"/>
      <c r="G70" s="161"/>
    </row>
    <row r="71" spans="2:7" x14ac:dyDescent="0.25">
      <c r="B71" s="118" t="s">
        <v>316</v>
      </c>
      <c r="C71" s="124"/>
      <c r="D71" s="158"/>
      <c r="E71" s="482">
        <f>'FULLER Autres calculs'!C37</f>
        <v>2054.166666666667</v>
      </c>
      <c r="F71" s="160"/>
      <c r="G71" s="161"/>
    </row>
    <row r="72" spans="2:7" ht="15.75" customHeight="1" x14ac:dyDescent="0.25">
      <c r="B72" s="162" t="s">
        <v>128</v>
      </c>
      <c r="C72" s="433">
        <v>18</v>
      </c>
      <c r="D72" s="158">
        <f>7*0.4</f>
        <v>2.8000000000000003</v>
      </c>
      <c r="E72" s="163">
        <f>D72*C72</f>
        <v>50.400000000000006</v>
      </c>
      <c r="F72" s="160"/>
      <c r="G72" s="161"/>
    </row>
    <row r="73" spans="2:7" x14ac:dyDescent="0.25">
      <c r="B73" s="164" t="s">
        <v>249</v>
      </c>
      <c r="C73" s="356"/>
      <c r="D73" s="361">
        <v>0.5</v>
      </c>
      <c r="E73" s="166">
        <f>C73*D73</f>
        <v>0</v>
      </c>
      <c r="F73" s="167"/>
      <c r="G73" s="161"/>
    </row>
    <row r="74" spans="2:7" x14ac:dyDescent="0.25">
      <c r="B74" s="168" t="s">
        <v>217</v>
      </c>
      <c r="C74" s="124"/>
      <c r="D74" s="158"/>
      <c r="E74" s="169"/>
      <c r="F74" s="160"/>
      <c r="G74" s="161"/>
    </row>
    <row r="75" spans="2:7" ht="15.75" thickBot="1" x14ac:dyDescent="0.3">
      <c r="B75" s="140"/>
      <c r="C75" s="143"/>
      <c r="D75" s="170"/>
      <c r="E75" s="171"/>
      <c r="F75" s="172"/>
      <c r="G75" s="145"/>
    </row>
    <row r="76" spans="2:7" ht="15.75" thickBot="1" x14ac:dyDescent="0.3">
      <c r="B76" s="173" t="s">
        <v>130</v>
      </c>
      <c r="C76" s="147"/>
      <c r="D76" s="148"/>
      <c r="E76" s="149"/>
      <c r="F76" s="150"/>
      <c r="G76" s="174">
        <f>E37-E67+E69+E70+E71+E72+E73+E74+E75</f>
        <v>5374.7243642857138</v>
      </c>
    </row>
    <row r="77" spans="2:7" ht="28.5" x14ac:dyDescent="0.25">
      <c r="B77" s="175" t="s">
        <v>131</v>
      </c>
      <c r="C77" s="176"/>
      <c r="D77" s="177"/>
      <c r="E77" s="178"/>
      <c r="F77" s="179"/>
      <c r="G77" s="180">
        <f>E110</f>
        <v>61.169507142857157</v>
      </c>
    </row>
    <row r="78" spans="2:7" x14ac:dyDescent="0.25">
      <c r="B78" s="372" t="s">
        <v>132</v>
      </c>
      <c r="C78" s="372" t="s">
        <v>133</v>
      </c>
      <c r="D78" s="372" t="s">
        <v>96</v>
      </c>
      <c r="E78" s="373" t="s">
        <v>134</v>
      </c>
      <c r="F78" s="373"/>
      <c r="G78" s="374" t="s">
        <v>252</v>
      </c>
    </row>
    <row r="79" spans="2:7" x14ac:dyDescent="0.25">
      <c r="B79" s="375" t="s">
        <v>253</v>
      </c>
      <c r="C79" s="376"/>
      <c r="D79" s="377"/>
      <c r="E79" s="378">
        <f>E37-E67+E62+G44</f>
        <v>3411.2973619047621</v>
      </c>
      <c r="F79" s="379"/>
      <c r="G79" s="380"/>
    </row>
    <row r="80" spans="2:7" x14ac:dyDescent="0.25">
      <c r="B80" s="375" t="s">
        <v>254</v>
      </c>
      <c r="C80" s="381">
        <f>E79</f>
        <v>3411.2973619047621</v>
      </c>
      <c r="D80" s="382">
        <v>5.6000000000000001E-2</v>
      </c>
      <c r="E80" s="378">
        <f>D80*C80</f>
        <v>191.03265226666667</v>
      </c>
      <c r="F80" s="379"/>
      <c r="G80" s="380"/>
    </row>
    <row r="81" spans="2:7" x14ac:dyDescent="0.25">
      <c r="B81" s="375" t="s">
        <v>255</v>
      </c>
      <c r="C81" s="376"/>
      <c r="D81" s="378"/>
      <c r="E81" s="377"/>
      <c r="F81" s="379"/>
      <c r="G81" s="380"/>
    </row>
    <row r="82" spans="2:7" x14ac:dyDescent="0.25">
      <c r="B82" s="375"/>
      <c r="C82" s="376"/>
      <c r="D82" s="377"/>
      <c r="E82" s="377"/>
      <c r="F82" s="379"/>
      <c r="G82" s="383"/>
    </row>
    <row r="83" spans="2:7" x14ac:dyDescent="0.25">
      <c r="B83" s="384" t="s">
        <v>256</v>
      </c>
      <c r="C83" s="377"/>
      <c r="D83" s="377"/>
      <c r="E83" s="378">
        <f>G76-E80</f>
        <v>5183.6917120190474</v>
      </c>
      <c r="F83" s="379"/>
      <c r="G83" s="380"/>
    </row>
    <row r="84" spans="2:7" x14ac:dyDescent="0.25">
      <c r="B84" s="375" t="s">
        <v>257</v>
      </c>
      <c r="C84" s="377"/>
      <c r="D84" s="377"/>
      <c r="E84" s="378">
        <f>E118</f>
        <v>324.40571428571428</v>
      </c>
      <c r="F84" s="379"/>
      <c r="G84" s="380"/>
    </row>
    <row r="85" spans="2:7" x14ac:dyDescent="0.25">
      <c r="B85" s="375" t="s">
        <v>258</v>
      </c>
      <c r="C85" s="385"/>
      <c r="D85" s="377"/>
      <c r="E85" s="378">
        <f>E37+G67</f>
        <v>5693.1109714285722</v>
      </c>
      <c r="F85" s="379"/>
      <c r="G85" s="380"/>
    </row>
    <row r="86" spans="2:7" ht="15.75" thickBot="1" x14ac:dyDescent="0.3">
      <c r="B86" s="386" t="s">
        <v>137</v>
      </c>
      <c r="C86" s="184"/>
      <c r="D86" s="184"/>
      <c r="E86" s="184"/>
      <c r="F86" s="387"/>
      <c r="G86" s="388"/>
    </row>
    <row r="87" spans="2:7" ht="15.75" thickBot="1" x14ac:dyDescent="0.3">
      <c r="B87" s="182" t="s">
        <v>137</v>
      </c>
      <c r="C87" s="183"/>
      <c r="D87" s="183"/>
      <c r="E87" s="184"/>
      <c r="F87" s="184"/>
      <c r="G87" s="185"/>
    </row>
    <row r="89" spans="2:7" ht="15.75" thickBot="1" x14ac:dyDescent="0.3"/>
    <row r="90" spans="2:7" s="186" customFormat="1" ht="15.75" customHeight="1" thickBot="1" x14ac:dyDescent="0.3">
      <c r="B90" s="529" t="s">
        <v>116</v>
      </c>
      <c r="C90" s="530"/>
      <c r="D90" s="530"/>
      <c r="E90" s="531"/>
    </row>
    <row r="91" spans="2:7" s="186" customFormat="1" x14ac:dyDescent="0.25">
      <c r="B91" s="187"/>
      <c r="C91" s="188"/>
      <c r="D91" s="541">
        <f>+E37</f>
        <v>4159.0476190476193</v>
      </c>
      <c r="E91" s="189"/>
    </row>
    <row r="92" spans="2:7" s="186" customFormat="1" x14ac:dyDescent="0.25">
      <c r="B92" s="190" t="s">
        <v>138</v>
      </c>
      <c r="C92" s="191">
        <f>IF(J6&gt;=11,J8,0)</f>
        <v>0</v>
      </c>
      <c r="D92" s="542"/>
      <c r="E92" s="192">
        <f>C92*$D$91</f>
        <v>0</v>
      </c>
    </row>
    <row r="93" spans="2:7" s="186" customFormat="1" x14ac:dyDescent="0.25">
      <c r="B93" s="190" t="s">
        <v>139</v>
      </c>
      <c r="C93" s="191">
        <f>IF(J6&lt;50,0%,0.5%)</f>
        <v>0</v>
      </c>
      <c r="D93" s="542"/>
      <c r="E93" s="192">
        <f t="shared" ref="E93:E98" si="4">C93*$D$91</f>
        <v>0</v>
      </c>
    </row>
    <row r="94" spans="2:7" s="186" customFormat="1" x14ac:dyDescent="0.25">
      <c r="B94" s="190" t="s">
        <v>140</v>
      </c>
      <c r="C94" s="191">
        <v>1.6000000000000001E-4</v>
      </c>
      <c r="D94" s="542"/>
      <c r="E94" s="192">
        <f t="shared" si="4"/>
        <v>0.66544761904761918</v>
      </c>
    </row>
    <row r="95" spans="2:7" s="186" customFormat="1" x14ac:dyDescent="0.25">
      <c r="B95" s="190" t="s">
        <v>141</v>
      </c>
      <c r="C95" s="191">
        <v>3.0000000000000001E-3</v>
      </c>
      <c r="D95" s="542"/>
      <c r="E95" s="192">
        <f t="shared" si="4"/>
        <v>12.477142857142859</v>
      </c>
    </row>
    <row r="96" spans="2:7" s="186" customFormat="1" x14ac:dyDescent="0.25">
      <c r="B96" s="190" t="s">
        <v>142</v>
      </c>
      <c r="C96" s="191">
        <v>6.7999999999999996E-3</v>
      </c>
      <c r="D96" s="542"/>
      <c r="E96" s="192">
        <f t="shared" si="4"/>
        <v>28.281523809523808</v>
      </c>
    </row>
    <row r="97" spans="2:5" s="186" customFormat="1" x14ac:dyDescent="0.25">
      <c r="B97" s="190" t="s">
        <v>143</v>
      </c>
      <c r="C97" s="191">
        <f>IF(J6&lt;11,0.55%,1%)</f>
        <v>5.5000000000000005E-3</v>
      </c>
      <c r="D97" s="542"/>
      <c r="E97" s="192">
        <f t="shared" si="4"/>
        <v>22.874761904761908</v>
      </c>
    </row>
    <row r="98" spans="2:5" s="186" customFormat="1" x14ac:dyDescent="0.25">
      <c r="B98" s="190"/>
      <c r="C98" s="191">
        <f>IF(J6&lt;=50,0,0.45%)</f>
        <v>0</v>
      </c>
      <c r="D98" s="542"/>
      <c r="E98" s="192">
        <f t="shared" si="4"/>
        <v>0</v>
      </c>
    </row>
    <row r="99" spans="2:5" s="186" customFormat="1" x14ac:dyDescent="0.25">
      <c r="B99" s="20"/>
      <c r="C99" s="21"/>
      <c r="D99" s="21"/>
      <c r="E99" s="22"/>
    </row>
    <row r="100" spans="2:5" s="186" customFormat="1" x14ac:dyDescent="0.25">
      <c r="B100" s="20" t="s">
        <v>144</v>
      </c>
      <c r="C100" s="193">
        <f>IF(J6&gt;=11,+G42+G43+G44,0)</f>
        <v>0</v>
      </c>
      <c r="D100" s="194">
        <v>0.08</v>
      </c>
      <c r="E100" s="195">
        <f>D100*C100</f>
        <v>0</v>
      </c>
    </row>
    <row r="101" spans="2:5" s="186" customFormat="1" ht="15.75" thickBot="1" x14ac:dyDescent="0.3">
      <c r="B101" s="37" t="s">
        <v>145</v>
      </c>
      <c r="C101" s="196">
        <f>IF(J6&lt;50,J17,0)</f>
        <v>4159.0476190476193</v>
      </c>
      <c r="D101" s="197">
        <v>1E-3</v>
      </c>
      <c r="E101" s="198">
        <f>D101*C101</f>
        <v>4.1590476190476195</v>
      </c>
    </row>
    <row r="102" spans="2:5" s="186" customFormat="1" ht="15.75" thickBot="1" x14ac:dyDescent="0.3">
      <c r="B102" s="8"/>
      <c r="C102" s="8"/>
      <c r="D102" s="8"/>
      <c r="E102" s="8"/>
    </row>
    <row r="103" spans="2:5" s="186" customFormat="1" ht="15.75" thickBot="1" x14ac:dyDescent="0.3">
      <c r="B103" s="199" t="s">
        <v>146</v>
      </c>
      <c r="C103" s="200"/>
      <c r="D103" s="200"/>
      <c r="E103" s="201">
        <f>SUM(E92:E101)</f>
        <v>68.457923809523805</v>
      </c>
    </row>
    <row r="104" spans="2:5" s="186" customFormat="1" ht="15.75" thickBot="1" x14ac:dyDescent="0.3">
      <c r="B104" s="8"/>
      <c r="C104" s="8"/>
      <c r="D104" s="8"/>
      <c r="E104" s="8"/>
    </row>
    <row r="105" spans="2:5" s="186" customFormat="1" ht="18" customHeight="1" thickBot="1" x14ac:dyDescent="0.3">
      <c r="B105" s="529" t="s">
        <v>147</v>
      </c>
      <c r="C105" s="530"/>
      <c r="D105" s="530"/>
      <c r="E105" s="531"/>
    </row>
    <row r="106" spans="2:5" s="186" customFormat="1" x14ac:dyDescent="0.25">
      <c r="B106" s="202" t="s">
        <v>148</v>
      </c>
      <c r="C106" s="203">
        <f>E37</f>
        <v>4159.0476190476193</v>
      </c>
      <c r="D106" s="204">
        <v>2.4E-2</v>
      </c>
      <c r="E106" s="205">
        <f>D106*C106</f>
        <v>99.817142857142869</v>
      </c>
    </row>
    <row r="107" spans="2:5" s="186" customFormat="1" x14ac:dyDescent="0.25">
      <c r="B107" s="206" t="s">
        <v>17</v>
      </c>
      <c r="C107" s="203">
        <f>C106</f>
        <v>4159.0476190476193</v>
      </c>
      <c r="D107" s="207">
        <v>7.4999999999999997E-3</v>
      </c>
      <c r="E107" s="208">
        <f t="shared" ref="E107:E108" si="5">D107*C107</f>
        <v>31.192857142857143</v>
      </c>
    </row>
    <row r="108" spans="2:5" s="186" customFormat="1" x14ac:dyDescent="0.25">
      <c r="B108" s="206" t="s">
        <v>149</v>
      </c>
      <c r="C108" s="203">
        <f>C61+C63</f>
        <v>4108.2642857142855</v>
      </c>
      <c r="D108" s="207">
        <v>-1.7000000000000001E-2</v>
      </c>
      <c r="E108" s="208">
        <f t="shared" si="5"/>
        <v>-69.840492857142863</v>
      </c>
    </row>
    <row r="109" spans="2:5" s="186" customFormat="1" x14ac:dyDescent="0.25">
      <c r="B109" s="181"/>
      <c r="C109" s="209"/>
      <c r="D109" s="210"/>
      <c r="E109" s="211"/>
    </row>
    <row r="110" spans="2:5" s="186" customFormat="1" ht="15.75" thickBot="1" x14ac:dyDescent="0.3">
      <c r="B110" s="212" t="s">
        <v>150</v>
      </c>
      <c r="C110" s="213"/>
      <c r="D110" s="214"/>
      <c r="E110" s="215">
        <f>SUM(E106:E109)</f>
        <v>61.169507142857157</v>
      </c>
    </row>
    <row r="111" spans="2:5" s="186" customFormat="1" ht="12.75" x14ac:dyDescent="0.25"/>
    <row r="112" spans="2:5" s="186" customFormat="1" ht="13.5" thickBot="1" x14ac:dyDescent="0.3"/>
    <row r="113" spans="2:9" s="186" customFormat="1" ht="20.25" customHeight="1" thickBot="1" x14ac:dyDescent="0.3">
      <c r="B113" s="529" t="s">
        <v>151</v>
      </c>
      <c r="C113" s="530"/>
      <c r="D113" s="530"/>
      <c r="E113" s="531"/>
    </row>
    <row r="114" spans="2:9" s="186" customFormat="1" ht="15.75" customHeight="1" x14ac:dyDescent="0.25">
      <c r="B114" s="216" t="s">
        <v>152</v>
      </c>
      <c r="C114" s="217"/>
      <c r="D114" s="217"/>
      <c r="E114" s="218">
        <f>I124</f>
        <v>0</v>
      </c>
    </row>
    <row r="115" spans="2:9" s="186" customFormat="1" ht="15.75" customHeight="1" x14ac:dyDescent="0.25">
      <c r="B115" s="219"/>
      <c r="C115" s="220"/>
      <c r="D115" s="221"/>
      <c r="E115" s="222"/>
    </row>
    <row r="116" spans="2:9" s="186" customFormat="1" ht="15.75" customHeight="1" x14ac:dyDescent="0.25">
      <c r="B116" s="219" t="s">
        <v>154</v>
      </c>
      <c r="C116" s="223">
        <f>C41</f>
        <v>4159.0476190476193</v>
      </c>
      <c r="D116" s="207">
        <v>1.7999999999999999E-2</v>
      </c>
      <c r="E116" s="222">
        <f>D116*C116</f>
        <v>74.862857142857138</v>
      </c>
    </row>
    <row r="117" spans="2:9" s="186" customFormat="1" ht="15.75" customHeight="1" x14ac:dyDescent="0.25">
      <c r="B117" s="219" t="s">
        <v>155</v>
      </c>
      <c r="C117" s="223">
        <f>C116</f>
        <v>4159.0476190476193</v>
      </c>
      <c r="D117" s="207">
        <v>0.06</v>
      </c>
      <c r="E117" s="222">
        <f>D117*C117</f>
        <v>249.54285714285714</v>
      </c>
    </row>
    <row r="118" spans="2:9" s="186" customFormat="1" ht="15.75" customHeight="1" thickBot="1" x14ac:dyDescent="0.3">
      <c r="B118" s="224" t="s">
        <v>156</v>
      </c>
      <c r="C118" s="225"/>
      <c r="D118" s="225"/>
      <c r="E118" s="226">
        <f>E114+E115+E116+E117</f>
        <v>324.40571428571428</v>
      </c>
    </row>
    <row r="121" spans="2:9" ht="15.75" hidden="1" thickBot="1" x14ac:dyDescent="0.3">
      <c r="B121" s="227" t="s">
        <v>157</v>
      </c>
      <c r="C121" s="228">
        <f>J19</f>
        <v>0.31909999999999999</v>
      </c>
      <c r="D121" s="229"/>
      <c r="E121" s="229"/>
      <c r="F121" s="229"/>
      <c r="G121" s="229"/>
      <c r="H121" s="229"/>
      <c r="I121" s="229"/>
    </row>
    <row r="122" spans="2:9" hidden="1" x14ac:dyDescent="0.25">
      <c r="B122" s="229"/>
      <c r="C122" s="229"/>
      <c r="D122" s="229"/>
      <c r="E122" s="229"/>
      <c r="F122" s="229"/>
      <c r="G122" s="229"/>
      <c r="H122" s="229"/>
      <c r="I122" s="229"/>
    </row>
    <row r="123" spans="2:9" ht="30" hidden="1" x14ac:dyDescent="0.25">
      <c r="B123" s="3" t="s">
        <v>158</v>
      </c>
      <c r="C123" s="230" t="s">
        <v>159</v>
      </c>
      <c r="D123" s="230" t="s">
        <v>160</v>
      </c>
      <c r="E123" s="231" t="s">
        <v>161</v>
      </c>
      <c r="F123" s="232" t="s">
        <v>162</v>
      </c>
      <c r="G123" s="232" t="s">
        <v>163</v>
      </c>
      <c r="H123" s="232" t="s">
        <v>164</v>
      </c>
      <c r="I123" s="233" t="s">
        <v>165</v>
      </c>
    </row>
    <row r="124" spans="2:9" ht="15.75" hidden="1" thickBot="1" x14ac:dyDescent="0.3">
      <c r="B124" s="76" t="s">
        <v>166</v>
      </c>
      <c r="C124" s="234"/>
      <c r="D124" s="235">
        <f>C124</f>
        <v>0</v>
      </c>
      <c r="E124" s="236">
        <v>1603.12</v>
      </c>
      <c r="F124" s="234">
        <f>+E124</f>
        <v>1603.12</v>
      </c>
      <c r="G124" s="237" t="e">
        <f>ROUND((C121/0.6)*((1.6*F124/D124)-1),4)</f>
        <v>#DIV/0!</v>
      </c>
      <c r="H124" s="235" t="e">
        <f>IF(G124&gt;0,G124*D124,0)</f>
        <v>#DIV/0!</v>
      </c>
      <c r="I124" s="238">
        <v>0</v>
      </c>
    </row>
    <row r="125" spans="2:9" hidden="1" x14ac:dyDescent="0.25"/>
    <row r="126" spans="2:9" hidden="1" x14ac:dyDescent="0.25"/>
    <row r="127" spans="2:9" ht="18.75" hidden="1" x14ac:dyDescent="0.25">
      <c r="B127" s="532" t="s">
        <v>167</v>
      </c>
      <c r="C127" s="535"/>
      <c r="D127" s="535"/>
      <c r="E127" s="535"/>
    </row>
    <row r="128" spans="2:9" hidden="1" x14ac:dyDescent="0.25"/>
    <row r="129" spans="2:6" hidden="1" x14ac:dyDescent="0.25">
      <c r="B129" s="239" t="s">
        <v>168</v>
      </c>
      <c r="C129" s="240" t="s">
        <v>169</v>
      </c>
      <c r="D129" s="241" t="s">
        <v>170</v>
      </c>
      <c r="E129" s="241" t="s">
        <v>171</v>
      </c>
      <c r="F129" s="242" t="s">
        <v>172</v>
      </c>
    </row>
    <row r="130" spans="2:6" hidden="1" x14ac:dyDescent="0.25">
      <c r="B130" s="243" t="s">
        <v>173</v>
      </c>
      <c r="C130" s="2"/>
      <c r="D130" s="244">
        <f>C130-25</f>
        <v>-25</v>
      </c>
      <c r="E130" s="244">
        <f>IF(D130&lt;2.8,D130,2.8)</f>
        <v>-25</v>
      </c>
      <c r="F130" s="6">
        <f>IF(D130&gt;2.8,D130-2.8,0)</f>
        <v>0</v>
      </c>
    </row>
    <row r="131" spans="2:6" hidden="1" x14ac:dyDescent="0.25">
      <c r="B131" s="243" t="s">
        <v>174</v>
      </c>
      <c r="C131" s="2"/>
      <c r="D131" s="244">
        <f>C131-25</f>
        <v>-25</v>
      </c>
      <c r="E131" s="244">
        <f t="shared" ref="E131:E133" si="6">IF(D131&lt;2.8,D131,2.8)</f>
        <v>-25</v>
      </c>
      <c r="F131" s="6">
        <f t="shared" ref="F131:F133" si="7">IF(D131&gt;2.8,D131-2.8,0)</f>
        <v>0</v>
      </c>
    </row>
    <row r="132" spans="2:6" hidden="1" x14ac:dyDescent="0.25">
      <c r="B132" s="243" t="s">
        <v>175</v>
      </c>
      <c r="C132" s="2"/>
      <c r="D132" s="244">
        <f t="shared" ref="D132:D133" si="8">C132-25</f>
        <v>-25</v>
      </c>
      <c r="E132" s="244">
        <f t="shared" si="6"/>
        <v>-25</v>
      </c>
      <c r="F132" s="6">
        <f t="shared" si="7"/>
        <v>0</v>
      </c>
    </row>
    <row r="133" spans="2:6" hidden="1" x14ac:dyDescent="0.25">
      <c r="B133" s="243" t="s">
        <v>176</v>
      </c>
      <c r="C133" s="2"/>
      <c r="D133" s="244">
        <f t="shared" si="8"/>
        <v>-25</v>
      </c>
      <c r="E133" s="245">
        <f t="shared" si="6"/>
        <v>-25</v>
      </c>
      <c r="F133" s="246">
        <f t="shared" si="7"/>
        <v>0</v>
      </c>
    </row>
    <row r="134" spans="2:6" ht="15.75" hidden="1" thickBot="1" x14ac:dyDescent="0.3">
      <c r="B134" s="247" t="s">
        <v>177</v>
      </c>
      <c r="C134" s="2"/>
      <c r="D134" s="536" t="s">
        <v>178</v>
      </c>
      <c r="E134" s="536"/>
      <c r="F134" s="537"/>
    </row>
    <row r="135" spans="2:6" ht="15.75" hidden="1" thickBot="1" x14ac:dyDescent="0.3">
      <c r="B135" s="248" t="s">
        <v>179</v>
      </c>
      <c r="C135" s="249"/>
      <c r="D135" s="249">
        <f>SUM(D130:D133)</f>
        <v>-100</v>
      </c>
      <c r="E135" s="249">
        <f>SUM(E130:E133)</f>
        <v>-100</v>
      </c>
      <c r="F135" s="250">
        <f>SUM(F130:F133)</f>
        <v>0</v>
      </c>
    </row>
    <row r="136" spans="2:6" hidden="1" x14ac:dyDescent="0.25"/>
    <row r="137" spans="2:6" ht="18.75" customHeight="1" x14ac:dyDescent="0.25">
      <c r="B137" s="7"/>
      <c r="C137" s="251"/>
      <c r="D137" s="252"/>
      <c r="E137" s="7"/>
      <c r="F137" s="7"/>
    </row>
    <row r="138" spans="2:6" ht="18.75" hidden="1" x14ac:dyDescent="0.25">
      <c r="B138" s="532" t="s">
        <v>9</v>
      </c>
      <c r="C138" s="535"/>
      <c r="D138" s="535"/>
      <c r="E138" s="535"/>
    </row>
    <row r="139" spans="2:6" hidden="1" x14ac:dyDescent="0.25"/>
    <row r="140" spans="2:6" hidden="1" x14ac:dyDescent="0.25">
      <c r="B140" s="543" t="s">
        <v>10</v>
      </c>
      <c r="C140" s="544"/>
      <c r="D140" s="544"/>
      <c r="E140" s="545"/>
    </row>
    <row r="141" spans="2:6" hidden="1" x14ac:dyDescent="0.25">
      <c r="B141" s="253" t="s">
        <v>11</v>
      </c>
      <c r="C141" s="254"/>
      <c r="D141" s="254"/>
      <c r="E141" s="268">
        <v>3000</v>
      </c>
    </row>
    <row r="142" spans="2:6" hidden="1" x14ac:dyDescent="0.25">
      <c r="B142" s="253" t="s">
        <v>12</v>
      </c>
      <c r="C142" s="254"/>
      <c r="D142" s="254"/>
      <c r="E142" s="255">
        <v>28</v>
      </c>
    </row>
    <row r="143" spans="2:6" hidden="1" x14ac:dyDescent="0.25">
      <c r="B143" s="253" t="s">
        <v>13</v>
      </c>
      <c r="C143" s="254"/>
      <c r="D143" s="254"/>
      <c r="E143" s="272">
        <f>+E141/E142</f>
        <v>107.14285714285714</v>
      </c>
    </row>
    <row r="144" spans="2:6" hidden="1" x14ac:dyDescent="0.25">
      <c r="B144" s="253" t="s">
        <v>14</v>
      </c>
      <c r="C144" s="254"/>
      <c r="D144" s="254"/>
      <c r="E144" s="269">
        <v>21</v>
      </c>
    </row>
    <row r="145" spans="2:5" ht="16.5" hidden="1" thickTop="1" thickBot="1" x14ac:dyDescent="0.3">
      <c r="B145" s="256" t="s">
        <v>15</v>
      </c>
      <c r="C145" s="257"/>
      <c r="D145" s="258"/>
      <c r="E145" s="273">
        <f>E143*E144</f>
        <v>2250</v>
      </c>
    </row>
    <row r="146" spans="2:5" hidden="1" x14ac:dyDescent="0.25">
      <c r="B146" s="259"/>
      <c r="C146" s="259"/>
      <c r="D146" s="259"/>
      <c r="E146" s="259"/>
    </row>
    <row r="147" spans="2:5" ht="15.75" hidden="1" thickBot="1" x14ac:dyDescent="0.3">
      <c r="B147" s="529" t="s">
        <v>16</v>
      </c>
      <c r="C147" s="530"/>
      <c r="D147" s="530"/>
      <c r="E147" s="531"/>
    </row>
    <row r="148" spans="2:5" hidden="1" x14ac:dyDescent="0.25">
      <c r="B148" s="260" t="s">
        <v>17</v>
      </c>
      <c r="C148" s="261"/>
      <c r="D148" s="262" t="s">
        <v>18</v>
      </c>
      <c r="E148" s="263" t="s">
        <v>19</v>
      </c>
    </row>
    <row r="149" spans="2:5" hidden="1" x14ac:dyDescent="0.25">
      <c r="B149" s="206" t="s">
        <v>20</v>
      </c>
      <c r="C149" s="270">
        <v>44197</v>
      </c>
      <c r="D149" s="271">
        <v>5850</v>
      </c>
      <c r="E149" s="274">
        <f>1.8*1603.12</f>
        <v>2885.616</v>
      </c>
    </row>
    <row r="150" spans="2:5" hidden="1" x14ac:dyDescent="0.25">
      <c r="B150" s="206" t="s">
        <v>21</v>
      </c>
      <c r="C150" s="270">
        <v>44531</v>
      </c>
      <c r="D150" s="271">
        <v>3000</v>
      </c>
      <c r="E150" s="274">
        <f t="shared" ref="E150:E151" si="9">1.8*1603.12</f>
        <v>2885.616</v>
      </c>
    </row>
    <row r="151" spans="2:5" hidden="1" x14ac:dyDescent="0.25">
      <c r="B151" s="206" t="s">
        <v>22</v>
      </c>
      <c r="C151" s="270">
        <v>44501</v>
      </c>
      <c r="D151" s="271">
        <v>2900</v>
      </c>
      <c r="E151" s="274">
        <f t="shared" si="9"/>
        <v>2885.616</v>
      </c>
    </row>
    <row r="152" spans="2:5" hidden="1" x14ac:dyDescent="0.25">
      <c r="B152" s="206" t="s">
        <v>23</v>
      </c>
      <c r="C152" s="264"/>
      <c r="D152" s="264"/>
      <c r="E152" s="208">
        <f>SUM(E149:E151)</f>
        <v>8656.848</v>
      </c>
    </row>
    <row r="153" spans="2:5" hidden="1" x14ac:dyDescent="0.25">
      <c r="B153" s="206" t="s">
        <v>24</v>
      </c>
      <c r="C153" s="264"/>
      <c r="D153" s="264"/>
      <c r="E153" s="208">
        <f>E152/91.25*0.5</f>
        <v>47.434783561643833</v>
      </c>
    </row>
    <row r="154" spans="2:5" hidden="1" x14ac:dyDescent="0.25">
      <c r="B154" s="206" t="s">
        <v>180</v>
      </c>
      <c r="C154" s="264"/>
      <c r="D154" s="276" t="s">
        <v>181</v>
      </c>
      <c r="E154" s="265">
        <f>E144-3</f>
        <v>18</v>
      </c>
    </row>
    <row r="155" spans="2:5" hidden="1" x14ac:dyDescent="0.25">
      <c r="B155" s="206" t="s">
        <v>25</v>
      </c>
      <c r="C155" s="264"/>
      <c r="D155" s="264"/>
      <c r="E155" s="280">
        <f>E154*E153</f>
        <v>853.82610410958898</v>
      </c>
    </row>
    <row r="156" spans="2:5" hidden="1" x14ac:dyDescent="0.25">
      <c r="B156" s="206" t="s">
        <v>26</v>
      </c>
      <c r="C156" s="264"/>
      <c r="D156" s="264"/>
      <c r="E156" s="208">
        <f>E155*6.7%</f>
        <v>57.206348975342465</v>
      </c>
    </row>
    <row r="157" spans="2:5" ht="15.75" hidden="1" thickBot="1" x14ac:dyDescent="0.3">
      <c r="B157" s="266" t="s">
        <v>27</v>
      </c>
      <c r="C157" s="267"/>
      <c r="D157" s="267"/>
      <c r="E157" s="275">
        <f>E155-E156</f>
        <v>796.61975513424647</v>
      </c>
    </row>
    <row r="158" spans="2:5" hidden="1" x14ac:dyDescent="0.25"/>
    <row r="159" spans="2:5" hidden="1" x14ac:dyDescent="0.25">
      <c r="B159" s="543" t="s">
        <v>28</v>
      </c>
      <c r="C159" s="544"/>
      <c r="D159" s="544"/>
      <c r="E159" s="545"/>
    </row>
    <row r="160" spans="2:5" hidden="1" x14ac:dyDescent="0.25">
      <c r="B160" s="253" t="s">
        <v>29</v>
      </c>
      <c r="C160" s="254"/>
      <c r="D160" s="254"/>
      <c r="E160" s="277">
        <f>E144-7</f>
        <v>14</v>
      </c>
    </row>
    <row r="161" spans="2:5" hidden="1" x14ac:dyDescent="0.25">
      <c r="B161" s="253" t="s">
        <v>30</v>
      </c>
      <c r="C161" s="254"/>
      <c r="D161" s="254"/>
      <c r="E161" s="255">
        <f>E143*0.9</f>
        <v>96.428571428571431</v>
      </c>
    </row>
    <row r="162" spans="2:5" ht="16.5" hidden="1" thickTop="1" thickBot="1" x14ac:dyDescent="0.3">
      <c r="B162" s="253" t="s">
        <v>31</v>
      </c>
      <c r="C162" s="254"/>
      <c r="D162" s="254"/>
      <c r="E162" s="273">
        <f>E160*E161</f>
        <v>1350</v>
      </c>
    </row>
    <row r="163" spans="2:5" hidden="1" x14ac:dyDescent="0.25">
      <c r="B163" s="206" t="s">
        <v>32</v>
      </c>
      <c r="C163" s="254"/>
      <c r="D163" s="254"/>
      <c r="E163" s="278">
        <f>E153</f>
        <v>47.434783561643833</v>
      </c>
    </row>
    <row r="164" spans="2:5" ht="16.5" hidden="1" thickTop="1" thickBot="1" x14ac:dyDescent="0.3">
      <c r="B164" s="256" t="s">
        <v>33</v>
      </c>
      <c r="C164" s="281">
        <f>E160</f>
        <v>14</v>
      </c>
      <c r="D164" s="279">
        <f>E163</f>
        <v>47.434783561643833</v>
      </c>
      <c r="E164" s="273">
        <f>D164*C164</f>
        <v>664.08696986301368</v>
      </c>
    </row>
    <row r="165" spans="2:5" hidden="1" x14ac:dyDescent="0.25"/>
  </sheetData>
  <mergeCells count="12">
    <mergeCell ref="B159:E159"/>
    <mergeCell ref="C17:D17"/>
    <mergeCell ref="F17:G17"/>
    <mergeCell ref="D91:D98"/>
    <mergeCell ref="B105:E105"/>
    <mergeCell ref="B113:E113"/>
    <mergeCell ref="B90:E90"/>
    <mergeCell ref="B127:E127"/>
    <mergeCell ref="D134:F134"/>
    <mergeCell ref="B138:E138"/>
    <mergeCell ref="B140:E140"/>
    <mergeCell ref="B147:E14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32DD1-0DD4-4075-8D7E-9A7B17175858}">
  <dimension ref="D1:E22"/>
  <sheetViews>
    <sheetView workbookViewId="0">
      <selection activeCell="D1" sqref="D1:E22"/>
    </sheetView>
  </sheetViews>
  <sheetFormatPr baseColWidth="10" defaultRowHeight="15" x14ac:dyDescent="0.25"/>
  <sheetData>
    <row r="1" spans="4:5" x14ac:dyDescent="0.25">
      <c r="D1" t="s">
        <v>3</v>
      </c>
      <c r="E1">
        <v>1</v>
      </c>
    </row>
    <row r="2" spans="4:5" x14ac:dyDescent="0.25">
      <c r="D2" t="s">
        <v>4</v>
      </c>
      <c r="E2">
        <v>2</v>
      </c>
    </row>
    <row r="3" spans="4:5" x14ac:dyDescent="0.25">
      <c r="D3" t="s">
        <v>5</v>
      </c>
      <c r="E3">
        <v>5</v>
      </c>
    </row>
    <row r="4" spans="4:5" x14ac:dyDescent="0.25">
      <c r="D4" t="s">
        <v>6</v>
      </c>
      <c r="E4">
        <v>6</v>
      </c>
    </row>
    <row r="5" spans="4:5" x14ac:dyDescent="0.25">
      <c r="D5" t="s">
        <v>7</v>
      </c>
      <c r="E5">
        <v>7</v>
      </c>
    </row>
    <row r="6" spans="4:5" x14ac:dyDescent="0.25">
      <c r="D6" t="s">
        <v>3</v>
      </c>
      <c r="E6">
        <v>8</v>
      </c>
    </row>
    <row r="7" spans="4:5" x14ac:dyDescent="0.25">
      <c r="D7" t="s">
        <v>4</v>
      </c>
      <c r="E7">
        <v>9</v>
      </c>
    </row>
    <row r="8" spans="4:5" x14ac:dyDescent="0.25">
      <c r="D8" t="s">
        <v>5</v>
      </c>
      <c r="E8">
        <v>12</v>
      </c>
    </row>
    <row r="9" spans="4:5" x14ac:dyDescent="0.25">
      <c r="D9" t="s">
        <v>6</v>
      </c>
      <c r="E9">
        <v>13</v>
      </c>
    </row>
    <row r="10" spans="4:5" x14ac:dyDescent="0.25">
      <c r="D10" t="s">
        <v>7</v>
      </c>
      <c r="E10">
        <v>14</v>
      </c>
    </row>
    <row r="11" spans="4:5" x14ac:dyDescent="0.25">
      <c r="D11" t="s">
        <v>3</v>
      </c>
      <c r="E11">
        <v>15</v>
      </c>
    </row>
    <row r="12" spans="4:5" x14ac:dyDescent="0.25">
      <c r="D12" t="s">
        <v>4</v>
      </c>
      <c r="E12">
        <v>16</v>
      </c>
    </row>
    <row r="13" spans="4:5" x14ac:dyDescent="0.25">
      <c r="D13" t="s">
        <v>5</v>
      </c>
      <c r="E13">
        <v>19</v>
      </c>
    </row>
    <row r="14" spans="4:5" x14ac:dyDescent="0.25">
      <c r="D14" t="s">
        <v>6</v>
      </c>
      <c r="E14">
        <v>20</v>
      </c>
    </row>
    <row r="15" spans="4:5" x14ac:dyDescent="0.25">
      <c r="D15" t="s">
        <v>7</v>
      </c>
      <c r="E15">
        <v>21</v>
      </c>
    </row>
    <row r="16" spans="4:5" x14ac:dyDescent="0.25">
      <c r="D16" t="s">
        <v>3</v>
      </c>
      <c r="E16">
        <v>22</v>
      </c>
    </row>
    <row r="17" spans="4:5" x14ac:dyDescent="0.25">
      <c r="D17" t="s">
        <v>4</v>
      </c>
      <c r="E17">
        <v>23</v>
      </c>
    </row>
    <row r="18" spans="4:5" x14ac:dyDescent="0.25">
      <c r="D18" t="s">
        <v>5</v>
      </c>
      <c r="E18">
        <v>26</v>
      </c>
    </row>
    <row r="19" spans="4:5" x14ac:dyDescent="0.25">
      <c r="D19" t="s">
        <v>6</v>
      </c>
      <c r="E19">
        <v>27</v>
      </c>
    </row>
    <row r="20" spans="4:5" x14ac:dyDescent="0.25">
      <c r="D20" t="s">
        <v>7</v>
      </c>
      <c r="E20">
        <v>28</v>
      </c>
    </row>
    <row r="21" spans="4:5" x14ac:dyDescent="0.25">
      <c r="D21" t="s">
        <v>3</v>
      </c>
      <c r="E21">
        <v>29</v>
      </c>
    </row>
    <row r="22" spans="4:5" x14ac:dyDescent="0.25">
      <c r="D22" t="s">
        <v>4</v>
      </c>
      <c r="E22">
        <v>30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94F67-966E-4136-8D07-96AEB33EBC37}">
  <dimension ref="B1:P162"/>
  <sheetViews>
    <sheetView topLeftCell="A59" zoomScaleNormal="100" workbookViewId="0">
      <selection activeCell="C22" sqref="C22"/>
    </sheetView>
  </sheetViews>
  <sheetFormatPr baseColWidth="10" defaultRowHeight="15" x14ac:dyDescent="0.25"/>
  <cols>
    <col min="1" max="1" width="11.42578125" style="8"/>
    <col min="2" max="2" width="63.5703125" style="8" customWidth="1"/>
    <col min="3" max="3" width="15" style="8" bestFit="1" customWidth="1"/>
    <col min="4" max="4" width="17.140625" style="8" bestFit="1" customWidth="1"/>
    <col min="5" max="5" width="25.5703125" style="8" bestFit="1" customWidth="1"/>
    <col min="6" max="6" width="12.5703125" style="8" customWidth="1"/>
    <col min="7" max="7" width="18.28515625" style="8" customWidth="1"/>
    <col min="8" max="8" width="12" style="8" bestFit="1" customWidth="1"/>
    <col min="9" max="9" width="52.140625" style="8" bestFit="1" customWidth="1"/>
    <col min="10" max="10" width="12.42578125" style="8" bestFit="1" customWidth="1"/>
    <col min="11" max="11" width="12" style="8" bestFit="1" customWidth="1"/>
    <col min="12" max="12" width="11.42578125" style="8"/>
    <col min="13" max="13" width="12.140625" style="8" bestFit="1" customWidth="1"/>
    <col min="14" max="15" width="12" style="8" bestFit="1" customWidth="1"/>
    <col min="16" max="16384" width="11.42578125" style="8"/>
  </cols>
  <sheetData>
    <row r="1" spans="2:11" ht="23.25" thickBot="1" x14ac:dyDescent="0.3">
      <c r="B1" s="9" t="s">
        <v>34</v>
      </c>
      <c r="C1" s="10"/>
      <c r="D1" s="10"/>
      <c r="E1" s="10"/>
      <c r="F1" s="10"/>
      <c r="G1" s="11"/>
      <c r="I1" s="12" t="s">
        <v>35</v>
      </c>
    </row>
    <row r="2" spans="2:11" ht="15.75" thickBot="1" x14ac:dyDescent="0.3">
      <c r="B2" s="13" t="s">
        <v>36</v>
      </c>
      <c r="C2" s="14"/>
      <c r="D2" s="15"/>
      <c r="E2" s="16" t="s">
        <v>37</v>
      </c>
      <c r="F2" s="14"/>
      <c r="G2" s="15"/>
    </row>
    <row r="3" spans="2:11" x14ac:dyDescent="0.25">
      <c r="B3" s="17" t="s">
        <v>38</v>
      </c>
      <c r="C3" s="18"/>
      <c r="D3" s="19"/>
      <c r="E3" s="20" t="s">
        <v>38</v>
      </c>
      <c r="F3" s="21"/>
      <c r="G3" s="22"/>
      <c r="I3" s="16" t="s">
        <v>11</v>
      </c>
      <c r="J3" s="23">
        <v>6000</v>
      </c>
    </row>
    <row r="4" spans="2:11" x14ac:dyDescent="0.25">
      <c r="B4" s="17" t="s">
        <v>39</v>
      </c>
      <c r="C4" s="18"/>
      <c r="D4" s="19"/>
      <c r="E4" s="20" t="s">
        <v>40</v>
      </c>
      <c r="F4" s="21"/>
      <c r="G4" s="22"/>
      <c r="I4" s="20" t="s">
        <v>41</v>
      </c>
      <c r="J4" s="24">
        <v>151.66999999999999</v>
      </c>
    </row>
    <row r="5" spans="2:11" x14ac:dyDescent="0.25">
      <c r="B5" s="17" t="s">
        <v>42</v>
      </c>
      <c r="C5" s="18"/>
      <c r="D5" s="19"/>
      <c r="E5" s="20" t="s">
        <v>43</v>
      </c>
      <c r="F5" s="21"/>
      <c r="G5" s="22"/>
      <c r="I5" s="20" t="s">
        <v>44</v>
      </c>
      <c r="J5" s="22">
        <v>147</v>
      </c>
    </row>
    <row r="6" spans="2:11" x14ac:dyDescent="0.25">
      <c r="B6" s="17" t="s">
        <v>42</v>
      </c>
      <c r="C6" s="18"/>
      <c r="D6" s="19"/>
      <c r="E6" s="20" t="s">
        <v>45</v>
      </c>
      <c r="F6" s="21"/>
      <c r="G6" s="22"/>
      <c r="I6" s="25" t="s">
        <v>8</v>
      </c>
      <c r="J6" s="26">
        <v>5</v>
      </c>
    </row>
    <row r="7" spans="2:11" x14ac:dyDescent="0.25">
      <c r="B7" s="17" t="s">
        <v>46</v>
      </c>
      <c r="C7" s="18"/>
      <c r="D7" s="19"/>
      <c r="E7" s="20"/>
      <c r="F7" s="21"/>
      <c r="G7" s="22"/>
      <c r="I7" s="20" t="s">
        <v>47</v>
      </c>
      <c r="J7" s="27">
        <v>3.5999999999999997E-2</v>
      </c>
    </row>
    <row r="8" spans="2:11" x14ac:dyDescent="0.25">
      <c r="B8" s="17" t="s">
        <v>48</v>
      </c>
      <c r="C8" s="18"/>
      <c r="D8" s="19"/>
      <c r="E8" s="20" t="s">
        <v>49</v>
      </c>
      <c r="F8" s="21"/>
      <c r="G8" s="22"/>
      <c r="I8" s="28" t="s">
        <v>50</v>
      </c>
      <c r="J8" s="29"/>
      <c r="K8" s="30"/>
    </row>
    <row r="9" spans="2:11" x14ac:dyDescent="0.25">
      <c r="B9" s="17" t="s">
        <v>52</v>
      </c>
      <c r="C9" s="18"/>
      <c r="D9" s="19"/>
      <c r="E9" s="20" t="s">
        <v>53</v>
      </c>
      <c r="F9" s="31" t="s">
        <v>54</v>
      </c>
      <c r="G9" s="22"/>
      <c r="I9" s="20" t="s">
        <v>55</v>
      </c>
      <c r="J9" s="32">
        <v>11.52</v>
      </c>
    </row>
    <row r="10" spans="2:11" x14ac:dyDescent="0.25">
      <c r="B10" s="17" t="s">
        <v>56</v>
      </c>
      <c r="C10" s="18"/>
      <c r="D10" s="19"/>
      <c r="E10" s="20" t="s">
        <v>57</v>
      </c>
      <c r="F10" s="31"/>
      <c r="G10" s="22"/>
      <c r="I10" s="4" t="s">
        <v>0</v>
      </c>
      <c r="J10" s="33">
        <v>35</v>
      </c>
    </row>
    <row r="11" spans="2:11" x14ac:dyDescent="0.25">
      <c r="B11" s="17" t="s">
        <v>58</v>
      </c>
      <c r="C11" s="18"/>
      <c r="D11" s="19"/>
      <c r="E11" s="20" t="s">
        <v>59</v>
      </c>
      <c r="F11" s="31"/>
      <c r="G11" s="22"/>
      <c r="I11" s="20" t="s">
        <v>60</v>
      </c>
      <c r="J11" s="22"/>
    </row>
    <row r="12" spans="2:11" x14ac:dyDescent="0.25">
      <c r="B12" s="17" t="s">
        <v>61</v>
      </c>
      <c r="C12" s="18">
        <v>4</v>
      </c>
      <c r="D12" s="19"/>
      <c r="E12" s="20" t="s">
        <v>62</v>
      </c>
      <c r="F12" s="34"/>
      <c r="G12" s="35"/>
      <c r="I12" s="20" t="s">
        <v>63</v>
      </c>
      <c r="J12" s="22"/>
    </row>
    <row r="13" spans="2:11" x14ac:dyDescent="0.25">
      <c r="B13" s="17" t="s">
        <v>64</v>
      </c>
      <c r="C13" s="18"/>
      <c r="D13" s="19"/>
      <c r="E13" s="20" t="s">
        <v>65</v>
      </c>
      <c r="F13" s="36"/>
      <c r="G13" s="22"/>
      <c r="I13" s="20" t="s">
        <v>66</v>
      </c>
      <c r="J13" s="22"/>
    </row>
    <row r="14" spans="2:11" x14ac:dyDescent="0.25">
      <c r="B14" s="17"/>
      <c r="C14" s="18"/>
      <c r="D14" s="19"/>
      <c r="E14" s="20" t="s">
        <v>67</v>
      </c>
      <c r="F14" s="21"/>
      <c r="G14" s="22"/>
      <c r="I14" s="20" t="s">
        <v>68</v>
      </c>
      <c r="J14" s="22"/>
    </row>
    <row r="15" spans="2:11" x14ac:dyDescent="0.25">
      <c r="B15" s="20"/>
      <c r="C15" s="18"/>
      <c r="D15" s="19"/>
      <c r="E15" s="20"/>
      <c r="F15" s="21"/>
      <c r="G15" s="22"/>
      <c r="I15" s="20" t="s">
        <v>69</v>
      </c>
      <c r="J15" s="22"/>
    </row>
    <row r="16" spans="2:11" ht="15.75" thickBot="1" x14ac:dyDescent="0.3">
      <c r="B16" s="37"/>
      <c r="C16" s="38"/>
      <c r="D16" s="39"/>
      <c r="E16" s="37"/>
      <c r="F16" s="40"/>
      <c r="G16" s="41"/>
      <c r="I16" s="25" t="s">
        <v>70</v>
      </c>
      <c r="J16" s="22" t="s">
        <v>223</v>
      </c>
    </row>
    <row r="17" spans="2:16" ht="15.75" thickBot="1" x14ac:dyDescent="0.3">
      <c r="B17" s="42" t="s">
        <v>71</v>
      </c>
      <c r="C17" s="533"/>
      <c r="D17" s="534"/>
      <c r="E17" s="43" t="s">
        <v>72</v>
      </c>
      <c r="F17" s="533"/>
      <c r="G17" s="538"/>
      <c r="I17" s="25" t="s">
        <v>73</v>
      </c>
      <c r="J17" s="44">
        <f>'REGUL DUMONT'!G11</f>
        <v>3666</v>
      </c>
    </row>
    <row r="18" spans="2:16" ht="20.25" customHeight="1" thickBot="1" x14ac:dyDescent="0.3">
      <c r="B18" s="45" t="s">
        <v>74</v>
      </c>
      <c r="C18" s="46"/>
      <c r="D18" s="46"/>
      <c r="E18" s="46"/>
      <c r="F18" s="46"/>
      <c r="G18" s="47"/>
      <c r="I18" s="25" t="s">
        <v>75</v>
      </c>
      <c r="J18" s="48">
        <f>'REGUL DUMONT'!H11</f>
        <v>8334</v>
      </c>
    </row>
    <row r="19" spans="2:16" ht="24" customHeight="1" thickBot="1" x14ac:dyDescent="0.3">
      <c r="B19" s="49" t="s">
        <v>74</v>
      </c>
      <c r="C19" s="50" t="s">
        <v>76</v>
      </c>
      <c r="D19" s="50" t="s">
        <v>77</v>
      </c>
      <c r="E19" s="51" t="s">
        <v>78</v>
      </c>
      <c r="F19" s="52"/>
      <c r="G19" s="52"/>
      <c r="I19" s="20" t="s">
        <v>79</v>
      </c>
      <c r="J19" s="22">
        <v>0.31909999999999999</v>
      </c>
    </row>
    <row r="20" spans="2:16" s="53" customFormat="1" x14ac:dyDescent="0.25">
      <c r="B20" s="16" t="s">
        <v>11</v>
      </c>
      <c r="C20" s="54"/>
      <c r="D20" s="55"/>
      <c r="E20" s="23">
        <f>J3</f>
        <v>6000</v>
      </c>
      <c r="F20" s="56"/>
      <c r="G20" s="57"/>
      <c r="H20" s="8"/>
      <c r="I20" s="58" t="s">
        <v>80</v>
      </c>
      <c r="J20" s="59">
        <v>0.125</v>
      </c>
      <c r="K20" s="8"/>
      <c r="L20" s="8"/>
      <c r="M20" s="8"/>
      <c r="N20" s="8"/>
      <c r="O20" s="8"/>
      <c r="P20" s="8"/>
    </row>
    <row r="21" spans="2:16" s="53" customFormat="1" x14ac:dyDescent="0.25">
      <c r="B21" s="60"/>
      <c r="C21" s="61"/>
      <c r="D21" s="62"/>
      <c r="E21" s="63"/>
      <c r="F21" s="64"/>
      <c r="G21" s="65"/>
      <c r="I21" s="20" t="s">
        <v>1</v>
      </c>
      <c r="J21" s="69">
        <v>20</v>
      </c>
      <c r="K21" s="8"/>
      <c r="L21" s="8"/>
      <c r="M21" s="8"/>
      <c r="N21" s="8"/>
      <c r="O21" s="8"/>
      <c r="P21" s="8"/>
    </row>
    <row r="22" spans="2:16" s="53" customFormat="1" x14ac:dyDescent="0.25">
      <c r="B22" s="60" t="s">
        <v>82</v>
      </c>
      <c r="C22" s="61">
        <f>+J11</f>
        <v>0</v>
      </c>
      <c r="D22" s="66">
        <f>E20/J5</f>
        <v>40.816326530612244</v>
      </c>
      <c r="E22" s="63">
        <f>-D22*C22</f>
        <v>0</v>
      </c>
      <c r="F22" s="64"/>
      <c r="G22" s="65"/>
      <c r="I22" s="20" t="s">
        <v>2</v>
      </c>
      <c r="J22" s="69">
        <v>22</v>
      </c>
      <c r="K22" s="8"/>
      <c r="L22" s="8"/>
      <c r="M22" s="8"/>
      <c r="N22" s="8"/>
      <c r="O22" s="8"/>
      <c r="P22" s="8"/>
    </row>
    <row r="23" spans="2:16" s="53" customFormat="1" x14ac:dyDescent="0.25">
      <c r="B23" s="60"/>
      <c r="C23" s="61"/>
      <c r="D23" s="62"/>
      <c r="E23" s="63"/>
      <c r="F23" s="64"/>
      <c r="G23" s="65"/>
      <c r="I23" s="20" t="s">
        <v>84</v>
      </c>
      <c r="J23" s="67"/>
      <c r="K23" s="8"/>
      <c r="L23" s="8"/>
      <c r="M23" s="8"/>
      <c r="N23" s="8"/>
      <c r="O23" s="8"/>
      <c r="P23" s="8"/>
    </row>
    <row r="24" spans="2:16" ht="15.75" thickBot="1" x14ac:dyDescent="0.3">
      <c r="B24" s="20" t="s">
        <v>63</v>
      </c>
      <c r="C24" s="21">
        <f>J12</f>
        <v>0</v>
      </c>
      <c r="D24" s="68">
        <f>IF($J$4&gt;=151.67,$J$3/151.67*1.25,0)</f>
        <v>49.449462649172553</v>
      </c>
      <c r="E24" s="69">
        <f>D24*C24</f>
        <v>0</v>
      </c>
      <c r="F24" s="70"/>
      <c r="G24" s="71"/>
      <c r="I24" s="37" t="s">
        <v>85</v>
      </c>
      <c r="J24" s="72">
        <v>1.4999999999999999E-2</v>
      </c>
    </row>
    <row r="25" spans="2:16" ht="15.75" x14ac:dyDescent="0.25">
      <c r="B25" s="20" t="s">
        <v>66</v>
      </c>
      <c r="C25" s="21">
        <f>J13</f>
        <v>0</v>
      </c>
      <c r="D25" s="68">
        <f>IF($J$4&gt;=151.67,$J$3/151.67*1.5,0)</f>
        <v>59.339355179007057</v>
      </c>
      <c r="E25" s="69">
        <f>D25*C25</f>
        <v>0</v>
      </c>
      <c r="F25" s="70"/>
      <c r="G25" s="73"/>
      <c r="I25" s="4" t="s">
        <v>86</v>
      </c>
      <c r="J25" s="74"/>
      <c r="K25" s="75"/>
    </row>
    <row r="26" spans="2:16" ht="15.75" thickBot="1" x14ac:dyDescent="0.3">
      <c r="B26" s="20" t="s">
        <v>68</v>
      </c>
      <c r="C26" s="21">
        <f>J14</f>
        <v>0</v>
      </c>
      <c r="D26" s="21">
        <f>IF($J$4&lt;151.67,$E$20/151.67*1.1,0)</f>
        <v>0</v>
      </c>
      <c r="E26" s="69">
        <f t="shared" ref="E26:E27" si="0">D26*C26</f>
        <v>0</v>
      </c>
      <c r="F26" s="70"/>
      <c r="G26" s="73"/>
      <c r="I26" s="76" t="s">
        <v>224</v>
      </c>
      <c r="J26" s="77"/>
    </row>
    <row r="27" spans="2:16" x14ac:dyDescent="0.25">
      <c r="B27" s="20" t="s">
        <v>69</v>
      </c>
      <c r="C27" s="21">
        <f>J15</f>
        <v>0</v>
      </c>
      <c r="D27" s="21">
        <f>IF($J$4&lt;151.67,$E$20/151.67*1.1,0)</f>
        <v>0</v>
      </c>
      <c r="E27" s="69">
        <f t="shared" si="0"/>
        <v>0</v>
      </c>
      <c r="F27" s="70"/>
      <c r="G27" s="73"/>
    </row>
    <row r="28" spans="2:16" x14ac:dyDescent="0.25">
      <c r="B28" s="20"/>
      <c r="C28" s="21"/>
      <c r="D28" s="21"/>
      <c r="E28" s="69"/>
      <c r="F28" s="70"/>
      <c r="G28" s="73"/>
    </row>
    <row r="29" spans="2:16" ht="27" x14ac:dyDescent="0.25">
      <c r="B29" s="20" t="s">
        <v>88</v>
      </c>
      <c r="C29" s="78"/>
      <c r="D29" s="21"/>
      <c r="E29" s="69"/>
      <c r="F29" s="79"/>
      <c r="G29" s="80"/>
      <c r="I29" s="81"/>
    </row>
    <row r="30" spans="2:16" x14ac:dyDescent="0.25">
      <c r="B30" s="20" t="s">
        <v>89</v>
      </c>
      <c r="C30" s="78"/>
      <c r="D30" s="21"/>
      <c r="E30" s="69"/>
      <c r="F30" s="79"/>
      <c r="G30" s="80"/>
    </row>
    <row r="31" spans="2:16" x14ac:dyDescent="0.25">
      <c r="B31" s="20"/>
      <c r="C31" s="82"/>
      <c r="D31" s="83"/>
      <c r="E31" s="84"/>
      <c r="F31" s="85"/>
      <c r="G31" s="86"/>
    </row>
    <row r="32" spans="2:16" ht="15.75" thickBot="1" x14ac:dyDescent="0.3">
      <c r="B32" s="87" t="s">
        <v>90</v>
      </c>
      <c r="C32" s="88"/>
      <c r="D32" s="89"/>
      <c r="E32" s="90">
        <f>-E143</f>
        <v>0</v>
      </c>
      <c r="F32" s="91"/>
      <c r="G32" s="92"/>
    </row>
    <row r="33" spans="2:7" x14ac:dyDescent="0.25">
      <c r="B33" s="93" t="s">
        <v>91</v>
      </c>
      <c r="C33" s="94"/>
      <c r="D33" s="95"/>
      <c r="E33" s="96">
        <f>-E162</f>
        <v>0</v>
      </c>
      <c r="F33" s="97"/>
      <c r="G33" s="98"/>
    </row>
    <row r="34" spans="2:7" x14ac:dyDescent="0.25">
      <c r="B34" s="87" t="s">
        <v>28</v>
      </c>
      <c r="C34" s="94"/>
      <c r="D34" s="95"/>
      <c r="E34" s="96">
        <f>E160</f>
        <v>0</v>
      </c>
      <c r="F34" s="97"/>
      <c r="G34" s="98"/>
    </row>
    <row r="35" spans="2:7" x14ac:dyDescent="0.25">
      <c r="B35" s="93"/>
      <c r="C35" s="94"/>
      <c r="D35" s="95"/>
      <c r="E35" s="96">
        <v>6000</v>
      </c>
      <c r="F35" s="97"/>
      <c r="G35" s="98"/>
    </row>
    <row r="36" spans="2:7" ht="15.75" thickBot="1" x14ac:dyDescent="0.3">
      <c r="B36" s="99" t="s">
        <v>92</v>
      </c>
      <c r="C36" s="94"/>
      <c r="D36" s="95">
        <f>J25</f>
        <v>0</v>
      </c>
      <c r="E36" s="100">
        <f>C36*D36</f>
        <v>0</v>
      </c>
      <c r="F36" s="97"/>
      <c r="G36" s="98"/>
    </row>
    <row r="37" spans="2:7" ht="16.5" thickTop="1" thickBot="1" x14ac:dyDescent="0.3">
      <c r="B37" s="101" t="s">
        <v>93</v>
      </c>
      <c r="C37" s="102"/>
      <c r="D37" s="103"/>
      <c r="E37" s="104">
        <f>SUM(E20:E36)</f>
        <v>12000</v>
      </c>
      <c r="F37" s="97"/>
      <c r="G37" s="98"/>
    </row>
    <row r="38" spans="2:7" ht="15.75" thickBot="1" x14ac:dyDescent="0.3">
      <c r="B38" s="105"/>
      <c r="C38" s="106"/>
      <c r="D38" s="107"/>
      <c r="E38" s="107"/>
      <c r="F38" s="108"/>
      <c r="G38" s="109"/>
    </row>
    <row r="39" spans="2:7" ht="28.5" x14ac:dyDescent="0.25">
      <c r="B39" s="110" t="s">
        <v>94</v>
      </c>
      <c r="C39" s="111" t="s">
        <v>95</v>
      </c>
      <c r="D39" s="111" t="s">
        <v>96</v>
      </c>
      <c r="E39" s="111" t="s">
        <v>97</v>
      </c>
      <c r="F39" s="111" t="s">
        <v>96</v>
      </c>
      <c r="G39" s="112" t="s">
        <v>98</v>
      </c>
    </row>
    <row r="40" spans="2:7" x14ac:dyDescent="0.25">
      <c r="B40" s="113" t="s">
        <v>99</v>
      </c>
      <c r="C40" s="114"/>
      <c r="D40" s="115"/>
      <c r="E40" s="115"/>
      <c r="F40" s="116"/>
      <c r="G40" s="117"/>
    </row>
    <row r="41" spans="2:7" x14ac:dyDescent="0.25">
      <c r="B41" s="118" t="s">
        <v>100</v>
      </c>
      <c r="C41" s="94">
        <f>E37</f>
        <v>12000</v>
      </c>
      <c r="D41" s="119"/>
      <c r="E41" s="120"/>
      <c r="F41" s="121">
        <v>0.13</v>
      </c>
      <c r="G41" s="122">
        <f>F41*C41</f>
        <v>1560</v>
      </c>
    </row>
    <row r="42" spans="2:7" x14ac:dyDescent="0.25">
      <c r="B42" s="118" t="s">
        <v>101</v>
      </c>
      <c r="C42" s="94">
        <f>$J$17</f>
        <v>3666</v>
      </c>
      <c r="D42" s="123"/>
      <c r="E42" s="124"/>
      <c r="F42" s="125">
        <f>J24</f>
        <v>1.4999999999999999E-2</v>
      </c>
      <c r="G42" s="122">
        <f>F42*C42</f>
        <v>54.989999999999995</v>
      </c>
    </row>
    <row r="43" spans="2:7" x14ac:dyDescent="0.25">
      <c r="B43" s="118" t="s">
        <v>102</v>
      </c>
      <c r="C43" s="94">
        <f>$J$18</f>
        <v>8334</v>
      </c>
      <c r="D43" s="123"/>
      <c r="E43" s="124"/>
      <c r="F43" s="125"/>
      <c r="G43" s="122">
        <f>F43*C43</f>
        <v>0</v>
      </c>
    </row>
    <row r="44" spans="2:7" x14ac:dyDescent="0.25">
      <c r="B44" s="118" t="s">
        <v>103</v>
      </c>
      <c r="C44" s="94"/>
      <c r="D44" s="123"/>
      <c r="E44" s="124">
        <v>20</v>
      </c>
      <c r="F44" s="342"/>
      <c r="G44" s="122">
        <v>22</v>
      </c>
    </row>
    <row r="45" spans="2:7" x14ac:dyDescent="0.25">
      <c r="B45" s="126" t="s">
        <v>104</v>
      </c>
      <c r="C45" s="94">
        <f>J17+J18</f>
        <v>12000</v>
      </c>
      <c r="E45" s="94"/>
      <c r="F45" s="127">
        <f>J7</f>
        <v>3.5999999999999997E-2</v>
      </c>
      <c r="G45" s="122">
        <f>F45*C45</f>
        <v>431.99999999999994</v>
      </c>
    </row>
    <row r="46" spans="2:7" x14ac:dyDescent="0.25">
      <c r="B46" s="113" t="s">
        <v>105</v>
      </c>
      <c r="C46" s="114"/>
      <c r="D46" s="115"/>
      <c r="E46" s="115"/>
      <c r="F46" s="116"/>
      <c r="G46" s="117"/>
    </row>
    <row r="47" spans="2:7" x14ac:dyDescent="0.25">
      <c r="B47" s="118" t="s">
        <v>106</v>
      </c>
      <c r="C47" s="94">
        <f>$J$17</f>
        <v>3666</v>
      </c>
      <c r="D47" s="123">
        <v>6.9000000000000006E-2</v>
      </c>
      <c r="E47" s="124">
        <f>D47*C47</f>
        <v>252.95400000000001</v>
      </c>
      <c r="F47" s="125">
        <v>8.5500000000000007E-2</v>
      </c>
      <c r="G47" s="122">
        <f>F47*C47</f>
        <v>313.44300000000004</v>
      </c>
    </row>
    <row r="48" spans="2:7" x14ac:dyDescent="0.25">
      <c r="B48" s="118" t="s">
        <v>107</v>
      </c>
      <c r="C48" s="94">
        <f>$E$37</f>
        <v>12000</v>
      </c>
      <c r="D48" s="123">
        <v>4.0000000000000001E-3</v>
      </c>
      <c r="E48" s="124">
        <f t="shared" ref="E48:E51" si="1">D48*C48</f>
        <v>48</v>
      </c>
      <c r="F48" s="125">
        <v>1.9E-2</v>
      </c>
      <c r="G48" s="122">
        <f t="shared" ref="G48:G51" si="2">F48*C48</f>
        <v>228</v>
      </c>
    </row>
    <row r="49" spans="2:7" x14ac:dyDescent="0.25">
      <c r="B49" s="118" t="s">
        <v>108</v>
      </c>
      <c r="C49" s="94">
        <f>$J$17</f>
        <v>3666</v>
      </c>
      <c r="D49" s="123">
        <v>4.0099999999999997E-2</v>
      </c>
      <c r="E49" s="124">
        <f t="shared" si="1"/>
        <v>147.00659999999999</v>
      </c>
      <c r="F49" s="125">
        <v>6.0100000000000001E-2</v>
      </c>
      <c r="G49" s="122">
        <f t="shared" si="2"/>
        <v>220.32660000000001</v>
      </c>
    </row>
    <row r="50" spans="2:7" x14ac:dyDescent="0.25">
      <c r="B50" s="118" t="s">
        <v>109</v>
      </c>
      <c r="C50" s="94">
        <f>+J18</f>
        <v>8334</v>
      </c>
      <c r="D50" s="123">
        <v>9.7199999999999995E-2</v>
      </c>
      <c r="E50" s="124">
        <f t="shared" si="1"/>
        <v>810.06479999999999</v>
      </c>
      <c r="F50" s="125">
        <v>0.1457</v>
      </c>
      <c r="G50" s="122">
        <f t="shared" si="2"/>
        <v>1214.2637999999999</v>
      </c>
    </row>
    <row r="51" spans="2:7" x14ac:dyDescent="0.25">
      <c r="B51" s="118" t="s">
        <v>110</v>
      </c>
      <c r="C51" s="94">
        <f>'REGUL DUMONT'!H54</f>
        <v>12000</v>
      </c>
      <c r="D51" s="123">
        <v>1.4E-3</v>
      </c>
      <c r="E51" s="124">
        <f t="shared" si="1"/>
        <v>16.8</v>
      </c>
      <c r="F51" s="125">
        <v>2.0999999999999999E-3</v>
      </c>
      <c r="G51" s="122">
        <f t="shared" si="2"/>
        <v>25.2</v>
      </c>
    </row>
    <row r="52" spans="2:7" x14ac:dyDescent="0.25">
      <c r="B52" s="118" t="s">
        <v>111</v>
      </c>
      <c r="C52" s="94"/>
      <c r="D52" s="123"/>
      <c r="E52" s="124"/>
      <c r="F52" s="125"/>
      <c r="G52" s="122"/>
    </row>
    <row r="53" spans="2:7" x14ac:dyDescent="0.25">
      <c r="B53" s="113" t="s">
        <v>112</v>
      </c>
      <c r="C53" s="94">
        <f>E37</f>
        <v>12000</v>
      </c>
      <c r="D53" s="128"/>
      <c r="E53" s="94"/>
      <c r="F53" s="125">
        <v>5.2499999999999998E-2</v>
      </c>
      <c r="G53" s="129">
        <f>F53*C53</f>
        <v>630</v>
      </c>
    </row>
    <row r="54" spans="2:7" x14ac:dyDescent="0.25">
      <c r="B54" s="113" t="s">
        <v>113</v>
      </c>
      <c r="C54" s="94"/>
      <c r="D54" s="128"/>
      <c r="E54" s="94"/>
      <c r="F54" s="130"/>
      <c r="G54" s="122"/>
    </row>
    <row r="55" spans="2:7" x14ac:dyDescent="0.25">
      <c r="B55" s="118" t="s">
        <v>114</v>
      </c>
      <c r="C55" s="94"/>
      <c r="D55" s="128"/>
      <c r="E55" s="94"/>
      <c r="F55" s="131"/>
      <c r="G55" s="122">
        <f t="shared" ref="G55" si="3">F55*C55</f>
        <v>0</v>
      </c>
    </row>
    <row r="56" spans="2:7" x14ac:dyDescent="0.25">
      <c r="B56" s="118" t="s">
        <v>115</v>
      </c>
      <c r="C56" s="94">
        <f>+E37</f>
        <v>12000</v>
      </c>
      <c r="D56" s="132">
        <v>2.4000000000000001E-4</v>
      </c>
      <c r="E56" s="133">
        <f>D56*C56</f>
        <v>2.88</v>
      </c>
      <c r="F56" s="130">
        <v>3.6000000000000002E-4</v>
      </c>
      <c r="G56" s="134">
        <f>C56*F56</f>
        <v>4.32</v>
      </c>
    </row>
    <row r="57" spans="2:7" x14ac:dyDescent="0.25">
      <c r="B57" s="113" t="s">
        <v>116</v>
      </c>
      <c r="C57" s="94"/>
      <c r="D57" s="128"/>
      <c r="E57" s="94"/>
      <c r="F57" s="130"/>
      <c r="G57" s="122">
        <f>E101</f>
        <v>187.26599999999999</v>
      </c>
    </row>
    <row r="58" spans="2:7" x14ac:dyDescent="0.25">
      <c r="B58" s="126"/>
      <c r="C58" s="94"/>
      <c r="D58" s="94"/>
      <c r="E58" s="94"/>
      <c r="F58" s="94"/>
      <c r="G58" s="135"/>
    </row>
    <row r="59" spans="2:7" ht="25.5" x14ac:dyDescent="0.25">
      <c r="B59" s="136" t="s">
        <v>117</v>
      </c>
      <c r="C59" s="94"/>
      <c r="D59" s="94"/>
      <c r="E59" s="94"/>
      <c r="F59" s="94"/>
      <c r="G59" s="135"/>
    </row>
    <row r="60" spans="2:7" x14ac:dyDescent="0.25">
      <c r="B60" s="126"/>
      <c r="C60" s="94"/>
      <c r="D60" s="132"/>
      <c r="E60" s="94"/>
      <c r="F60" s="137"/>
      <c r="G60" s="122"/>
    </row>
    <row r="61" spans="2:7" x14ac:dyDescent="0.25">
      <c r="B61" s="126" t="s">
        <v>118</v>
      </c>
      <c r="C61" s="94">
        <f>(E37-E24-E25-E26-E27)*0.9825+G42+G43+G44</f>
        <v>11866.99</v>
      </c>
      <c r="D61" s="123">
        <v>6.8000000000000005E-2</v>
      </c>
      <c r="E61" s="124">
        <f>D61*C61</f>
        <v>806.95532000000003</v>
      </c>
      <c r="F61" s="125"/>
      <c r="G61" s="122"/>
    </row>
    <row r="62" spans="2:7" x14ac:dyDescent="0.25">
      <c r="B62" s="126" t="s">
        <v>119</v>
      </c>
      <c r="C62" s="94">
        <f>C61</f>
        <v>11866.99</v>
      </c>
      <c r="D62" s="123">
        <v>2.9000000000000001E-2</v>
      </c>
      <c r="E62" s="124">
        <f>D62*C62</f>
        <v>344.14271000000002</v>
      </c>
      <c r="F62" s="125"/>
      <c r="G62" s="122"/>
    </row>
    <row r="63" spans="2:7" ht="25.5" x14ac:dyDescent="0.25">
      <c r="B63" s="138" t="s">
        <v>120</v>
      </c>
      <c r="C63" s="94">
        <f>(E24+E25+E26+E27)*0.9825</f>
        <v>0</v>
      </c>
      <c r="D63" s="123">
        <v>9.7000000000000003E-2</v>
      </c>
      <c r="E63" s="124">
        <f>D63*C63</f>
        <v>0</v>
      </c>
      <c r="F63" s="125"/>
      <c r="G63" s="122"/>
    </row>
    <row r="64" spans="2:7" ht="15.75" thickBot="1" x14ac:dyDescent="0.3">
      <c r="B64" s="371" t="s">
        <v>251</v>
      </c>
      <c r="C64" s="123"/>
      <c r="D64" s="123"/>
      <c r="E64" s="124"/>
      <c r="F64" s="125"/>
      <c r="G64" s="135">
        <f>-I122</f>
        <v>0</v>
      </c>
    </row>
    <row r="65" spans="2:8" ht="15.75" thickBot="1" x14ac:dyDescent="0.3">
      <c r="B65" s="146" t="s">
        <v>124</v>
      </c>
      <c r="C65" s="147"/>
      <c r="D65" s="148"/>
      <c r="E65" s="149">
        <f>SUM(E41:E64)</f>
        <v>2448.8034299999999</v>
      </c>
      <c r="F65" s="150"/>
      <c r="G65" s="151">
        <f>SUM(G41:G64)</f>
        <v>4891.8093999999992</v>
      </c>
    </row>
    <row r="66" spans="2:8" x14ac:dyDescent="0.25">
      <c r="B66" s="152"/>
      <c r="C66" s="153"/>
      <c r="D66" s="154"/>
      <c r="E66" s="155"/>
      <c r="F66" s="156"/>
      <c r="G66" s="157"/>
    </row>
    <row r="67" spans="2:8" x14ac:dyDescent="0.25">
      <c r="B67" s="118" t="s">
        <v>125</v>
      </c>
      <c r="C67" s="124"/>
      <c r="D67" s="158"/>
      <c r="E67" s="159"/>
      <c r="F67" s="160"/>
      <c r="G67" s="161"/>
    </row>
    <row r="68" spans="2:8" x14ac:dyDescent="0.25">
      <c r="B68" s="118" t="s">
        <v>126</v>
      </c>
      <c r="C68" s="124"/>
      <c r="D68" s="158"/>
      <c r="E68" s="159"/>
      <c r="F68" s="160"/>
      <c r="G68" s="161"/>
    </row>
    <row r="69" spans="2:8" x14ac:dyDescent="0.25">
      <c r="B69" s="118" t="s">
        <v>127</v>
      </c>
      <c r="C69" s="124"/>
      <c r="D69" s="158"/>
      <c r="E69" s="124"/>
      <c r="F69" s="160"/>
      <c r="G69" s="161"/>
    </row>
    <row r="70" spans="2:8" ht="15.75" customHeight="1" x14ac:dyDescent="0.25">
      <c r="B70" s="162" t="s">
        <v>128</v>
      </c>
      <c r="C70" s="124"/>
      <c r="D70" s="158"/>
      <c r="E70" s="163"/>
      <c r="F70" s="160"/>
      <c r="G70" s="161"/>
    </row>
    <row r="71" spans="2:8" x14ac:dyDescent="0.25">
      <c r="B71" s="164" t="s">
        <v>129</v>
      </c>
      <c r="D71" s="165"/>
      <c r="E71" s="166"/>
      <c r="F71" s="167"/>
      <c r="G71" s="161"/>
    </row>
    <row r="72" spans="2:8" x14ac:dyDescent="0.25">
      <c r="B72" s="168"/>
      <c r="C72" s="124"/>
      <c r="D72" s="158"/>
      <c r="E72" s="169"/>
      <c r="F72" s="160"/>
      <c r="G72" s="161"/>
    </row>
    <row r="73" spans="2:8" ht="15.75" thickBot="1" x14ac:dyDescent="0.3">
      <c r="B73" s="140"/>
      <c r="C73" s="143"/>
      <c r="D73" s="170"/>
      <c r="E73" s="171"/>
      <c r="F73" s="172"/>
      <c r="G73" s="145"/>
      <c r="H73" s="317"/>
    </row>
    <row r="74" spans="2:8" ht="27.75" customHeight="1" thickBot="1" x14ac:dyDescent="0.3">
      <c r="B74" s="173" t="s">
        <v>130</v>
      </c>
      <c r="C74" s="147"/>
      <c r="D74" s="148"/>
      <c r="E74" s="149"/>
      <c r="F74" s="150"/>
      <c r="G74" s="174">
        <f>E37-E65+E67+E68+E69+E70+E71+E72+E73</f>
        <v>9551.1965700000001</v>
      </c>
    </row>
    <row r="75" spans="2:8" ht="28.5" x14ac:dyDescent="0.25">
      <c r="B75" s="175" t="s">
        <v>131</v>
      </c>
      <c r="C75" s="176"/>
      <c r="D75" s="177"/>
      <c r="E75" s="178"/>
      <c r="F75" s="179"/>
      <c r="G75" s="180"/>
    </row>
    <row r="76" spans="2:8" x14ac:dyDescent="0.25">
      <c r="B76" s="372" t="s">
        <v>132</v>
      </c>
      <c r="C76" s="372" t="s">
        <v>133</v>
      </c>
      <c r="D76" s="372" t="s">
        <v>96</v>
      </c>
      <c r="E76" s="373" t="s">
        <v>134</v>
      </c>
      <c r="F76" s="373"/>
      <c r="G76" s="374" t="s">
        <v>252</v>
      </c>
    </row>
    <row r="77" spans="2:8" x14ac:dyDescent="0.25">
      <c r="B77" s="375" t="s">
        <v>253</v>
      </c>
      <c r="C77" s="376"/>
      <c r="D77" s="382"/>
      <c r="E77" s="378">
        <f>E37+G44+E62-E65</f>
        <v>9917.3392800000001</v>
      </c>
      <c r="F77" s="379"/>
      <c r="G77" s="380"/>
    </row>
    <row r="78" spans="2:8" x14ac:dyDescent="0.25">
      <c r="B78" s="375" t="s">
        <v>254</v>
      </c>
      <c r="C78" s="381">
        <f>E77</f>
        <v>9917.3392800000001</v>
      </c>
      <c r="D78" s="382">
        <v>0.125</v>
      </c>
      <c r="E78" s="378">
        <f>D78*C78</f>
        <v>1239.66741</v>
      </c>
      <c r="F78" s="379"/>
      <c r="G78" s="380"/>
    </row>
    <row r="79" spans="2:8" x14ac:dyDescent="0.25">
      <c r="B79" s="375" t="s">
        <v>255</v>
      </c>
      <c r="C79" s="376"/>
      <c r="D79" s="378"/>
      <c r="E79" s="377"/>
      <c r="F79" s="379"/>
      <c r="G79" s="380"/>
    </row>
    <row r="80" spans="2:8" x14ac:dyDescent="0.25">
      <c r="B80" s="375"/>
      <c r="C80" s="376"/>
      <c r="D80" s="377"/>
      <c r="E80" s="377"/>
      <c r="F80" s="379"/>
      <c r="G80" s="383"/>
    </row>
    <row r="81" spans="2:7" x14ac:dyDescent="0.25">
      <c r="B81" s="384" t="s">
        <v>256</v>
      </c>
      <c r="C81" s="377"/>
      <c r="D81" s="377"/>
      <c r="E81" s="378">
        <f>G74-E78</f>
        <v>8311.52916</v>
      </c>
      <c r="F81" s="379"/>
      <c r="G81" s="380"/>
    </row>
    <row r="82" spans="2:7" x14ac:dyDescent="0.25">
      <c r="B82" s="375" t="s">
        <v>257</v>
      </c>
      <c r="C82" s="377"/>
      <c r="D82" s="377"/>
      <c r="E82" s="377"/>
      <c r="F82" s="379"/>
      <c r="G82" s="380"/>
    </row>
    <row r="83" spans="2:7" x14ac:dyDescent="0.25">
      <c r="B83" s="375" t="s">
        <v>258</v>
      </c>
      <c r="C83" s="385"/>
      <c r="D83" s="377"/>
      <c r="E83" s="378">
        <f>E37+G65</f>
        <v>16891.809399999998</v>
      </c>
      <c r="F83" s="379"/>
      <c r="G83" s="380"/>
    </row>
    <row r="84" spans="2:7" ht="15.75" thickBot="1" x14ac:dyDescent="0.3">
      <c r="B84" s="386" t="s">
        <v>137</v>
      </c>
      <c r="C84" s="184"/>
      <c r="D84" s="184"/>
      <c r="E84" s="184"/>
      <c r="F84" s="387"/>
      <c r="G84" s="388"/>
    </row>
    <row r="85" spans="2:7" ht="15.75" thickBot="1" x14ac:dyDescent="0.3">
      <c r="B85" s="182" t="s">
        <v>137</v>
      </c>
      <c r="C85" s="183"/>
      <c r="D85" s="183"/>
      <c r="E85" s="184"/>
      <c r="F85" s="184"/>
      <c r="G85" s="185"/>
    </row>
    <row r="88" spans="2:7" s="186" customFormat="1" ht="15.75" thickBot="1" x14ac:dyDescent="0.3">
      <c r="B88" s="539" t="s">
        <v>116</v>
      </c>
      <c r="C88" s="540"/>
      <c r="D88" s="8"/>
      <c r="E88" s="8"/>
    </row>
    <row r="89" spans="2:7" s="186" customFormat="1" x14ac:dyDescent="0.25">
      <c r="B89" s="187"/>
      <c r="C89" s="188"/>
      <c r="D89" s="541">
        <f>+E37</f>
        <v>12000</v>
      </c>
      <c r="E89" s="189"/>
    </row>
    <row r="90" spans="2:7" s="186" customFormat="1" x14ac:dyDescent="0.25">
      <c r="B90" s="190" t="s">
        <v>138</v>
      </c>
      <c r="C90" s="191">
        <f>IF(J6&gt;=11,J8,0)</f>
        <v>0</v>
      </c>
      <c r="D90" s="542"/>
      <c r="E90" s="192">
        <f>C90*$D$89</f>
        <v>0</v>
      </c>
    </row>
    <row r="91" spans="2:7" s="186" customFormat="1" x14ac:dyDescent="0.25">
      <c r="B91" s="190" t="s">
        <v>139</v>
      </c>
      <c r="C91" s="191">
        <f>IF(J6&lt;50,0%,0.5%)</f>
        <v>0</v>
      </c>
      <c r="D91" s="542"/>
      <c r="E91" s="192">
        <f t="shared" ref="E91:E96" si="4">C91*$D$89</f>
        <v>0</v>
      </c>
    </row>
    <row r="92" spans="2:7" s="186" customFormat="1" x14ac:dyDescent="0.25">
      <c r="B92" s="190" t="s">
        <v>140</v>
      </c>
      <c r="C92" s="191"/>
      <c r="D92" s="542"/>
      <c r="E92" s="192">
        <f t="shared" si="4"/>
        <v>0</v>
      </c>
    </row>
    <row r="93" spans="2:7" s="186" customFormat="1" x14ac:dyDescent="0.25">
      <c r="B93" s="190" t="s">
        <v>141</v>
      </c>
      <c r="C93" s="191">
        <v>3.0000000000000001E-3</v>
      </c>
      <c r="D93" s="542"/>
      <c r="E93" s="192">
        <f t="shared" si="4"/>
        <v>36</v>
      </c>
    </row>
    <row r="94" spans="2:7" s="186" customFormat="1" x14ac:dyDescent="0.25">
      <c r="B94" s="190" t="s">
        <v>142</v>
      </c>
      <c r="C94" s="191">
        <v>6.7999999999999996E-3</v>
      </c>
      <c r="D94" s="542"/>
      <c r="E94" s="192">
        <f t="shared" si="4"/>
        <v>81.599999999999994</v>
      </c>
    </row>
    <row r="95" spans="2:7" s="186" customFormat="1" x14ac:dyDescent="0.25">
      <c r="B95" s="190" t="s">
        <v>143</v>
      </c>
      <c r="C95" s="191">
        <f>IF(J6&lt;11,0.55%,1%)</f>
        <v>5.5000000000000005E-3</v>
      </c>
      <c r="D95" s="542"/>
      <c r="E95" s="192">
        <f t="shared" si="4"/>
        <v>66</v>
      </c>
    </row>
    <row r="96" spans="2:7" s="186" customFormat="1" x14ac:dyDescent="0.25">
      <c r="B96" s="190"/>
      <c r="C96" s="191">
        <f>IF(J6&lt;=50,0,0.45%)</f>
        <v>0</v>
      </c>
      <c r="D96" s="542"/>
      <c r="E96" s="192">
        <f t="shared" si="4"/>
        <v>0</v>
      </c>
    </row>
    <row r="97" spans="2:5" s="186" customFormat="1" x14ac:dyDescent="0.25">
      <c r="B97" s="20"/>
      <c r="C97" s="21"/>
      <c r="D97" s="21"/>
      <c r="E97" s="22"/>
    </row>
    <row r="98" spans="2:5" s="186" customFormat="1" x14ac:dyDescent="0.25">
      <c r="B98" s="20" t="s">
        <v>144</v>
      </c>
      <c r="C98" s="193">
        <f>IF(J6&gt;=11,+G42+G43+G44,0)</f>
        <v>0</v>
      </c>
      <c r="D98" s="194">
        <v>0.08</v>
      </c>
      <c r="E98" s="195">
        <f>D98*C98</f>
        <v>0</v>
      </c>
    </row>
    <row r="99" spans="2:5" s="186" customFormat="1" ht="15.75" thickBot="1" x14ac:dyDescent="0.3">
      <c r="B99" s="37" t="s">
        <v>145</v>
      </c>
      <c r="C99" s="196">
        <f>IF(J6&lt;50,J17,0)</f>
        <v>3666</v>
      </c>
      <c r="D99" s="197">
        <v>1E-3</v>
      </c>
      <c r="E99" s="198">
        <f>D99*C99</f>
        <v>3.6659999999999999</v>
      </c>
    </row>
    <row r="100" spans="2:5" s="186" customFormat="1" ht="15.75" thickBot="1" x14ac:dyDescent="0.3">
      <c r="B100" s="8"/>
      <c r="C100" s="8"/>
      <c r="D100" s="8"/>
      <c r="E100" s="8"/>
    </row>
    <row r="101" spans="2:5" s="186" customFormat="1" ht="15.75" thickBot="1" x14ac:dyDescent="0.3">
      <c r="B101" s="199" t="s">
        <v>146</v>
      </c>
      <c r="C101" s="200"/>
      <c r="D101" s="200"/>
      <c r="E101" s="201">
        <f>SUM(E90:E99)</f>
        <v>187.26599999999999</v>
      </c>
    </row>
    <row r="102" spans="2:5" s="186" customFormat="1" ht="15.75" thickBot="1" x14ac:dyDescent="0.3">
      <c r="B102" s="8"/>
      <c r="C102" s="8"/>
      <c r="D102" s="8"/>
      <c r="E102" s="8"/>
    </row>
    <row r="103" spans="2:5" s="186" customFormat="1" thickBot="1" x14ac:dyDescent="0.3">
      <c r="B103" s="529" t="s">
        <v>147</v>
      </c>
      <c r="C103" s="530"/>
      <c r="D103" s="530"/>
      <c r="E103" s="531"/>
    </row>
    <row r="104" spans="2:5" s="186" customFormat="1" x14ac:dyDescent="0.25">
      <c r="B104" s="202" t="s">
        <v>148</v>
      </c>
      <c r="C104" s="203"/>
      <c r="D104" s="204">
        <v>2.4E-2</v>
      </c>
      <c r="E104" s="205">
        <f>D104*C104</f>
        <v>0</v>
      </c>
    </row>
    <row r="105" spans="2:5" s="186" customFormat="1" x14ac:dyDescent="0.25">
      <c r="B105" s="206" t="s">
        <v>17</v>
      </c>
      <c r="C105" s="203">
        <f>E37</f>
        <v>12000</v>
      </c>
      <c r="D105" s="207">
        <v>7.4999999999999997E-3</v>
      </c>
      <c r="E105" s="208">
        <f>D105*C105</f>
        <v>90</v>
      </c>
    </row>
    <row r="106" spans="2:5" s="186" customFormat="1" x14ac:dyDescent="0.25">
      <c r="B106" s="206" t="s">
        <v>149</v>
      </c>
      <c r="C106" s="203">
        <f>C61+C63</f>
        <v>11866.99</v>
      </c>
      <c r="D106" s="207">
        <v>-1.7000000000000001E-2</v>
      </c>
      <c r="E106" s="208">
        <f t="shared" ref="E106" si="5">D106*C106</f>
        <v>-201.73883000000001</v>
      </c>
    </row>
    <row r="107" spans="2:5" s="186" customFormat="1" x14ac:dyDescent="0.25">
      <c r="B107" s="181"/>
      <c r="C107" s="209"/>
      <c r="D107" s="210"/>
      <c r="E107" s="211"/>
    </row>
    <row r="108" spans="2:5" s="186" customFormat="1" ht="15.75" thickBot="1" x14ac:dyDescent="0.3">
      <c r="B108" s="212" t="s">
        <v>150</v>
      </c>
      <c r="C108" s="213"/>
      <c r="D108" s="214"/>
      <c r="E108" s="215">
        <v>0</v>
      </c>
    </row>
    <row r="109" spans="2:5" s="186" customFormat="1" ht="12.75" x14ac:dyDescent="0.25"/>
    <row r="110" spans="2:5" s="186" customFormat="1" ht="13.5" thickBot="1" x14ac:dyDescent="0.3"/>
    <row r="111" spans="2:5" s="186" customFormat="1" thickBot="1" x14ac:dyDescent="0.3">
      <c r="B111" s="529" t="s">
        <v>151</v>
      </c>
      <c r="C111" s="530"/>
      <c r="D111" s="530"/>
      <c r="E111" s="531"/>
    </row>
    <row r="112" spans="2:5" s="186" customFormat="1" ht="15.75" customHeight="1" x14ac:dyDescent="0.25">
      <c r="B112" s="216" t="s">
        <v>152</v>
      </c>
      <c r="C112" s="217"/>
      <c r="D112" s="217"/>
      <c r="E112" s="218">
        <f>I122</f>
        <v>0</v>
      </c>
    </row>
    <row r="113" spans="2:9" s="186" customFormat="1" ht="15.75" customHeight="1" x14ac:dyDescent="0.25">
      <c r="B113" s="219" t="s">
        <v>153</v>
      </c>
      <c r="C113" s="220"/>
      <c r="D113" s="221">
        <v>1.5</v>
      </c>
      <c r="E113" s="222">
        <f>D113*C113</f>
        <v>0</v>
      </c>
    </row>
    <row r="114" spans="2:9" s="186" customFormat="1" ht="15.75" customHeight="1" x14ac:dyDescent="0.25">
      <c r="B114" s="219" t="s">
        <v>154</v>
      </c>
      <c r="C114" s="223">
        <v>0</v>
      </c>
      <c r="D114" s="207">
        <v>1.7999999999999999E-2</v>
      </c>
      <c r="E114" s="222">
        <f>D114*C114</f>
        <v>0</v>
      </c>
    </row>
    <row r="115" spans="2:9" s="186" customFormat="1" ht="15.75" customHeight="1" x14ac:dyDescent="0.25">
      <c r="B115" s="219" t="s">
        <v>155</v>
      </c>
      <c r="C115" s="223">
        <v>0</v>
      </c>
      <c r="D115" s="207">
        <v>0.06</v>
      </c>
      <c r="E115" s="222">
        <f>D115*C115</f>
        <v>0</v>
      </c>
    </row>
    <row r="116" spans="2:9" s="186" customFormat="1" ht="15.75" customHeight="1" thickBot="1" x14ac:dyDescent="0.3">
      <c r="B116" s="224" t="s">
        <v>156</v>
      </c>
      <c r="C116" s="225"/>
      <c r="D116" s="225"/>
      <c r="E116" s="226">
        <f>E112+E113+E114+E115</f>
        <v>0</v>
      </c>
    </row>
    <row r="119" spans="2:9" ht="15.75" hidden="1" thickBot="1" x14ac:dyDescent="0.3">
      <c r="B119" s="227" t="s">
        <v>157</v>
      </c>
      <c r="C119" s="228">
        <f>J19</f>
        <v>0.31909999999999999</v>
      </c>
      <c r="D119" s="229"/>
      <c r="E119" s="229"/>
      <c r="F119" s="229"/>
      <c r="G119" s="229"/>
      <c r="H119" s="229"/>
      <c r="I119" s="229"/>
    </row>
    <row r="120" spans="2:9" hidden="1" x14ac:dyDescent="0.25">
      <c r="B120" s="229"/>
      <c r="C120" s="229"/>
      <c r="D120" s="229"/>
      <c r="E120" s="229"/>
      <c r="F120" s="229"/>
      <c r="G120" s="229"/>
      <c r="H120" s="229"/>
      <c r="I120" s="229"/>
    </row>
    <row r="121" spans="2:9" ht="30" hidden="1" x14ac:dyDescent="0.25">
      <c r="B121" s="3" t="s">
        <v>158</v>
      </c>
      <c r="C121" s="230" t="s">
        <v>159</v>
      </c>
      <c r="D121" s="230" t="s">
        <v>160</v>
      </c>
      <c r="E121" s="231" t="s">
        <v>161</v>
      </c>
      <c r="F121" s="232" t="s">
        <v>162</v>
      </c>
      <c r="G121" s="232" t="s">
        <v>163</v>
      </c>
      <c r="H121" s="232" t="s">
        <v>164</v>
      </c>
      <c r="I121" s="233" t="s">
        <v>165</v>
      </c>
    </row>
    <row r="122" spans="2:9" ht="15.75" hidden="1" thickBot="1" x14ac:dyDescent="0.3">
      <c r="B122" s="76" t="s">
        <v>166</v>
      </c>
      <c r="C122" s="234"/>
      <c r="D122" s="235">
        <f>C122</f>
        <v>0</v>
      </c>
      <c r="E122" s="236">
        <v>1603.12</v>
      </c>
      <c r="F122" s="234">
        <f>+E122</f>
        <v>1603.12</v>
      </c>
      <c r="G122" s="237" t="e">
        <f>ROUND((C119/0.6)*((1.6*F122/D122)-1),4)</f>
        <v>#DIV/0!</v>
      </c>
      <c r="H122" s="235" t="e">
        <f>IF(G122&gt;0,G122*D122,0)</f>
        <v>#DIV/0!</v>
      </c>
      <c r="I122" s="238">
        <v>0</v>
      </c>
    </row>
    <row r="123" spans="2:9" hidden="1" x14ac:dyDescent="0.25"/>
    <row r="124" spans="2:9" hidden="1" x14ac:dyDescent="0.25"/>
    <row r="125" spans="2:9" ht="18.75" hidden="1" x14ac:dyDescent="0.25">
      <c r="B125" s="532" t="s">
        <v>167</v>
      </c>
      <c r="C125" s="535"/>
      <c r="D125" s="535"/>
      <c r="E125" s="535"/>
    </row>
    <row r="126" spans="2:9" hidden="1" x14ac:dyDescent="0.25"/>
    <row r="127" spans="2:9" hidden="1" x14ac:dyDescent="0.25">
      <c r="B127" s="239" t="s">
        <v>168</v>
      </c>
      <c r="C127" s="240" t="s">
        <v>169</v>
      </c>
      <c r="D127" s="241" t="s">
        <v>170</v>
      </c>
      <c r="E127" s="241" t="s">
        <v>171</v>
      </c>
      <c r="F127" s="242" t="s">
        <v>172</v>
      </c>
    </row>
    <row r="128" spans="2:9" hidden="1" x14ac:dyDescent="0.25">
      <c r="B128" s="243" t="s">
        <v>173</v>
      </c>
      <c r="C128" s="2"/>
      <c r="D128" s="244">
        <f>C128-25</f>
        <v>-25</v>
      </c>
      <c r="E128" s="244">
        <f>IF(D128&lt;2.8,D128,2.8)</f>
        <v>-25</v>
      </c>
      <c r="F128" s="6">
        <f>IF(D128&gt;2.8,D128-2.8,0)</f>
        <v>0</v>
      </c>
    </row>
    <row r="129" spans="2:6" hidden="1" x14ac:dyDescent="0.25">
      <c r="B129" s="243" t="s">
        <v>174</v>
      </c>
      <c r="C129" s="2"/>
      <c r="D129" s="244">
        <f>C129-25</f>
        <v>-25</v>
      </c>
      <c r="E129" s="244">
        <f t="shared" ref="E129:E131" si="6">IF(D129&lt;2.8,D129,2.8)</f>
        <v>-25</v>
      </c>
      <c r="F129" s="6">
        <f t="shared" ref="F129:F131" si="7">IF(D129&gt;2.8,D129-2.8,0)</f>
        <v>0</v>
      </c>
    </row>
    <row r="130" spans="2:6" hidden="1" x14ac:dyDescent="0.25">
      <c r="B130" s="243" t="s">
        <v>175</v>
      </c>
      <c r="C130" s="2"/>
      <c r="D130" s="244">
        <f t="shared" ref="D130:D131" si="8">C130-25</f>
        <v>-25</v>
      </c>
      <c r="E130" s="244">
        <f t="shared" si="6"/>
        <v>-25</v>
      </c>
      <c r="F130" s="6">
        <f t="shared" si="7"/>
        <v>0</v>
      </c>
    </row>
    <row r="131" spans="2:6" hidden="1" x14ac:dyDescent="0.25">
      <c r="B131" s="243" t="s">
        <v>176</v>
      </c>
      <c r="C131" s="2"/>
      <c r="D131" s="244">
        <f t="shared" si="8"/>
        <v>-25</v>
      </c>
      <c r="E131" s="245">
        <f t="shared" si="6"/>
        <v>-25</v>
      </c>
      <c r="F131" s="246">
        <f t="shared" si="7"/>
        <v>0</v>
      </c>
    </row>
    <row r="132" spans="2:6" ht="15.75" hidden="1" thickBot="1" x14ac:dyDescent="0.3">
      <c r="B132" s="247" t="s">
        <v>177</v>
      </c>
      <c r="C132" s="2"/>
      <c r="D132" s="536" t="s">
        <v>178</v>
      </c>
      <c r="E132" s="536"/>
      <c r="F132" s="537"/>
    </row>
    <row r="133" spans="2:6" ht="15.75" hidden="1" thickBot="1" x14ac:dyDescent="0.3">
      <c r="B133" s="248" t="s">
        <v>179</v>
      </c>
      <c r="C133" s="249"/>
      <c r="D133" s="249">
        <f>SUM(D128:D131)</f>
        <v>-100</v>
      </c>
      <c r="E133" s="249">
        <f>SUM(E128:E131)</f>
        <v>-100</v>
      </c>
      <c r="F133" s="250">
        <f>SUM(F128:F131)</f>
        <v>0</v>
      </c>
    </row>
    <row r="134" spans="2:6" hidden="1" x14ac:dyDescent="0.25"/>
    <row r="135" spans="2:6" ht="18.75" customHeight="1" x14ac:dyDescent="0.25">
      <c r="B135" s="7"/>
      <c r="C135" s="251"/>
      <c r="D135" s="252"/>
      <c r="E135" s="7"/>
      <c r="F135" s="7"/>
    </row>
    <row r="136" spans="2:6" ht="18.75" x14ac:dyDescent="0.25">
      <c r="B136" s="532" t="s">
        <v>9</v>
      </c>
      <c r="C136" s="532"/>
      <c r="D136" s="532"/>
      <c r="E136" s="532"/>
    </row>
    <row r="137" spans="2:6" ht="15.75" thickBot="1" x14ac:dyDescent="0.3"/>
    <row r="138" spans="2:6" x14ac:dyDescent="0.25">
      <c r="B138" s="526" t="s">
        <v>10</v>
      </c>
      <c r="C138" s="527"/>
      <c r="D138" s="527"/>
      <c r="E138" s="528"/>
    </row>
    <row r="139" spans="2:6" x14ac:dyDescent="0.25">
      <c r="B139" s="253" t="s">
        <v>11</v>
      </c>
      <c r="C139" s="254"/>
      <c r="D139" s="254"/>
      <c r="E139" s="268"/>
    </row>
    <row r="140" spans="2:6" x14ac:dyDescent="0.25">
      <c r="B140" s="253" t="s">
        <v>12</v>
      </c>
      <c r="C140" s="254"/>
      <c r="D140" s="254"/>
      <c r="E140" s="255">
        <v>28</v>
      </c>
    </row>
    <row r="141" spans="2:6" x14ac:dyDescent="0.25">
      <c r="B141" s="253" t="s">
        <v>13</v>
      </c>
      <c r="C141" s="254"/>
      <c r="D141" s="254"/>
      <c r="E141" s="272">
        <f>+E139/E140</f>
        <v>0</v>
      </c>
    </row>
    <row r="142" spans="2:6" ht="15.75" thickBot="1" x14ac:dyDescent="0.3">
      <c r="B142" s="253" t="s">
        <v>14</v>
      </c>
      <c r="C142" s="254"/>
      <c r="D142" s="254"/>
      <c r="E142" s="269"/>
    </row>
    <row r="143" spans="2:6" ht="16.5" thickTop="1" thickBot="1" x14ac:dyDescent="0.3">
      <c r="B143" s="256" t="s">
        <v>15</v>
      </c>
      <c r="C143" s="257"/>
      <c r="D143" s="258"/>
      <c r="E143" s="273">
        <f>E141*E142</f>
        <v>0</v>
      </c>
    </row>
    <row r="144" spans="2:6" ht="15.75" thickBot="1" x14ac:dyDescent="0.3">
      <c r="B144" s="259"/>
      <c r="C144" s="259"/>
      <c r="D144" s="259"/>
      <c r="E144" s="259"/>
    </row>
    <row r="145" spans="2:5" ht="15.75" thickBot="1" x14ac:dyDescent="0.3">
      <c r="B145" s="529" t="s">
        <v>16</v>
      </c>
      <c r="C145" s="530"/>
      <c r="D145" s="530"/>
      <c r="E145" s="531"/>
    </row>
    <row r="146" spans="2:5" x14ac:dyDescent="0.25">
      <c r="B146" s="260" t="s">
        <v>17</v>
      </c>
      <c r="C146" s="261"/>
      <c r="D146" s="262" t="s">
        <v>18</v>
      </c>
      <c r="E146" s="263" t="s">
        <v>19</v>
      </c>
    </row>
    <row r="147" spans="2:5" x14ac:dyDescent="0.25">
      <c r="B147" s="206" t="s">
        <v>20</v>
      </c>
      <c r="C147" s="270"/>
      <c r="D147" s="271"/>
      <c r="E147" s="274"/>
    </row>
    <row r="148" spans="2:5" x14ac:dyDescent="0.25">
      <c r="B148" s="206" t="s">
        <v>21</v>
      </c>
      <c r="C148" s="270"/>
      <c r="D148" s="271"/>
      <c r="E148" s="274"/>
    </row>
    <row r="149" spans="2:5" x14ac:dyDescent="0.25">
      <c r="B149" s="206" t="s">
        <v>22</v>
      </c>
      <c r="C149" s="270"/>
      <c r="D149" s="271"/>
      <c r="E149" s="274"/>
    </row>
    <row r="150" spans="2:5" x14ac:dyDescent="0.25">
      <c r="B150" s="206" t="s">
        <v>23</v>
      </c>
      <c r="C150" s="264"/>
      <c r="D150" s="264"/>
      <c r="E150" s="208">
        <f>SUM(E147:E149)</f>
        <v>0</v>
      </c>
    </row>
    <row r="151" spans="2:5" x14ac:dyDescent="0.25">
      <c r="B151" s="206" t="s">
        <v>24</v>
      </c>
      <c r="C151" s="264"/>
      <c r="D151" s="264"/>
      <c r="E151" s="208">
        <f>E150/91.25*0.5</f>
        <v>0</v>
      </c>
    </row>
    <row r="152" spans="2:5" x14ac:dyDescent="0.25">
      <c r="B152" s="206" t="s">
        <v>180</v>
      </c>
      <c r="C152" s="264"/>
      <c r="D152" s="276"/>
      <c r="E152" s="265"/>
    </row>
    <row r="153" spans="2:5" x14ac:dyDescent="0.25">
      <c r="B153" s="206" t="s">
        <v>25</v>
      </c>
      <c r="C153" s="264"/>
      <c r="D153" s="264"/>
      <c r="E153" s="280">
        <f>E152*E151</f>
        <v>0</v>
      </c>
    </row>
    <row r="154" spans="2:5" x14ac:dyDescent="0.25">
      <c r="B154" s="206" t="s">
        <v>26</v>
      </c>
      <c r="C154" s="264"/>
      <c r="D154" s="264"/>
      <c r="E154" s="208">
        <f>E153*6.7%</f>
        <v>0</v>
      </c>
    </row>
    <row r="155" spans="2:5" ht="15.75" thickBot="1" x14ac:dyDescent="0.3">
      <c r="B155" s="266" t="s">
        <v>27</v>
      </c>
      <c r="C155" s="267"/>
      <c r="D155" s="267"/>
      <c r="E155" s="275">
        <f>E153-E154</f>
        <v>0</v>
      </c>
    </row>
    <row r="156" spans="2:5" ht="15.75" thickBot="1" x14ac:dyDescent="0.3"/>
    <row r="157" spans="2:5" x14ac:dyDescent="0.25">
      <c r="B157" s="526" t="s">
        <v>28</v>
      </c>
      <c r="C157" s="527"/>
      <c r="D157" s="527"/>
      <c r="E157" s="528"/>
    </row>
    <row r="158" spans="2:5" x14ac:dyDescent="0.25">
      <c r="B158" s="253" t="s">
        <v>29</v>
      </c>
      <c r="C158" s="254"/>
      <c r="D158" s="254"/>
      <c r="E158" s="277"/>
    </row>
    <row r="159" spans="2:5" ht="15.75" thickBot="1" x14ac:dyDescent="0.3">
      <c r="B159" s="253" t="s">
        <v>30</v>
      </c>
      <c r="C159" s="254"/>
      <c r="D159" s="254"/>
      <c r="E159" s="255">
        <f>E141*0.9</f>
        <v>0</v>
      </c>
    </row>
    <row r="160" spans="2:5" ht="16.5" thickTop="1" thickBot="1" x14ac:dyDescent="0.3">
      <c r="B160" s="253" t="s">
        <v>31</v>
      </c>
      <c r="C160" s="254"/>
      <c r="D160" s="254"/>
      <c r="E160" s="273">
        <f>E158*E159</f>
        <v>0</v>
      </c>
    </row>
    <row r="161" spans="2:5" ht="16.5" thickTop="1" thickBot="1" x14ac:dyDescent="0.3">
      <c r="B161" s="206" t="s">
        <v>32</v>
      </c>
      <c r="C161" s="254"/>
      <c r="D161" s="254"/>
      <c r="E161" s="278">
        <f>E151</f>
        <v>0</v>
      </c>
    </row>
    <row r="162" spans="2:5" ht="16.5" thickTop="1" thickBot="1" x14ac:dyDescent="0.3">
      <c r="B162" s="256" t="s">
        <v>33</v>
      </c>
      <c r="C162" s="281">
        <f>E158</f>
        <v>0</v>
      </c>
      <c r="D162" s="279">
        <f>E161</f>
        <v>0</v>
      </c>
      <c r="E162" s="273">
        <f>D162*C162</f>
        <v>0</v>
      </c>
    </row>
  </sheetData>
  <mergeCells count="12">
    <mergeCell ref="B157:E157"/>
    <mergeCell ref="B145:E145"/>
    <mergeCell ref="B138:E138"/>
    <mergeCell ref="B136:E136"/>
    <mergeCell ref="C17:D17"/>
    <mergeCell ref="B125:E125"/>
    <mergeCell ref="D132:F132"/>
    <mergeCell ref="F17:G17"/>
    <mergeCell ref="B88:C88"/>
    <mergeCell ref="D89:D96"/>
    <mergeCell ref="B103:E103"/>
    <mergeCell ref="B111:E1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C2707-D8C1-4449-B93D-9A0E083B9264}">
  <dimension ref="A2:M42"/>
  <sheetViews>
    <sheetView workbookViewId="0">
      <selection activeCell="E11" sqref="E11"/>
    </sheetView>
  </sheetViews>
  <sheetFormatPr baseColWidth="10" defaultRowHeight="15" x14ac:dyDescent="0.25"/>
  <cols>
    <col min="1" max="1" width="21.42578125" style="229" customWidth="1"/>
    <col min="2" max="2" width="13" style="229" bestFit="1" customWidth="1"/>
    <col min="3" max="3" width="12.7109375" style="229" bestFit="1" customWidth="1"/>
    <col min="4" max="5" width="16.85546875" style="229" bestFit="1" customWidth="1"/>
    <col min="6" max="6" width="12.42578125" style="229" bestFit="1" customWidth="1"/>
    <col min="7" max="7" width="12.85546875" style="229" customWidth="1"/>
    <col min="8" max="8" width="13" style="229" bestFit="1" customWidth="1"/>
    <col min="9" max="9" width="13.7109375" style="229" customWidth="1"/>
    <col min="10" max="10" width="14.42578125" style="229" customWidth="1"/>
    <col min="11" max="11" width="11.85546875" style="229" bestFit="1" customWidth="1"/>
    <col min="12" max="12" width="11.5703125" style="229" bestFit="1" customWidth="1"/>
    <col min="13" max="16384" width="11.42578125" style="229"/>
  </cols>
  <sheetData>
    <row r="2" spans="1:13" ht="23.25" x14ac:dyDescent="0.25">
      <c r="A2" s="290" t="s">
        <v>195</v>
      </c>
      <c r="B2" s="283"/>
      <c r="C2" s="283"/>
      <c r="D2" s="283"/>
      <c r="E2" s="283"/>
      <c r="F2" s="283"/>
      <c r="G2" s="283"/>
      <c r="H2" s="283"/>
    </row>
    <row r="4" spans="1:13" ht="15.75" thickBot="1" x14ac:dyDescent="0.3"/>
    <row r="5" spans="1:13" ht="45" x14ac:dyDescent="0.25">
      <c r="A5" s="291"/>
      <c r="B5" s="292" t="s">
        <v>135</v>
      </c>
      <c r="C5" s="292" t="s">
        <v>184</v>
      </c>
      <c r="D5" s="293" t="s">
        <v>196</v>
      </c>
      <c r="E5" s="293" t="s">
        <v>161</v>
      </c>
      <c r="F5" s="293" t="s">
        <v>270</v>
      </c>
      <c r="G5" s="293" t="s">
        <v>198</v>
      </c>
      <c r="H5" s="232" t="s">
        <v>199</v>
      </c>
      <c r="I5" s="293" t="s">
        <v>200</v>
      </c>
      <c r="J5" s="294" t="s">
        <v>201</v>
      </c>
      <c r="K5" s="295" t="s">
        <v>202</v>
      </c>
    </row>
    <row r="6" spans="1:13" x14ac:dyDescent="0.25">
      <c r="A6" s="287" t="s">
        <v>190</v>
      </c>
      <c r="B6" s="296">
        <v>4063</v>
      </c>
      <c r="C6" s="296">
        <f>B6</f>
        <v>4063</v>
      </c>
      <c r="D6" s="297">
        <f>+B6</f>
        <v>4063</v>
      </c>
      <c r="E6" s="298">
        <f>E17</f>
        <v>1709.28</v>
      </c>
      <c r="F6" s="296">
        <f>2.5*E6</f>
        <v>4273.2</v>
      </c>
      <c r="G6" s="296">
        <f>F6</f>
        <v>4273.2</v>
      </c>
      <c r="H6" s="33" t="str">
        <f>IF(C6&gt;F6,"OUI","")</f>
        <v/>
      </c>
      <c r="I6" s="299">
        <f>IF(H6="OUI",C6,0)</f>
        <v>0</v>
      </c>
      <c r="J6" s="297">
        <f>I6</f>
        <v>0</v>
      </c>
      <c r="K6" s="300">
        <f>(D6*7%)+(J6*6%)</f>
        <v>284.41000000000003</v>
      </c>
    </row>
    <row r="7" spans="1:13" x14ac:dyDescent="0.25">
      <c r="A7" s="287" t="s">
        <v>191</v>
      </c>
      <c r="B7" s="296">
        <v>4063</v>
      </c>
      <c r="C7" s="296">
        <f>C6+B7</f>
        <v>8126</v>
      </c>
      <c r="D7" s="297">
        <f t="shared" ref="D7:D10" si="0">+B7</f>
        <v>4063</v>
      </c>
      <c r="E7" s="298">
        <f t="shared" ref="E7:E9" si="1">E18</f>
        <v>1709.28</v>
      </c>
      <c r="F7" s="296">
        <f t="shared" ref="F7:F9" si="2">2.5*E7</f>
        <v>4273.2</v>
      </c>
      <c r="G7" s="296">
        <f t="shared" ref="G7:G9" si="3">G6+F7</f>
        <v>8546.4</v>
      </c>
      <c r="H7" s="33" t="str">
        <f>IF(C7&gt;G7,"OUI","")</f>
        <v/>
      </c>
      <c r="I7" s="299">
        <f>IF(H7="OUI",C7,0)</f>
        <v>0</v>
      </c>
      <c r="J7" s="297">
        <f>I7-I6</f>
        <v>0</v>
      </c>
      <c r="K7" s="300">
        <f t="shared" ref="K7:K10" si="4">(D7*7%)+(J7*6%)</f>
        <v>284.41000000000003</v>
      </c>
    </row>
    <row r="8" spans="1:13" x14ac:dyDescent="0.25">
      <c r="A8" s="287" t="s">
        <v>192</v>
      </c>
      <c r="B8" s="296">
        <v>4063</v>
      </c>
      <c r="C8" s="296">
        <f t="shared" ref="C8:C10" si="5">C7+B8</f>
        <v>12189</v>
      </c>
      <c r="D8" s="297">
        <f t="shared" si="0"/>
        <v>4063</v>
      </c>
      <c r="E8" s="298">
        <f t="shared" si="1"/>
        <v>1709.28</v>
      </c>
      <c r="F8" s="296">
        <f t="shared" si="2"/>
        <v>4273.2</v>
      </c>
      <c r="G8" s="296">
        <f t="shared" si="3"/>
        <v>12819.599999999999</v>
      </c>
      <c r="H8" s="33" t="str">
        <f t="shared" ref="H8:H10" si="6">IF(C8&gt;G8,"OUI","")</f>
        <v/>
      </c>
      <c r="I8" s="299">
        <f t="shared" ref="I8:I10" si="7">IF(H8="OUI",C8,0)</f>
        <v>0</v>
      </c>
      <c r="J8" s="297">
        <f t="shared" ref="J8:J10" si="8">I8-I7</f>
        <v>0</v>
      </c>
      <c r="K8" s="300">
        <f t="shared" si="4"/>
        <v>284.41000000000003</v>
      </c>
    </row>
    <row r="9" spans="1:13" x14ac:dyDescent="0.25">
      <c r="A9" s="287" t="s">
        <v>193</v>
      </c>
      <c r="B9" s="296">
        <v>4063</v>
      </c>
      <c r="C9" s="296">
        <f t="shared" si="5"/>
        <v>16252</v>
      </c>
      <c r="D9" s="297">
        <f t="shared" si="0"/>
        <v>4063</v>
      </c>
      <c r="E9" s="298">
        <f t="shared" si="1"/>
        <v>1709.28</v>
      </c>
      <c r="F9" s="296">
        <f t="shared" si="2"/>
        <v>4273.2</v>
      </c>
      <c r="G9" s="296">
        <f t="shared" si="3"/>
        <v>17092.8</v>
      </c>
      <c r="H9" s="33" t="str">
        <f t="shared" si="6"/>
        <v/>
      </c>
      <c r="I9" s="299">
        <f t="shared" si="7"/>
        <v>0</v>
      </c>
      <c r="J9" s="297">
        <f t="shared" si="8"/>
        <v>0</v>
      </c>
      <c r="K9" s="300">
        <f t="shared" si="4"/>
        <v>284.41000000000003</v>
      </c>
    </row>
    <row r="10" spans="1:13" x14ac:dyDescent="0.25">
      <c r="A10" s="287" t="s">
        <v>194</v>
      </c>
      <c r="B10" s="296">
        <f>+'Bulletin LAMBERT'!E37</f>
        <v>4416.9318820779126</v>
      </c>
      <c r="C10" s="296">
        <f t="shared" si="5"/>
        <v>20668.931882077912</v>
      </c>
      <c r="D10" s="297">
        <f t="shared" si="0"/>
        <v>4416.9318820779126</v>
      </c>
      <c r="E10" s="313">
        <f>160.42*11.52</f>
        <v>1848.0383999999997</v>
      </c>
      <c r="F10" s="296">
        <f>2.5*E10</f>
        <v>4620.0959999999995</v>
      </c>
      <c r="G10" s="296">
        <f>G9+F10</f>
        <v>21712.896000000001</v>
      </c>
      <c r="H10" s="33" t="str">
        <f t="shared" si="6"/>
        <v/>
      </c>
      <c r="I10" s="299">
        <f t="shared" si="7"/>
        <v>0</v>
      </c>
      <c r="J10" s="297">
        <f t="shared" si="8"/>
        <v>0</v>
      </c>
      <c r="K10" s="300">
        <f t="shared" si="4"/>
        <v>309.1852317454539</v>
      </c>
      <c r="L10" s="328"/>
      <c r="M10" s="229">
        <v>151.66999999999999</v>
      </c>
    </row>
    <row r="11" spans="1:13" x14ac:dyDescent="0.25">
      <c r="A11" s="324"/>
      <c r="B11" s="327"/>
      <c r="C11" s="327"/>
      <c r="D11" s="328"/>
      <c r="E11" s="329" t="s">
        <v>262</v>
      </c>
      <c r="F11" s="327"/>
      <c r="G11" s="327"/>
      <c r="H11" s="330"/>
      <c r="I11" s="331"/>
      <c r="J11" s="328"/>
      <c r="M11" s="229">
        <v>8.75</v>
      </c>
    </row>
    <row r="12" spans="1:13" x14ac:dyDescent="0.25">
      <c r="M12" s="229">
        <f>M11+M10</f>
        <v>160.41999999999999</v>
      </c>
    </row>
    <row r="13" spans="1:13" ht="23.25" hidden="1" x14ac:dyDescent="0.25">
      <c r="A13" s="290" t="s">
        <v>203</v>
      </c>
      <c r="B13" s="283"/>
      <c r="C13" s="283"/>
      <c r="D13" s="283"/>
      <c r="E13" s="283"/>
      <c r="F13" s="283"/>
      <c r="G13" s="283"/>
      <c r="H13" s="283"/>
    </row>
    <row r="14" spans="1:13" hidden="1" x14ac:dyDescent="0.25"/>
    <row r="15" spans="1:13" ht="15.75" hidden="1" thickBot="1" x14ac:dyDescent="0.3"/>
    <row r="16" spans="1:13" s="301" customFormat="1" ht="45" hidden="1" x14ac:dyDescent="0.25">
      <c r="A16" s="291"/>
      <c r="B16" s="292" t="s">
        <v>135</v>
      </c>
      <c r="C16" s="292" t="s">
        <v>184</v>
      </c>
      <c r="D16" s="293" t="s">
        <v>204</v>
      </c>
      <c r="E16" s="293" t="s">
        <v>161</v>
      </c>
      <c r="F16" s="293" t="s">
        <v>205</v>
      </c>
      <c r="G16" s="293" t="s">
        <v>206</v>
      </c>
      <c r="H16" s="232" t="s">
        <v>207</v>
      </c>
      <c r="I16" s="293" t="s">
        <v>208</v>
      </c>
      <c r="J16" s="294" t="s">
        <v>209</v>
      </c>
      <c r="K16" s="295" t="s">
        <v>271</v>
      </c>
    </row>
    <row r="17" spans="1:11" ht="21.75" hidden="1" customHeight="1" x14ac:dyDescent="0.25">
      <c r="A17" s="287" t="s">
        <v>190</v>
      </c>
      <c r="B17" s="296">
        <f>+B6</f>
        <v>4063</v>
      </c>
      <c r="C17" s="296">
        <f>B17</f>
        <v>4063</v>
      </c>
      <c r="D17" s="297">
        <f>+B17</f>
        <v>4063</v>
      </c>
      <c r="E17" s="298">
        <v>1709.28</v>
      </c>
      <c r="F17" s="296">
        <f>3.5*E17</f>
        <v>5982.48</v>
      </c>
      <c r="G17" s="296">
        <f>F17</f>
        <v>5982.48</v>
      </c>
      <c r="H17" s="33" t="str">
        <f>IF(C17&gt;G17,"OUI","")</f>
        <v/>
      </c>
      <c r="I17" s="299">
        <f>IF(H17="OUI",C17,0)</f>
        <v>0</v>
      </c>
      <c r="J17" s="297">
        <f>I17</f>
        <v>0</v>
      </c>
      <c r="K17" s="300">
        <f>(D17*3.45%)+(J17*1.8%)</f>
        <v>140.17350000000002</v>
      </c>
    </row>
    <row r="18" spans="1:11" ht="21.75" hidden="1" customHeight="1" x14ac:dyDescent="0.25">
      <c r="A18" s="287" t="s">
        <v>191</v>
      </c>
      <c r="B18" s="296">
        <f t="shared" ref="B18:B21" si="9">+B7</f>
        <v>4063</v>
      </c>
      <c r="C18" s="296">
        <f>C17+B18</f>
        <v>8126</v>
      </c>
      <c r="D18" s="297">
        <f t="shared" ref="D18:D21" si="10">B18</f>
        <v>4063</v>
      </c>
      <c r="E18" s="298">
        <v>1709.28</v>
      </c>
      <c r="F18" s="296">
        <f t="shared" ref="F18:F21" si="11">3.5*E18</f>
        <v>5982.48</v>
      </c>
      <c r="G18" s="296">
        <f t="shared" ref="G18:G21" si="12">G17+F18</f>
        <v>11964.96</v>
      </c>
      <c r="H18" s="33" t="str">
        <f t="shared" ref="H18:H21" si="13">IF(C18&gt;G18,"OUI","")</f>
        <v/>
      </c>
      <c r="I18" s="299">
        <f>IF(H18="OUI",C18,0)</f>
        <v>0</v>
      </c>
      <c r="J18" s="297">
        <f>I18-I17</f>
        <v>0</v>
      </c>
      <c r="K18" s="300">
        <f t="shared" ref="K18:K21" si="14">(D18*3.45%)+(J18*1.8%)</f>
        <v>140.17350000000002</v>
      </c>
    </row>
    <row r="19" spans="1:11" ht="21.75" hidden="1" customHeight="1" x14ac:dyDescent="0.25">
      <c r="A19" s="287" t="s">
        <v>192</v>
      </c>
      <c r="B19" s="296">
        <f t="shared" si="9"/>
        <v>4063</v>
      </c>
      <c r="C19" s="296">
        <f t="shared" ref="C19:C21" si="15">C18+B19</f>
        <v>12189</v>
      </c>
      <c r="D19" s="297">
        <f t="shared" si="10"/>
        <v>4063</v>
      </c>
      <c r="E19" s="298">
        <v>1709.28</v>
      </c>
      <c r="F19" s="296">
        <f t="shared" si="11"/>
        <v>5982.48</v>
      </c>
      <c r="G19" s="296">
        <f t="shared" si="12"/>
        <v>17947.439999999999</v>
      </c>
      <c r="H19" s="33" t="str">
        <f t="shared" si="13"/>
        <v/>
      </c>
      <c r="I19" s="299">
        <f t="shared" ref="I19:I21" si="16">IF(H19="OUI",C19,0)</f>
        <v>0</v>
      </c>
      <c r="J19" s="297">
        <f t="shared" ref="J19:J21" si="17">I19-I18</f>
        <v>0</v>
      </c>
      <c r="K19" s="300">
        <f t="shared" si="14"/>
        <v>140.17350000000002</v>
      </c>
    </row>
    <row r="20" spans="1:11" ht="21.75" hidden="1" customHeight="1" x14ac:dyDescent="0.25">
      <c r="A20" s="287" t="s">
        <v>193</v>
      </c>
      <c r="B20" s="296">
        <f t="shared" si="9"/>
        <v>4063</v>
      </c>
      <c r="C20" s="296">
        <f t="shared" si="15"/>
        <v>16252</v>
      </c>
      <c r="D20" s="297">
        <f t="shared" si="10"/>
        <v>4063</v>
      </c>
      <c r="E20" s="298">
        <v>1709.28</v>
      </c>
      <c r="F20" s="296">
        <f t="shared" si="11"/>
        <v>5982.48</v>
      </c>
      <c r="G20" s="296">
        <f t="shared" si="12"/>
        <v>23929.919999999998</v>
      </c>
      <c r="H20" s="33" t="str">
        <f t="shared" si="13"/>
        <v/>
      </c>
      <c r="I20" s="299">
        <f t="shared" si="16"/>
        <v>0</v>
      </c>
      <c r="J20" s="297">
        <f t="shared" si="17"/>
        <v>0</v>
      </c>
      <c r="K20" s="300">
        <f t="shared" si="14"/>
        <v>140.17350000000002</v>
      </c>
    </row>
    <row r="21" spans="1:11" ht="21.75" hidden="1" customHeight="1" x14ac:dyDescent="0.25">
      <c r="A21" s="287" t="s">
        <v>194</v>
      </c>
      <c r="B21" s="296">
        <f t="shared" si="9"/>
        <v>4416.9318820779126</v>
      </c>
      <c r="C21" s="296">
        <f t="shared" si="15"/>
        <v>20668.931882077912</v>
      </c>
      <c r="D21" s="297">
        <f t="shared" si="10"/>
        <v>4416.9318820779126</v>
      </c>
      <c r="E21" s="313">
        <f>11.52*(151.6667+8.75)</f>
        <v>1848.0003839999999</v>
      </c>
      <c r="F21" s="296">
        <f t="shared" si="11"/>
        <v>6468.0013440000002</v>
      </c>
      <c r="G21" s="296">
        <f t="shared" si="12"/>
        <v>30397.921343999998</v>
      </c>
      <c r="H21" s="33" t="str">
        <f t="shared" si="13"/>
        <v/>
      </c>
      <c r="I21" s="299">
        <f t="shared" si="16"/>
        <v>0</v>
      </c>
      <c r="J21" s="297">
        <f t="shared" si="17"/>
        <v>0</v>
      </c>
      <c r="K21" s="300">
        <f t="shared" si="14"/>
        <v>152.384149931688</v>
      </c>
    </row>
    <row r="22" spans="1:11" ht="21.75" hidden="1" customHeight="1" x14ac:dyDescent="0.25">
      <c r="A22" s="324"/>
      <c r="B22" s="327"/>
      <c r="C22" s="327"/>
      <c r="D22" s="328"/>
      <c r="E22" s="332"/>
      <c r="F22" s="327"/>
      <c r="G22" s="327"/>
      <c r="H22" s="330"/>
      <c r="I22" s="331"/>
    </row>
    <row r="23" spans="1:11" ht="21" hidden="1" x14ac:dyDescent="0.25">
      <c r="A23" s="524" t="s">
        <v>210</v>
      </c>
      <c r="B23" s="525"/>
      <c r="C23" s="525"/>
      <c r="D23" s="525"/>
      <c r="E23" s="525"/>
      <c r="F23" s="525"/>
      <c r="G23" s="525"/>
      <c r="H23" s="525"/>
      <c r="I23" s="302"/>
    </row>
    <row r="24" spans="1:11" ht="21" hidden="1" customHeight="1" x14ac:dyDescent="0.25">
      <c r="A24" s="227" t="s">
        <v>157</v>
      </c>
      <c r="B24" s="303">
        <v>0.31950000000000001</v>
      </c>
    </row>
    <row r="25" spans="1:11" hidden="1" x14ac:dyDescent="0.25"/>
    <row r="26" spans="1:11" ht="30" hidden="1" x14ac:dyDescent="0.25">
      <c r="A26" s="3" t="s">
        <v>158</v>
      </c>
      <c r="B26" s="230" t="s">
        <v>159</v>
      </c>
      <c r="C26" s="230" t="s">
        <v>160</v>
      </c>
      <c r="D26" s="293" t="s">
        <v>161</v>
      </c>
      <c r="E26" s="232" t="s">
        <v>162</v>
      </c>
      <c r="F26" s="232" t="s">
        <v>163</v>
      </c>
      <c r="G26" s="232" t="s">
        <v>164</v>
      </c>
      <c r="H26" s="232" t="s">
        <v>165</v>
      </c>
      <c r="I26" s="1" t="s">
        <v>211</v>
      </c>
    </row>
    <row r="27" spans="1:11" ht="21" hidden="1" customHeight="1" x14ac:dyDescent="0.25">
      <c r="A27" s="287" t="s">
        <v>190</v>
      </c>
      <c r="B27" s="304">
        <v>1700</v>
      </c>
      <c r="C27" s="305">
        <f>B27</f>
        <v>1700</v>
      </c>
      <c r="D27" s="298">
        <v>1603.12</v>
      </c>
      <c r="E27" s="304">
        <f>+D27</f>
        <v>1603.12</v>
      </c>
      <c r="F27" s="306">
        <f>ROUND(($B$24/0.6)*((1.6*E27/C27)-1),4)</f>
        <v>0.27089999999999997</v>
      </c>
      <c r="G27" s="305">
        <f>IF(F27&gt;0,F27*C27,0)</f>
        <v>460.53</v>
      </c>
      <c r="H27" s="307">
        <f>G27</f>
        <v>460.53</v>
      </c>
      <c r="I27" s="5" t="str">
        <f>IF(F27&gt;$B$24,"ERREUR","")</f>
        <v/>
      </c>
    </row>
    <row r="28" spans="1:11" ht="21" hidden="1" customHeight="1" x14ac:dyDescent="0.25">
      <c r="A28" s="287" t="s">
        <v>191</v>
      </c>
      <c r="B28" s="304">
        <v>3000</v>
      </c>
      <c r="C28" s="305">
        <f>C27+B28</f>
        <v>4700</v>
      </c>
      <c r="D28" s="308">
        <f>156.67*10.57</f>
        <v>1656.0019</v>
      </c>
      <c r="E28" s="304">
        <f>D28+E27</f>
        <v>3259.1219000000001</v>
      </c>
      <c r="F28" s="306">
        <f>ROUND(($B$24/0.6)*((1.6*E28/C28)-1),4)</f>
        <v>5.8299999999999998E-2</v>
      </c>
      <c r="G28" s="305">
        <f t="shared" ref="G28:G31" si="18">IF(F28&gt;0,F28*C28,0)</f>
        <v>274.01</v>
      </c>
      <c r="H28" s="307">
        <f>G28-G27</f>
        <v>-186.51999999999998</v>
      </c>
      <c r="I28" s="5" t="str">
        <f>IF(F28&gt;$B$24,"ERREUR","")</f>
        <v/>
      </c>
    </row>
    <row r="29" spans="1:11" ht="21" hidden="1" customHeight="1" x14ac:dyDescent="0.25">
      <c r="A29" s="287" t="s">
        <v>192</v>
      </c>
      <c r="B29" s="304"/>
      <c r="C29" s="305">
        <f t="shared" ref="C29:C31" si="19">C28+B29</f>
        <v>4700</v>
      </c>
      <c r="D29" s="298">
        <v>1603.12</v>
      </c>
      <c r="E29" s="304">
        <f t="shared" ref="E29:E31" si="20">D29+E28</f>
        <v>4862.2419</v>
      </c>
      <c r="F29" s="306">
        <f>ROUND(($B$24/0.6)*((1.6*E29/C29)-1),4)</f>
        <v>0.34889999999999999</v>
      </c>
      <c r="G29" s="309">
        <f t="shared" si="18"/>
        <v>1639.83</v>
      </c>
      <c r="H29" s="307">
        <f t="shared" ref="H29:H31" si="21">G29-G28</f>
        <v>1365.82</v>
      </c>
      <c r="I29" s="5" t="str">
        <f>IF(F29&gt;$B$24,"ERREUR","")</f>
        <v>ERREUR</v>
      </c>
    </row>
    <row r="30" spans="1:11" ht="21" hidden="1" customHeight="1" x14ac:dyDescent="0.25">
      <c r="A30" s="287" t="s">
        <v>193</v>
      </c>
      <c r="B30" s="304"/>
      <c r="C30" s="305">
        <f t="shared" si="19"/>
        <v>4700</v>
      </c>
      <c r="D30" s="298">
        <v>1603.12</v>
      </c>
      <c r="E30" s="304">
        <f t="shared" si="20"/>
        <v>6465.3618999999999</v>
      </c>
      <c r="F30" s="306">
        <f>ROUND(($B$24/0.6)*((1.6*E30/C30)-1),4)</f>
        <v>0.63949999999999996</v>
      </c>
      <c r="G30" s="305">
        <f t="shared" si="18"/>
        <v>3005.6499999999996</v>
      </c>
      <c r="H30" s="307">
        <f t="shared" si="21"/>
        <v>1365.8199999999997</v>
      </c>
      <c r="I30" s="5" t="str">
        <f>IF(F30&gt;$B$24,"ERREUR","")</f>
        <v>ERREUR</v>
      </c>
    </row>
    <row r="31" spans="1:11" ht="21" hidden="1" customHeight="1" x14ac:dyDescent="0.25">
      <c r="A31" s="287" t="s">
        <v>194</v>
      </c>
      <c r="B31" s="304"/>
      <c r="C31" s="305">
        <f t="shared" si="19"/>
        <v>4700</v>
      </c>
      <c r="D31" s="298">
        <v>1603.12</v>
      </c>
      <c r="E31" s="304">
        <f t="shared" si="20"/>
        <v>8068.4818999999998</v>
      </c>
      <c r="F31" s="306">
        <f>ROUND(($B$24/0.6)*((1.6*E31/C31)-1),4)</f>
        <v>0.93010000000000004</v>
      </c>
      <c r="G31" s="305">
        <f t="shared" si="18"/>
        <v>4371.47</v>
      </c>
      <c r="H31" s="307">
        <f t="shared" si="21"/>
        <v>1365.8200000000006</v>
      </c>
      <c r="I31" s="5" t="str">
        <f>IF(F31&gt;$B$24,"ERREUR","")</f>
        <v>ERREUR</v>
      </c>
    </row>
    <row r="33" spans="1:8" ht="23.25" x14ac:dyDescent="0.25">
      <c r="A33" s="282" t="s">
        <v>212</v>
      </c>
      <c r="B33" s="283"/>
      <c r="C33" s="283"/>
      <c r="D33" s="283"/>
      <c r="E33" s="283"/>
      <c r="F33" s="283"/>
    </row>
    <row r="35" spans="1:8" ht="18.75" x14ac:dyDescent="0.25">
      <c r="A35" s="284" t="s">
        <v>183</v>
      </c>
      <c r="D35" s="285">
        <v>3666</v>
      </c>
    </row>
    <row r="36" spans="1:8" ht="15.75" thickBot="1" x14ac:dyDescent="0.3"/>
    <row r="37" spans="1:8" ht="30" x14ac:dyDescent="0.25">
      <c r="A37" s="286" t="s">
        <v>158</v>
      </c>
      <c r="B37" s="230" t="s">
        <v>135</v>
      </c>
      <c r="C37" s="230" t="s">
        <v>184</v>
      </c>
      <c r="D37" s="230" t="s">
        <v>185</v>
      </c>
      <c r="E37" s="232" t="s">
        <v>186</v>
      </c>
      <c r="F37" s="230" t="s">
        <v>213</v>
      </c>
      <c r="G37" s="232" t="s">
        <v>214</v>
      </c>
      <c r="H37" s="233" t="s">
        <v>225</v>
      </c>
    </row>
    <row r="38" spans="1:8" ht="26.25" customHeight="1" x14ac:dyDescent="0.25">
      <c r="A38" s="287" t="s">
        <v>190</v>
      </c>
      <c r="B38" s="296">
        <f>+B17</f>
        <v>4063</v>
      </c>
      <c r="C38" s="296">
        <f>B38</f>
        <v>4063</v>
      </c>
      <c r="D38" s="289">
        <f>$D$35</f>
        <v>3666</v>
      </c>
      <c r="E38" s="310">
        <f>D38</f>
        <v>3666</v>
      </c>
      <c r="F38" s="311" t="str">
        <f>IF(E38&gt;C38,"","OUI")</f>
        <v>OUI</v>
      </c>
      <c r="G38" s="297">
        <f t="shared" ref="G38:G42" si="22">IF(C38&gt;E38,C38,0)</f>
        <v>4063</v>
      </c>
      <c r="H38" s="312">
        <f>G38</f>
        <v>4063</v>
      </c>
    </row>
    <row r="39" spans="1:8" ht="26.25" customHeight="1" x14ac:dyDescent="0.25">
      <c r="A39" s="287" t="s">
        <v>191</v>
      </c>
      <c r="B39" s="296">
        <f t="shared" ref="B39:B42" si="23">+B18</f>
        <v>4063</v>
      </c>
      <c r="C39" s="296">
        <f>C38+B39</f>
        <v>8126</v>
      </c>
      <c r="D39" s="289">
        <f t="shared" ref="D39:D41" si="24">$D$35</f>
        <v>3666</v>
      </c>
      <c r="E39" s="310">
        <f>E38+D39</f>
        <v>7332</v>
      </c>
      <c r="F39" s="311" t="str">
        <f t="shared" ref="F39:F42" si="25">IF(E39&gt;C39,"","OUI")</f>
        <v>OUI</v>
      </c>
      <c r="G39" s="297">
        <f t="shared" si="22"/>
        <v>8126</v>
      </c>
      <c r="H39" s="312">
        <f>G39-G38</f>
        <v>4063</v>
      </c>
    </row>
    <row r="40" spans="1:8" ht="26.25" customHeight="1" x14ac:dyDescent="0.25">
      <c r="A40" s="287" t="s">
        <v>192</v>
      </c>
      <c r="B40" s="296">
        <f t="shared" si="23"/>
        <v>4063</v>
      </c>
      <c r="C40" s="296">
        <f t="shared" ref="C40:C42" si="26">C39+B40</f>
        <v>12189</v>
      </c>
      <c r="D40" s="289">
        <f t="shared" si="24"/>
        <v>3666</v>
      </c>
      <c r="E40" s="310">
        <f t="shared" ref="E40:E42" si="27">E39+D40</f>
        <v>10998</v>
      </c>
      <c r="F40" s="311" t="str">
        <f t="shared" si="25"/>
        <v>OUI</v>
      </c>
      <c r="G40" s="297">
        <f t="shared" si="22"/>
        <v>12189</v>
      </c>
      <c r="H40" s="312">
        <f t="shared" ref="H40:H42" si="28">G40-G39</f>
        <v>4063</v>
      </c>
    </row>
    <row r="41" spans="1:8" ht="26.25" customHeight="1" x14ac:dyDescent="0.25">
      <c r="A41" s="287" t="s">
        <v>193</v>
      </c>
      <c r="B41" s="296">
        <f t="shared" si="23"/>
        <v>4063</v>
      </c>
      <c r="C41" s="296">
        <f t="shared" si="26"/>
        <v>16252</v>
      </c>
      <c r="D41" s="289">
        <f t="shared" si="24"/>
        <v>3666</v>
      </c>
      <c r="E41" s="310">
        <f t="shared" si="27"/>
        <v>14664</v>
      </c>
      <c r="F41" s="311" t="str">
        <f t="shared" si="25"/>
        <v>OUI</v>
      </c>
      <c r="G41" s="297">
        <f t="shared" si="22"/>
        <v>16252</v>
      </c>
      <c r="H41" s="312">
        <f t="shared" si="28"/>
        <v>4063</v>
      </c>
    </row>
    <row r="42" spans="1:8" ht="26.25" customHeight="1" thickBot="1" x14ac:dyDescent="0.3">
      <c r="A42" s="333" t="s">
        <v>194</v>
      </c>
      <c r="B42" s="334">
        <f t="shared" si="23"/>
        <v>4416.9318820779126</v>
      </c>
      <c r="C42" s="334">
        <f t="shared" si="26"/>
        <v>20668.931882077912</v>
      </c>
      <c r="D42" s="289">
        <f>$D$35</f>
        <v>3666</v>
      </c>
      <c r="E42" s="336">
        <f t="shared" si="27"/>
        <v>18330</v>
      </c>
      <c r="F42" s="337" t="str">
        <f t="shared" si="25"/>
        <v>OUI</v>
      </c>
      <c r="G42" s="338">
        <f t="shared" si="22"/>
        <v>20668.931882077912</v>
      </c>
      <c r="H42" s="339">
        <f t="shared" si="28"/>
        <v>4416.9318820779117</v>
      </c>
    </row>
  </sheetData>
  <mergeCells count="1">
    <mergeCell ref="A23:H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CD669-9E9B-4D80-ACDE-83AF3BBC49F1}">
  <dimension ref="A1:P174"/>
  <sheetViews>
    <sheetView topLeftCell="A41" zoomScaleNormal="100" workbookViewId="0">
      <selection activeCell="E162" sqref="E162"/>
    </sheetView>
  </sheetViews>
  <sheetFormatPr baseColWidth="10" defaultRowHeight="15" x14ac:dyDescent="0.25"/>
  <cols>
    <col min="1" max="1" width="11.42578125" style="8"/>
    <col min="2" max="2" width="80.85546875" style="8" bestFit="1" customWidth="1"/>
    <col min="3" max="3" width="15" style="8" bestFit="1" customWidth="1"/>
    <col min="4" max="4" width="17.140625" style="8" bestFit="1" customWidth="1"/>
    <col min="5" max="5" width="25.5703125" style="8" bestFit="1" customWidth="1"/>
    <col min="6" max="6" width="17.140625" style="8" customWidth="1"/>
    <col min="7" max="7" width="18.28515625" style="8" customWidth="1"/>
    <col min="8" max="8" width="11.42578125" style="8"/>
    <col min="9" max="9" width="52.140625" style="8" bestFit="1" customWidth="1"/>
    <col min="10" max="10" width="12.42578125" style="8" bestFit="1" customWidth="1"/>
    <col min="11" max="11" width="23" style="8" customWidth="1"/>
    <col min="12" max="12" width="11.42578125" style="8"/>
    <col min="13" max="13" width="12.140625" style="8" bestFit="1" customWidth="1"/>
    <col min="14" max="15" width="12" style="8" bestFit="1" customWidth="1"/>
    <col min="16" max="16384" width="11.42578125" style="8"/>
  </cols>
  <sheetData>
    <row r="1" spans="2:11" ht="23.25" thickBot="1" x14ac:dyDescent="0.3">
      <c r="B1" s="9" t="s">
        <v>34</v>
      </c>
      <c r="C1" s="10"/>
      <c r="D1" s="10"/>
      <c r="E1" s="10"/>
      <c r="F1" s="10"/>
      <c r="G1" s="11"/>
      <c r="I1" s="12" t="s">
        <v>35</v>
      </c>
    </row>
    <row r="2" spans="2:11" ht="15.75" thickBot="1" x14ac:dyDescent="0.3">
      <c r="B2" s="13" t="s">
        <v>36</v>
      </c>
      <c r="C2" s="14"/>
      <c r="D2" s="15"/>
      <c r="E2" s="16" t="s">
        <v>37</v>
      </c>
      <c r="F2" s="14"/>
      <c r="G2" s="15"/>
    </row>
    <row r="3" spans="2:11" x14ac:dyDescent="0.25">
      <c r="B3" s="17" t="s">
        <v>38</v>
      </c>
      <c r="C3" s="18"/>
      <c r="D3" s="19"/>
      <c r="E3" s="20" t="s">
        <v>38</v>
      </c>
      <c r="F3" s="21"/>
      <c r="G3" s="22"/>
      <c r="I3" s="16" t="s">
        <v>11</v>
      </c>
      <c r="J3" s="23">
        <v>4000</v>
      </c>
    </row>
    <row r="4" spans="2:11" x14ac:dyDescent="0.25">
      <c r="B4" s="17" t="s">
        <v>39</v>
      </c>
      <c r="C4" s="18"/>
      <c r="D4" s="19"/>
      <c r="E4" s="20" t="s">
        <v>40</v>
      </c>
      <c r="F4" s="21"/>
      <c r="G4" s="22"/>
      <c r="I4" s="20" t="s">
        <v>41</v>
      </c>
      <c r="J4" s="24">
        <v>151.66999999999999</v>
      </c>
    </row>
    <row r="5" spans="2:11" x14ac:dyDescent="0.25">
      <c r="B5" s="17" t="s">
        <v>42</v>
      </c>
      <c r="C5" s="18"/>
      <c r="D5" s="19"/>
      <c r="E5" s="20" t="s">
        <v>43</v>
      </c>
      <c r="F5" s="21"/>
      <c r="G5" s="22"/>
      <c r="I5" s="20" t="s">
        <v>44</v>
      </c>
      <c r="J5" s="22">
        <v>147</v>
      </c>
    </row>
    <row r="6" spans="2:11" x14ac:dyDescent="0.25">
      <c r="B6" s="17" t="s">
        <v>42</v>
      </c>
      <c r="C6" s="18"/>
      <c r="D6" s="19"/>
      <c r="E6" s="20" t="s">
        <v>45</v>
      </c>
      <c r="F6" s="21"/>
      <c r="G6" s="22"/>
      <c r="I6" s="25" t="s">
        <v>8</v>
      </c>
      <c r="J6" s="26">
        <v>5</v>
      </c>
    </row>
    <row r="7" spans="2:11" x14ac:dyDescent="0.25">
      <c r="B7" s="17" t="s">
        <v>46</v>
      </c>
      <c r="C7" s="18"/>
      <c r="D7" s="19"/>
      <c r="E7" s="20"/>
      <c r="F7" s="21"/>
      <c r="G7" s="22"/>
      <c r="I7" s="20" t="s">
        <v>47</v>
      </c>
      <c r="J7" s="27">
        <v>3.5999999999999997E-2</v>
      </c>
    </row>
    <row r="8" spans="2:11" x14ac:dyDescent="0.25">
      <c r="B8" s="17" t="s">
        <v>48</v>
      </c>
      <c r="C8" s="18"/>
      <c r="D8" s="19"/>
      <c r="E8" s="20" t="s">
        <v>49</v>
      </c>
      <c r="F8" s="21"/>
      <c r="G8" s="22"/>
      <c r="I8" s="28" t="s">
        <v>50</v>
      </c>
      <c r="J8" s="29"/>
      <c r="K8" s="30" t="s">
        <v>51</v>
      </c>
    </row>
    <row r="9" spans="2:11" x14ac:dyDescent="0.25">
      <c r="B9" s="17" t="s">
        <v>52</v>
      </c>
      <c r="C9" s="18"/>
      <c r="D9" s="19"/>
      <c r="E9" s="20" t="s">
        <v>53</v>
      </c>
      <c r="F9" s="31" t="s">
        <v>54</v>
      </c>
      <c r="G9" s="22"/>
      <c r="I9" s="20" t="s">
        <v>55</v>
      </c>
      <c r="J9" s="32">
        <v>11.52</v>
      </c>
    </row>
    <row r="10" spans="2:11" x14ac:dyDescent="0.25">
      <c r="B10" s="17" t="s">
        <v>56</v>
      </c>
      <c r="C10" s="18"/>
      <c r="D10" s="19"/>
      <c r="E10" s="20" t="s">
        <v>57</v>
      </c>
      <c r="F10" s="31"/>
      <c r="G10" s="22"/>
      <c r="I10" s="4" t="s">
        <v>0</v>
      </c>
      <c r="J10" s="389">
        <v>35</v>
      </c>
    </row>
    <row r="11" spans="2:11" x14ac:dyDescent="0.25">
      <c r="B11" s="17" t="s">
        <v>58</v>
      </c>
      <c r="C11" s="18"/>
      <c r="D11" s="19"/>
      <c r="E11" s="20" t="s">
        <v>59</v>
      </c>
      <c r="F11" s="31"/>
      <c r="G11" s="22"/>
      <c r="I11" s="20" t="s">
        <v>60</v>
      </c>
      <c r="J11" s="22"/>
    </row>
    <row r="12" spans="2:11" x14ac:dyDescent="0.25">
      <c r="B12" s="17" t="s">
        <v>61</v>
      </c>
      <c r="C12" s="18">
        <v>4</v>
      </c>
      <c r="D12" s="19"/>
      <c r="E12" s="20" t="s">
        <v>62</v>
      </c>
      <c r="F12" s="34"/>
      <c r="G12" s="35"/>
      <c r="I12" s="20" t="s">
        <v>234</v>
      </c>
      <c r="J12" s="390">
        <v>4</v>
      </c>
    </row>
    <row r="13" spans="2:11" x14ac:dyDescent="0.25">
      <c r="B13" s="17" t="s">
        <v>64</v>
      </c>
      <c r="C13" s="18"/>
      <c r="D13" s="19"/>
      <c r="E13" s="20" t="s">
        <v>65</v>
      </c>
      <c r="F13" s="36"/>
      <c r="G13" s="22"/>
      <c r="I13" s="20" t="s">
        <v>63</v>
      </c>
      <c r="J13" s="22">
        <v>4</v>
      </c>
    </row>
    <row r="14" spans="2:11" x14ac:dyDescent="0.25">
      <c r="B14" s="17"/>
      <c r="C14" s="18"/>
      <c r="D14" s="19"/>
      <c r="E14" s="20" t="s">
        <v>67</v>
      </c>
      <c r="F14" s="21"/>
      <c r="G14" s="22"/>
      <c r="I14" s="20" t="s">
        <v>66</v>
      </c>
      <c r="J14" s="22">
        <v>0.75</v>
      </c>
    </row>
    <row r="15" spans="2:11" x14ac:dyDescent="0.25">
      <c r="B15" s="20"/>
      <c r="C15" s="18"/>
      <c r="D15" s="19"/>
      <c r="E15" s="20"/>
      <c r="F15" s="21"/>
      <c r="G15" s="22"/>
      <c r="I15" s="20" t="s">
        <v>68</v>
      </c>
      <c r="J15" s="22"/>
    </row>
    <row r="16" spans="2:11" ht="15.75" thickBot="1" x14ac:dyDescent="0.3">
      <c r="B16" s="37"/>
      <c r="C16" s="38"/>
      <c r="D16" s="39"/>
      <c r="E16" s="37"/>
      <c r="F16" s="40"/>
      <c r="G16" s="41"/>
      <c r="I16" s="20" t="s">
        <v>69</v>
      </c>
      <c r="J16" s="22"/>
    </row>
    <row r="17" spans="2:16" ht="15.75" thickBot="1" x14ac:dyDescent="0.3">
      <c r="B17" s="42" t="s">
        <v>71</v>
      </c>
      <c r="C17" s="533"/>
      <c r="D17" s="534"/>
      <c r="E17" s="43" t="s">
        <v>72</v>
      </c>
      <c r="F17" s="533"/>
      <c r="G17" s="538"/>
      <c r="I17" s="25" t="s">
        <v>70</v>
      </c>
      <c r="J17" s="22" t="s">
        <v>223</v>
      </c>
    </row>
    <row r="18" spans="2:16" ht="20.25" customHeight="1" thickBot="1" x14ac:dyDescent="0.3">
      <c r="B18" s="45" t="s">
        <v>74</v>
      </c>
      <c r="C18" s="46"/>
      <c r="D18" s="46"/>
      <c r="E18" s="46"/>
      <c r="F18" s="46"/>
      <c r="G18" s="47"/>
      <c r="I18" s="25" t="s">
        <v>73</v>
      </c>
      <c r="J18" s="44">
        <f>'REGUL DUMONT'!G11</f>
        <v>3666</v>
      </c>
    </row>
    <row r="19" spans="2:16" ht="24" customHeight="1" thickBot="1" x14ac:dyDescent="0.3">
      <c r="B19" s="49" t="s">
        <v>74</v>
      </c>
      <c r="C19" s="50" t="s">
        <v>76</v>
      </c>
      <c r="D19" s="50" t="s">
        <v>77</v>
      </c>
      <c r="E19" s="51" t="s">
        <v>78</v>
      </c>
      <c r="F19" s="52"/>
      <c r="G19" s="52"/>
      <c r="I19" s="25" t="s">
        <v>75</v>
      </c>
      <c r="J19" s="48">
        <f>E37-J18</f>
        <v>750.93188207791263</v>
      </c>
    </row>
    <row r="20" spans="2:16" s="53" customFormat="1" x14ac:dyDescent="0.25">
      <c r="B20" s="16" t="s">
        <v>11</v>
      </c>
      <c r="C20" s="54"/>
      <c r="D20" s="55"/>
      <c r="E20" s="23">
        <f>J3</f>
        <v>4000</v>
      </c>
      <c r="F20" s="56"/>
      <c r="G20" s="57"/>
      <c r="H20" s="8"/>
      <c r="I20" s="20" t="s">
        <v>79</v>
      </c>
      <c r="J20" s="22">
        <v>0.31909999999999999</v>
      </c>
      <c r="K20" s="8"/>
      <c r="L20" s="8"/>
      <c r="M20" s="8"/>
      <c r="N20" s="8"/>
      <c r="O20" s="8"/>
      <c r="P20" s="8"/>
    </row>
    <row r="21" spans="2:16" s="53" customFormat="1" x14ac:dyDescent="0.25">
      <c r="B21" s="60"/>
      <c r="C21" s="61"/>
      <c r="D21" s="62"/>
      <c r="E21" s="63"/>
      <c r="F21" s="64"/>
      <c r="G21" s="65"/>
      <c r="I21" s="58" t="s">
        <v>80</v>
      </c>
      <c r="J21" s="59">
        <v>8.5000000000000006E-2</v>
      </c>
      <c r="K21" s="8"/>
      <c r="L21" s="8"/>
      <c r="M21" s="8"/>
      <c r="N21" s="8"/>
      <c r="O21" s="8"/>
      <c r="P21" s="8"/>
    </row>
    <row r="22" spans="2:16" s="53" customFormat="1" x14ac:dyDescent="0.25">
      <c r="B22" s="60" t="s">
        <v>82</v>
      </c>
      <c r="C22" s="61"/>
      <c r="D22" s="348">
        <f>E20/J5</f>
        <v>27.210884353741495</v>
      </c>
      <c r="E22" s="63">
        <f>D22*C22</f>
        <v>0</v>
      </c>
      <c r="F22" s="64"/>
      <c r="G22" s="65"/>
      <c r="I22" s="20" t="s">
        <v>81</v>
      </c>
      <c r="J22" s="69">
        <v>40</v>
      </c>
      <c r="K22" s="8"/>
      <c r="L22" s="8"/>
      <c r="M22" s="8"/>
      <c r="N22" s="8"/>
      <c r="O22" s="8"/>
      <c r="P22" s="8"/>
    </row>
    <row r="23" spans="2:16" s="53" customFormat="1" x14ac:dyDescent="0.25">
      <c r="B23" s="20" t="s">
        <v>234</v>
      </c>
      <c r="C23" s="351">
        <f>J12</f>
        <v>4</v>
      </c>
      <c r="D23" s="348">
        <f>E163</f>
        <v>29.34507888828697</v>
      </c>
      <c r="E23" s="63">
        <f>D23*C23</f>
        <v>117.38031555314788</v>
      </c>
      <c r="F23" s="64"/>
      <c r="G23" s="65"/>
      <c r="I23" s="20" t="s">
        <v>83</v>
      </c>
      <c r="J23" s="69">
        <v>44</v>
      </c>
      <c r="K23" s="8"/>
      <c r="L23" s="8"/>
      <c r="M23" s="8"/>
      <c r="N23" s="8"/>
      <c r="O23" s="8"/>
      <c r="P23" s="8"/>
    </row>
    <row r="24" spans="2:16" x14ac:dyDescent="0.25">
      <c r="B24" s="20" t="s">
        <v>63</v>
      </c>
      <c r="C24" s="351">
        <f>J13</f>
        <v>4</v>
      </c>
      <c r="D24" s="68">
        <f>E164</f>
        <v>33.346680554871554</v>
      </c>
      <c r="E24" s="69">
        <f>D24*C24</f>
        <v>133.38672221948622</v>
      </c>
      <c r="F24" s="70"/>
      <c r="G24" s="71"/>
      <c r="H24" s="317"/>
      <c r="I24" s="20" t="s">
        <v>84</v>
      </c>
      <c r="J24" s="67"/>
    </row>
    <row r="25" spans="2:16" ht="16.5" thickBot="1" x14ac:dyDescent="0.3">
      <c r="B25" s="20" t="s">
        <v>339</v>
      </c>
      <c r="C25" s="352">
        <f>J14</f>
        <v>0.75</v>
      </c>
      <c r="D25" s="68">
        <f>E165</f>
        <v>40.016016665845868</v>
      </c>
      <c r="E25" s="69">
        <f>D25*C25</f>
        <v>30.012012499384401</v>
      </c>
      <c r="F25" s="70"/>
      <c r="G25" s="73"/>
      <c r="I25" s="37" t="s">
        <v>85</v>
      </c>
      <c r="J25" s="72">
        <v>1.4999999999999999E-2</v>
      </c>
      <c r="K25" s="490"/>
    </row>
    <row r="26" spans="2:16" x14ac:dyDescent="0.25">
      <c r="B26" s="20" t="s">
        <v>68</v>
      </c>
      <c r="C26" s="352">
        <f>J15</f>
        <v>0</v>
      </c>
      <c r="D26" s="21">
        <f>IF($J$4&lt;151.67,$E$20/151.67*1.1,0)</f>
        <v>0</v>
      </c>
      <c r="E26" s="69">
        <f t="shared" ref="E26:E27" si="0">D26*C26</f>
        <v>0</v>
      </c>
      <c r="F26" s="70"/>
      <c r="G26" s="73"/>
      <c r="I26" s="4" t="s">
        <v>86</v>
      </c>
      <c r="J26" s="74">
        <v>0.03</v>
      </c>
    </row>
    <row r="27" spans="2:16" ht="15.75" thickBot="1" x14ac:dyDescent="0.3">
      <c r="B27" s="20" t="s">
        <v>69</v>
      </c>
      <c r="C27" s="352">
        <f>J16</f>
        <v>0</v>
      </c>
      <c r="D27" s="21">
        <f>IF($J$4&lt;151.67,$E$20/151.67*1.1,0)</f>
        <v>0</v>
      </c>
      <c r="E27" s="69">
        <f t="shared" si="0"/>
        <v>0</v>
      </c>
      <c r="F27" s="70"/>
      <c r="G27" s="73"/>
      <c r="I27" s="76" t="s">
        <v>224</v>
      </c>
      <c r="J27" s="77">
        <v>3000</v>
      </c>
    </row>
    <row r="28" spans="2:16" x14ac:dyDescent="0.25">
      <c r="B28" s="20" t="s">
        <v>235</v>
      </c>
      <c r="C28" s="352">
        <f>C127</f>
        <v>7</v>
      </c>
      <c r="D28" s="350">
        <f>E20/151.67*0.25</f>
        <v>6.5932616865563398</v>
      </c>
      <c r="E28" s="69">
        <f>D28*C28</f>
        <v>46.15283180589438</v>
      </c>
      <c r="F28" s="70"/>
      <c r="G28" s="73"/>
    </row>
    <row r="29" spans="2:16" ht="17.25" customHeight="1" x14ac:dyDescent="0.25">
      <c r="B29" s="20" t="s">
        <v>88</v>
      </c>
      <c r="C29" s="78"/>
      <c r="D29" s="21"/>
      <c r="E29" s="69"/>
      <c r="F29" s="79"/>
      <c r="G29" s="80"/>
      <c r="I29" s="81"/>
    </row>
    <row r="30" spans="2:16" x14ac:dyDescent="0.25">
      <c r="B30" s="20" t="s">
        <v>89</v>
      </c>
      <c r="C30" s="78"/>
      <c r="D30" s="21"/>
      <c r="E30" s="69"/>
      <c r="F30" s="79"/>
      <c r="G30" s="80"/>
    </row>
    <row r="31" spans="2:16" x14ac:dyDescent="0.25">
      <c r="B31" s="20"/>
      <c r="C31" s="82"/>
      <c r="D31" s="83"/>
      <c r="E31" s="84"/>
      <c r="F31" s="85"/>
      <c r="G31" s="86"/>
    </row>
    <row r="32" spans="2:16" ht="15.75" thickBot="1" x14ac:dyDescent="0.3">
      <c r="B32" s="87" t="s">
        <v>90</v>
      </c>
      <c r="C32" s="88"/>
      <c r="D32" s="89"/>
      <c r="E32" s="90">
        <f>-E139</f>
        <v>0</v>
      </c>
      <c r="F32" s="91"/>
      <c r="G32" s="92"/>
    </row>
    <row r="33" spans="2:7" x14ac:dyDescent="0.25">
      <c r="B33" s="93" t="s">
        <v>91</v>
      </c>
      <c r="C33" s="94"/>
      <c r="D33" s="95"/>
      <c r="E33" s="96">
        <f>-E158</f>
        <v>0</v>
      </c>
      <c r="F33" s="97"/>
      <c r="G33" s="98"/>
    </row>
    <row r="34" spans="2:7" x14ac:dyDescent="0.25">
      <c r="B34" s="87" t="s">
        <v>28</v>
      </c>
      <c r="C34" s="94"/>
      <c r="D34" s="95"/>
      <c r="E34" s="96">
        <f>E156</f>
        <v>0</v>
      </c>
      <c r="F34" s="97"/>
      <c r="G34" s="98"/>
    </row>
    <row r="35" spans="2:7" x14ac:dyDescent="0.25">
      <c r="B35" s="93"/>
      <c r="C35" s="94"/>
      <c r="D35" s="95"/>
      <c r="E35" s="96"/>
      <c r="F35" s="97"/>
      <c r="G35" s="98"/>
    </row>
    <row r="36" spans="2:7" ht="15.75" thickBot="1" x14ac:dyDescent="0.3">
      <c r="B36" s="99" t="s">
        <v>92</v>
      </c>
      <c r="C36" s="94">
        <f>J27</f>
        <v>3000</v>
      </c>
      <c r="D36" s="95">
        <f>J26</f>
        <v>0.03</v>
      </c>
      <c r="E36" s="100">
        <f>C36*D36</f>
        <v>90</v>
      </c>
      <c r="F36" s="97"/>
      <c r="G36" s="98"/>
    </row>
    <row r="37" spans="2:7" ht="15.75" thickTop="1" x14ac:dyDescent="0.25">
      <c r="B37" s="101" t="s">
        <v>93</v>
      </c>
      <c r="C37" s="102"/>
      <c r="D37" s="103"/>
      <c r="E37" s="104">
        <f>SUM(E20:E36)</f>
        <v>4416.9318820779126</v>
      </c>
      <c r="F37" s="97"/>
      <c r="G37" s="98"/>
    </row>
    <row r="38" spans="2:7" x14ac:dyDescent="0.25">
      <c r="B38" s="517" t="s">
        <v>338</v>
      </c>
      <c r="C38" s="518"/>
      <c r="D38" s="519"/>
      <c r="E38" s="520"/>
      <c r="F38" s="97"/>
      <c r="G38" s="98"/>
    </row>
    <row r="39" spans="2:7" ht="15.75" thickBot="1" x14ac:dyDescent="0.3">
      <c r="B39" s="517"/>
      <c r="C39" s="518"/>
      <c r="D39" s="519"/>
      <c r="E39" s="520"/>
      <c r="F39" s="97"/>
      <c r="G39" s="98"/>
    </row>
    <row r="40" spans="2:7" ht="15.75" thickBot="1" x14ac:dyDescent="0.3">
      <c r="B40" s="105"/>
      <c r="C40" s="106"/>
      <c r="D40" s="107"/>
      <c r="E40" s="107"/>
      <c r="F40" s="108"/>
      <c r="G40" s="109"/>
    </row>
    <row r="41" spans="2:7" ht="28.5" x14ac:dyDescent="0.25">
      <c r="B41" s="110" t="s">
        <v>94</v>
      </c>
      <c r="C41" s="111" t="s">
        <v>95</v>
      </c>
      <c r="D41" s="111" t="s">
        <v>96</v>
      </c>
      <c r="E41" s="111" t="s">
        <v>97</v>
      </c>
      <c r="F41" s="111" t="s">
        <v>96</v>
      </c>
      <c r="G41" s="112" t="s">
        <v>98</v>
      </c>
    </row>
    <row r="42" spans="2:7" x14ac:dyDescent="0.25">
      <c r="B42" s="113" t="s">
        <v>99</v>
      </c>
      <c r="C42" s="114"/>
      <c r="D42" s="115"/>
      <c r="E42" s="115"/>
      <c r="F42" s="116"/>
      <c r="G42" s="117"/>
    </row>
    <row r="43" spans="2:7" x14ac:dyDescent="0.25">
      <c r="B43" s="118" t="s">
        <v>100</v>
      </c>
      <c r="C43" s="94">
        <f>$E$37</f>
        <v>4416.9318820779126</v>
      </c>
      <c r="D43" s="119"/>
      <c r="E43" s="120"/>
      <c r="F43" s="121"/>
      <c r="G43" s="122">
        <f>+'REGUL LAMBERT'!K10</f>
        <v>309.1852317454539</v>
      </c>
    </row>
    <row r="44" spans="2:7" x14ac:dyDescent="0.25">
      <c r="B44" s="118" t="s">
        <v>101</v>
      </c>
      <c r="C44" s="94">
        <f>$J$18</f>
        <v>3666</v>
      </c>
      <c r="D44" s="123"/>
      <c r="E44" s="124"/>
      <c r="F44" s="125">
        <f>J25</f>
        <v>1.4999999999999999E-2</v>
      </c>
      <c r="G44" s="122">
        <f>F44*C44</f>
        <v>54.989999999999995</v>
      </c>
    </row>
    <row r="45" spans="2:7" x14ac:dyDescent="0.25">
      <c r="B45" s="118" t="s">
        <v>102</v>
      </c>
      <c r="C45" s="94">
        <f>$J$19</f>
        <v>750.93188207791263</v>
      </c>
      <c r="D45" s="123"/>
      <c r="E45" s="124"/>
      <c r="F45" s="125"/>
      <c r="G45" s="122">
        <f>F45*C45</f>
        <v>0</v>
      </c>
    </row>
    <row r="46" spans="2:7" x14ac:dyDescent="0.25">
      <c r="B46" s="118" t="s">
        <v>103</v>
      </c>
      <c r="C46" s="94"/>
      <c r="D46" s="123"/>
      <c r="E46" s="124">
        <v>20</v>
      </c>
      <c r="F46" s="125"/>
      <c r="G46" s="122">
        <v>22</v>
      </c>
    </row>
    <row r="47" spans="2:7" x14ac:dyDescent="0.25">
      <c r="B47" s="126" t="s">
        <v>104</v>
      </c>
      <c r="C47" s="94">
        <f>J18+J19</f>
        <v>4416.9318820779126</v>
      </c>
      <c r="E47" s="94"/>
      <c r="F47" s="127">
        <f>J7</f>
        <v>3.5999999999999997E-2</v>
      </c>
      <c r="G47" s="122">
        <f>F47*C47</f>
        <v>159.00954775480486</v>
      </c>
    </row>
    <row r="48" spans="2:7" x14ac:dyDescent="0.25">
      <c r="B48" s="113" t="s">
        <v>105</v>
      </c>
      <c r="C48" s="114"/>
      <c r="D48" s="115"/>
      <c r="E48" s="115"/>
      <c r="F48" s="116"/>
      <c r="G48" s="117"/>
    </row>
    <row r="49" spans="2:10" x14ac:dyDescent="0.25">
      <c r="B49" s="118" t="s">
        <v>106</v>
      </c>
      <c r="C49" s="94">
        <f>$J$18</f>
        <v>3666</v>
      </c>
      <c r="D49" s="123">
        <v>6.9000000000000006E-2</v>
      </c>
      <c r="E49" s="124">
        <f>D49*C49</f>
        <v>252.95400000000001</v>
      </c>
      <c r="F49" s="125">
        <v>8.5500000000000007E-2</v>
      </c>
      <c r="G49" s="122">
        <f>F49*C49</f>
        <v>313.44300000000004</v>
      </c>
    </row>
    <row r="50" spans="2:10" x14ac:dyDescent="0.25">
      <c r="B50" s="118" t="s">
        <v>107</v>
      </c>
      <c r="C50" s="94">
        <f>$E$37</f>
        <v>4416.9318820779126</v>
      </c>
      <c r="D50" s="123">
        <v>4.0000000000000001E-3</v>
      </c>
      <c r="E50" s="124">
        <f t="shared" ref="E50:E53" si="1">D50*C50</f>
        <v>17.667727528311651</v>
      </c>
      <c r="F50" s="125">
        <v>1.9E-2</v>
      </c>
      <c r="G50" s="122">
        <f t="shared" ref="G50:G53" si="2">F50*C50</f>
        <v>83.921705759480332</v>
      </c>
    </row>
    <row r="51" spans="2:10" x14ac:dyDescent="0.25">
      <c r="B51" s="118" t="s">
        <v>108</v>
      </c>
      <c r="C51" s="94">
        <f>$J$18</f>
        <v>3666</v>
      </c>
      <c r="D51" s="123">
        <v>4.0099999999999997E-2</v>
      </c>
      <c r="E51" s="124">
        <f t="shared" si="1"/>
        <v>147.00659999999999</v>
      </c>
      <c r="F51" s="125">
        <v>6.0100000000000001E-2</v>
      </c>
      <c r="G51" s="122">
        <f t="shared" si="2"/>
        <v>220.32660000000001</v>
      </c>
    </row>
    <row r="52" spans="2:10" x14ac:dyDescent="0.25">
      <c r="B52" s="118" t="s">
        <v>109</v>
      </c>
      <c r="C52" s="94">
        <f>+J19</f>
        <v>750.93188207791263</v>
      </c>
      <c r="D52" s="123">
        <v>9.7199999999999995E-2</v>
      </c>
      <c r="E52" s="124">
        <f t="shared" si="1"/>
        <v>72.990578937973098</v>
      </c>
      <c r="F52" s="125">
        <v>0.1457</v>
      </c>
      <c r="G52" s="122">
        <f t="shared" si="2"/>
        <v>109.41077521875187</v>
      </c>
    </row>
    <row r="53" spans="2:10" x14ac:dyDescent="0.25">
      <c r="B53" s="118" t="s">
        <v>110</v>
      </c>
      <c r="C53" s="94">
        <f>+'REGUL LAMBERT'!H42</f>
        <v>4416.9318820779117</v>
      </c>
      <c r="D53" s="123">
        <v>1.4E-3</v>
      </c>
      <c r="E53" s="124">
        <f t="shared" si="1"/>
        <v>6.1837046349090761</v>
      </c>
      <c r="F53" s="125">
        <v>2.0999999999999999E-3</v>
      </c>
      <c r="G53" s="122">
        <f t="shared" si="2"/>
        <v>9.2755569523636137</v>
      </c>
      <c r="I53" s="317"/>
    </row>
    <row r="54" spans="2:10" x14ac:dyDescent="0.25">
      <c r="B54" s="118" t="s">
        <v>111</v>
      </c>
      <c r="C54" s="94"/>
      <c r="D54" s="123"/>
      <c r="E54" s="124"/>
      <c r="F54" s="125"/>
      <c r="G54" s="122"/>
      <c r="I54" s="370"/>
    </row>
    <row r="55" spans="2:10" x14ac:dyDescent="0.25">
      <c r="B55" s="113" t="s">
        <v>112</v>
      </c>
      <c r="C55" s="94">
        <f>$E$37</f>
        <v>4416.9318820779126</v>
      </c>
      <c r="D55" s="128"/>
      <c r="E55" s="94"/>
      <c r="F55" s="125"/>
      <c r="G55" s="129">
        <f>+'REGUL LAMBERT'!K21</f>
        <v>152.384149931688</v>
      </c>
    </row>
    <row r="56" spans="2:10" x14ac:dyDescent="0.25">
      <c r="B56" s="113" t="s">
        <v>113</v>
      </c>
      <c r="C56" s="94"/>
      <c r="D56" s="128"/>
      <c r="E56" s="94"/>
      <c r="F56" s="130"/>
      <c r="G56" s="122"/>
    </row>
    <row r="57" spans="2:10" x14ac:dyDescent="0.25">
      <c r="B57" s="118" t="s">
        <v>114</v>
      </c>
      <c r="C57" s="94">
        <f>+E37</f>
        <v>4416.9318820779126</v>
      </c>
      <c r="D57" s="128"/>
      <c r="E57" s="94"/>
      <c r="F57" s="131">
        <v>4.2000000000000003E-2</v>
      </c>
      <c r="G57" s="122">
        <f t="shared" ref="G57" si="3">F57*C57</f>
        <v>185.51113904727234</v>
      </c>
    </row>
    <row r="58" spans="2:10" x14ac:dyDescent="0.25">
      <c r="B58" s="118" t="s">
        <v>115</v>
      </c>
      <c r="C58" s="94">
        <f>+E37</f>
        <v>4416.9318820779126</v>
      </c>
      <c r="D58" s="132">
        <v>2.4000000000000001E-4</v>
      </c>
      <c r="E58" s="133">
        <f>D58*C58</f>
        <v>1.060063651698699</v>
      </c>
      <c r="F58" s="130">
        <v>3.6000000000000002E-4</v>
      </c>
      <c r="G58" s="134">
        <f>C58*F58</f>
        <v>1.5900954775480487</v>
      </c>
    </row>
    <row r="59" spans="2:10" x14ac:dyDescent="0.25">
      <c r="B59" s="113" t="s">
        <v>116</v>
      </c>
      <c r="C59" s="94"/>
      <c r="D59" s="128"/>
      <c r="E59" s="94"/>
      <c r="F59" s="130"/>
      <c r="G59" s="122">
        <f>E105</f>
        <v>71.951766896924539</v>
      </c>
    </row>
    <row r="60" spans="2:10" x14ac:dyDescent="0.25">
      <c r="B60" s="126"/>
      <c r="C60" s="94"/>
      <c r="D60" s="94"/>
      <c r="E60" s="94"/>
      <c r="F60" s="94"/>
      <c r="G60" s="135"/>
    </row>
    <row r="61" spans="2:10" ht="24.75" customHeight="1" thickBot="1" x14ac:dyDescent="0.3">
      <c r="B61" s="136" t="s">
        <v>117</v>
      </c>
      <c r="C61" s="94"/>
      <c r="D61" s="94"/>
      <c r="E61" s="94"/>
      <c r="F61" s="94"/>
      <c r="G61" s="135"/>
    </row>
    <row r="62" spans="2:10" x14ac:dyDescent="0.25">
      <c r="B62" s="126"/>
      <c r="C62" s="94"/>
      <c r="D62" s="132"/>
      <c r="E62" s="94"/>
      <c r="F62" s="137"/>
      <c r="G62" s="122"/>
      <c r="I62" s="16" t="s">
        <v>236</v>
      </c>
      <c r="J62" s="432">
        <f>SUM(E49:E53)</f>
        <v>496.80261110119386</v>
      </c>
    </row>
    <row r="63" spans="2:10" x14ac:dyDescent="0.25">
      <c r="B63" s="126" t="s">
        <v>118</v>
      </c>
      <c r="C63" s="94">
        <f>+E174</f>
        <v>4140.7601572492913</v>
      </c>
      <c r="D63" s="123">
        <v>6.8000000000000005E-2</v>
      </c>
      <c r="E63" s="124">
        <f>D63*C63</f>
        <v>281.57169069295185</v>
      </c>
      <c r="F63" s="125"/>
      <c r="G63" s="122"/>
      <c r="I63" s="20" t="s">
        <v>336</v>
      </c>
      <c r="J63" s="477">
        <f>J62/E37</f>
        <v>0.11247685596352841</v>
      </c>
    </row>
    <row r="64" spans="2:10" ht="15.75" thickBot="1" x14ac:dyDescent="0.3">
      <c r="B64" s="126" t="s">
        <v>119</v>
      </c>
      <c r="C64" s="94">
        <f>+C63</f>
        <v>4140.7601572492913</v>
      </c>
      <c r="D64" s="123">
        <v>2.9000000000000001E-2</v>
      </c>
      <c r="E64" s="124">
        <f>D64*C64</f>
        <v>120.08204456022945</v>
      </c>
      <c r="F64" s="125"/>
      <c r="G64" s="122"/>
      <c r="I64" s="510" t="s">
        <v>237</v>
      </c>
      <c r="J64" s="41"/>
    </row>
    <row r="65" spans="2:10" ht="35.25" customHeight="1" x14ac:dyDescent="0.25">
      <c r="B65" s="138" t="s">
        <v>120</v>
      </c>
      <c r="C65" s="94">
        <f>(E23+E24+E25)*0.9825</f>
        <v>275.86541689225817</v>
      </c>
      <c r="D65" s="123">
        <v>9.7000000000000003E-2</v>
      </c>
      <c r="E65" s="124">
        <f>D65*C65</f>
        <v>26.758945438549041</v>
      </c>
      <c r="F65" s="125"/>
      <c r="G65" s="122"/>
    </row>
    <row r="66" spans="2:10" ht="24.75" customHeight="1" x14ac:dyDescent="0.25">
      <c r="B66" s="371" t="s">
        <v>251</v>
      </c>
      <c r="C66" s="123"/>
      <c r="D66" s="123"/>
      <c r="E66" s="124"/>
      <c r="F66" s="125"/>
      <c r="G66" s="135"/>
    </row>
    <row r="67" spans="2:10" ht="21" customHeight="1" x14ac:dyDescent="0.25">
      <c r="B67" s="371" t="s">
        <v>251</v>
      </c>
      <c r="C67" s="139">
        <f>E23+E24+E25</f>
        <v>280.77905027201848</v>
      </c>
      <c r="D67" s="123">
        <f>-J63</f>
        <v>-0.11247685596352841</v>
      </c>
      <c r="E67" s="124">
        <f>D67*C67</f>
        <v>-31.581144795022126</v>
      </c>
      <c r="F67" s="125"/>
      <c r="G67" s="122"/>
    </row>
    <row r="68" spans="2:10" ht="15.75" thickBot="1" x14ac:dyDescent="0.3">
      <c r="B68" s="140" t="s">
        <v>123</v>
      </c>
      <c r="C68" s="353">
        <f>IF(AND(J4=151.67,J6&lt;20),C24+C25,0)+C23</f>
        <v>8.75</v>
      </c>
      <c r="D68" s="142"/>
      <c r="E68" s="143"/>
      <c r="F68" s="144">
        <v>-1.5</v>
      </c>
      <c r="G68" s="145">
        <f>F68*C68</f>
        <v>-13.125</v>
      </c>
    </row>
    <row r="69" spans="2:10" ht="15.75" thickBot="1" x14ac:dyDescent="0.3">
      <c r="B69" s="146" t="s">
        <v>124</v>
      </c>
      <c r="C69" s="147"/>
      <c r="D69" s="148"/>
      <c r="E69" s="149">
        <f>SUM(E43:E68)</f>
        <v>914.69421064960068</v>
      </c>
      <c r="F69" s="150"/>
      <c r="G69" s="151">
        <f>SUM(G43:G68)</f>
        <v>1679.8745687842875</v>
      </c>
    </row>
    <row r="70" spans="2:10" ht="15.75" thickBot="1" x14ac:dyDescent="0.3">
      <c r="B70" s="152"/>
      <c r="C70" s="153"/>
      <c r="D70" s="154"/>
      <c r="E70" s="155"/>
      <c r="F70" s="156"/>
      <c r="G70" s="157"/>
    </row>
    <row r="71" spans="2:10" x14ac:dyDescent="0.25">
      <c r="B71" s="118" t="s">
        <v>125</v>
      </c>
      <c r="C71" s="124"/>
      <c r="D71" s="158"/>
      <c r="E71" s="159"/>
      <c r="F71" s="160"/>
      <c r="G71" s="161"/>
      <c r="I71" s="16" t="s">
        <v>11</v>
      </c>
      <c r="J71" s="23">
        <v>4000</v>
      </c>
    </row>
    <row r="72" spans="2:10" x14ac:dyDescent="0.25">
      <c r="B72" s="118" t="s">
        <v>126</v>
      </c>
      <c r="C72" s="124"/>
      <c r="D72" s="158"/>
      <c r="E72" s="159"/>
      <c r="F72" s="160"/>
      <c r="G72" s="161"/>
      <c r="I72" s="20" t="s">
        <v>264</v>
      </c>
      <c r="J72" s="319">
        <f>E28</f>
        <v>46.15283180589438</v>
      </c>
    </row>
    <row r="73" spans="2:10" x14ac:dyDescent="0.25">
      <c r="B73" s="118" t="s">
        <v>127</v>
      </c>
      <c r="C73" s="124"/>
      <c r="D73" s="158"/>
      <c r="E73" s="124"/>
      <c r="F73" s="160"/>
      <c r="G73" s="161"/>
      <c r="I73" s="20" t="s">
        <v>265</v>
      </c>
      <c r="J73" s="319">
        <f>E36</f>
        <v>90</v>
      </c>
    </row>
    <row r="74" spans="2:10" ht="15.75" customHeight="1" x14ac:dyDescent="0.25">
      <c r="B74" s="162" t="s">
        <v>128</v>
      </c>
      <c r="C74" s="349">
        <v>18</v>
      </c>
      <c r="D74" s="158">
        <f>7*0.4</f>
        <v>2.8000000000000003</v>
      </c>
      <c r="E74" s="163">
        <f>-D74*C74</f>
        <v>-50.400000000000006</v>
      </c>
      <c r="F74" s="160"/>
      <c r="G74" s="161"/>
      <c r="I74" s="20" t="s">
        <v>266</v>
      </c>
      <c r="J74" s="319">
        <f>G46</f>
        <v>22</v>
      </c>
    </row>
    <row r="75" spans="2:10" x14ac:dyDescent="0.25">
      <c r="B75" s="164" t="s">
        <v>129</v>
      </c>
      <c r="D75" s="165"/>
      <c r="E75" s="166"/>
      <c r="F75" s="167"/>
      <c r="G75" s="161"/>
      <c r="I75" s="20" t="s">
        <v>267</v>
      </c>
      <c r="J75" s="319">
        <f>+E64</f>
        <v>120.08204456022945</v>
      </c>
    </row>
    <row r="76" spans="2:10" x14ac:dyDescent="0.25">
      <c r="B76" s="168" t="s">
        <v>217</v>
      </c>
      <c r="C76" s="124"/>
      <c r="D76" s="158"/>
      <c r="E76" s="169"/>
      <c r="F76" s="160"/>
      <c r="G76" s="161"/>
      <c r="I76" s="20" t="s">
        <v>268</v>
      </c>
      <c r="J76" s="319">
        <f>E65</f>
        <v>26.758945438549041</v>
      </c>
    </row>
    <row r="77" spans="2:10" ht="15.75" thickBot="1" x14ac:dyDescent="0.3">
      <c r="B77" s="140"/>
      <c r="C77" s="143"/>
      <c r="D77" s="170"/>
      <c r="E77" s="171"/>
      <c r="F77" s="172"/>
      <c r="G77" s="145"/>
      <c r="I77" s="20" t="s">
        <v>10</v>
      </c>
      <c r="J77" s="319">
        <f>-E69</f>
        <v>-914.69421064960068</v>
      </c>
    </row>
    <row r="78" spans="2:10" ht="15.75" thickBot="1" x14ac:dyDescent="0.3">
      <c r="B78" s="173" t="s">
        <v>130</v>
      </c>
      <c r="C78" s="147"/>
      <c r="D78" s="148"/>
      <c r="E78" s="149"/>
      <c r="F78" s="150"/>
      <c r="G78" s="174">
        <f>E37-E69+E71+E72+E73+E74+E75+E76+E77</f>
        <v>3451.8376714283118</v>
      </c>
      <c r="I78" s="37" t="s">
        <v>269</v>
      </c>
      <c r="J78" s="320">
        <f>SUM(J71:J77)</f>
        <v>3390.2996111550719</v>
      </c>
    </row>
    <row r="79" spans="2:10" ht="28.5" x14ac:dyDescent="0.25">
      <c r="B79" s="175" t="s">
        <v>131</v>
      </c>
      <c r="C79" s="176"/>
      <c r="D79" s="177"/>
      <c r="E79" s="178"/>
      <c r="F79" s="179"/>
      <c r="G79" s="180">
        <f>E112</f>
        <v>64.05071952504791</v>
      </c>
    </row>
    <row r="80" spans="2:10" x14ac:dyDescent="0.25">
      <c r="B80" s="372" t="s">
        <v>132</v>
      </c>
      <c r="C80" s="372" t="s">
        <v>133</v>
      </c>
      <c r="D80" s="372" t="s">
        <v>96</v>
      </c>
      <c r="E80" s="373" t="s">
        <v>134</v>
      </c>
      <c r="F80" s="373"/>
      <c r="G80" s="374" t="s">
        <v>252</v>
      </c>
    </row>
    <row r="81" spans="1:9" x14ac:dyDescent="0.25">
      <c r="B81" s="375" t="s">
        <v>253</v>
      </c>
      <c r="C81" s="376"/>
      <c r="D81" s="377"/>
      <c r="E81" s="378">
        <f>E20+E28+E36+G46+E64+E65-E69</f>
        <v>3390.2996111550719</v>
      </c>
      <c r="F81" s="379"/>
      <c r="G81" s="380"/>
      <c r="H81" s="317"/>
    </row>
    <row r="82" spans="1:9" x14ac:dyDescent="0.25">
      <c r="B82" s="375" t="s">
        <v>254</v>
      </c>
      <c r="C82" s="381">
        <f>E81</f>
        <v>3390.2996111550719</v>
      </c>
      <c r="D82" s="382">
        <v>8.5000000000000006E-2</v>
      </c>
      <c r="E82" s="378">
        <f>D82*C82</f>
        <v>288.17546694818111</v>
      </c>
      <c r="F82" s="379"/>
      <c r="G82" s="380"/>
    </row>
    <row r="83" spans="1:9" x14ac:dyDescent="0.25">
      <c r="B83" s="375" t="s">
        <v>255</v>
      </c>
      <c r="C83" s="376"/>
      <c r="D83" s="378"/>
      <c r="E83" s="377"/>
      <c r="F83" s="379"/>
      <c r="G83" s="380"/>
    </row>
    <row r="84" spans="1:9" x14ac:dyDescent="0.25">
      <c r="B84" s="375"/>
      <c r="C84" s="376"/>
      <c r="D84" s="377"/>
      <c r="E84" s="377"/>
      <c r="F84" s="379"/>
      <c r="G84" s="383"/>
    </row>
    <row r="85" spans="1:9" x14ac:dyDescent="0.25">
      <c r="B85" s="384" t="s">
        <v>256</v>
      </c>
      <c r="C85" s="377"/>
      <c r="D85" s="377"/>
      <c r="E85" s="378">
        <f>G78-E82</f>
        <v>3163.6622044801306</v>
      </c>
      <c r="F85" s="379"/>
      <c r="G85" s="380"/>
    </row>
    <row r="86" spans="1:9" x14ac:dyDescent="0.25">
      <c r="B86" s="375" t="s">
        <v>257</v>
      </c>
      <c r="C86" s="377"/>
      <c r="D86" s="377"/>
      <c r="E86" s="378">
        <f>E120</f>
        <v>357.64568680207719</v>
      </c>
      <c r="F86" s="379"/>
      <c r="G86" s="380"/>
    </row>
    <row r="87" spans="1:9" x14ac:dyDescent="0.25">
      <c r="B87" s="375" t="s">
        <v>258</v>
      </c>
      <c r="C87" s="385"/>
      <c r="D87" s="377"/>
      <c r="E87" s="378">
        <f>E37+G69</f>
        <v>6096.8064508622001</v>
      </c>
      <c r="F87" s="379"/>
      <c r="G87" s="380"/>
      <c r="I87" s="317">
        <f>C88-K41</f>
        <v>0</v>
      </c>
    </row>
    <row r="88" spans="1:9" ht="15.75" thickBot="1" x14ac:dyDescent="0.3">
      <c r="A88" s="391"/>
      <c r="B88" s="392" t="s">
        <v>137</v>
      </c>
      <c r="C88" s="184"/>
      <c r="D88" s="184"/>
      <c r="E88" s="184"/>
      <c r="F88" s="387"/>
      <c r="G88" s="388"/>
    </row>
    <row r="89" spans="1:9" ht="15.75" thickBot="1" x14ac:dyDescent="0.3">
      <c r="B89" s="182" t="s">
        <v>137</v>
      </c>
      <c r="C89" s="183"/>
      <c r="D89" s="183"/>
      <c r="E89" s="184"/>
      <c r="F89" s="184"/>
      <c r="G89" s="185"/>
    </row>
    <row r="92" spans="1:9" s="186" customFormat="1" ht="15.75" thickBot="1" x14ac:dyDescent="0.3">
      <c r="B92" s="539" t="s">
        <v>116</v>
      </c>
      <c r="C92" s="540"/>
      <c r="D92" s="8"/>
      <c r="E92" s="8"/>
    </row>
    <row r="93" spans="1:9" s="186" customFormat="1" x14ac:dyDescent="0.25">
      <c r="B93" s="187"/>
      <c r="C93" s="188"/>
      <c r="D93" s="541">
        <f>+E37</f>
        <v>4416.9318820779126</v>
      </c>
      <c r="E93" s="189"/>
    </row>
    <row r="94" spans="1:9" s="186" customFormat="1" x14ac:dyDescent="0.25">
      <c r="B94" s="190" t="s">
        <v>138</v>
      </c>
      <c r="C94" s="191">
        <f>IF(J6&gt;=11,J8,0)</f>
        <v>0</v>
      </c>
      <c r="D94" s="542"/>
      <c r="E94" s="192">
        <f>C94*$D$93</f>
        <v>0</v>
      </c>
    </row>
    <row r="95" spans="1:9" s="186" customFormat="1" x14ac:dyDescent="0.25">
      <c r="B95" s="190" t="s">
        <v>139</v>
      </c>
      <c r="C95" s="191">
        <f>IF(J6&lt;50,0%,0.5%)</f>
        <v>0</v>
      </c>
      <c r="D95" s="542"/>
      <c r="E95" s="192">
        <f t="shared" ref="E95:E100" si="4">C95*$D$93</f>
        <v>0</v>
      </c>
    </row>
    <row r="96" spans="1:9" s="186" customFormat="1" x14ac:dyDescent="0.25">
      <c r="B96" s="190" t="s">
        <v>140</v>
      </c>
      <c r="C96" s="191">
        <v>1.6000000000000001E-4</v>
      </c>
      <c r="D96" s="542"/>
      <c r="E96" s="192">
        <f t="shared" si="4"/>
        <v>0.7067091011324661</v>
      </c>
    </row>
    <row r="97" spans="2:5" s="186" customFormat="1" x14ac:dyDescent="0.25">
      <c r="B97" s="190" t="s">
        <v>141</v>
      </c>
      <c r="C97" s="191">
        <v>3.0000000000000001E-3</v>
      </c>
      <c r="D97" s="542"/>
      <c r="E97" s="192">
        <f t="shared" si="4"/>
        <v>13.250795646233739</v>
      </c>
    </row>
    <row r="98" spans="2:5" s="186" customFormat="1" x14ac:dyDescent="0.25">
      <c r="B98" s="190" t="s">
        <v>142</v>
      </c>
      <c r="C98" s="191">
        <v>6.7999999999999996E-3</v>
      </c>
      <c r="D98" s="542"/>
      <c r="E98" s="192">
        <f t="shared" si="4"/>
        <v>30.035136798129805</v>
      </c>
    </row>
    <row r="99" spans="2:5" s="186" customFormat="1" x14ac:dyDescent="0.25">
      <c r="B99" s="190" t="s">
        <v>143</v>
      </c>
      <c r="C99" s="191">
        <f>IF(J6&lt;11,0.55%,1%)</f>
        <v>5.5000000000000005E-3</v>
      </c>
      <c r="D99" s="542"/>
      <c r="E99" s="192">
        <f t="shared" si="4"/>
        <v>24.293125351428522</v>
      </c>
    </row>
    <row r="100" spans="2:5" s="186" customFormat="1" x14ac:dyDescent="0.25">
      <c r="B100" s="190"/>
      <c r="C100" s="191">
        <f>IF(J6&lt;=50,0,0.45%)</f>
        <v>0</v>
      </c>
      <c r="D100" s="542"/>
      <c r="E100" s="192">
        <f t="shared" si="4"/>
        <v>0</v>
      </c>
    </row>
    <row r="101" spans="2:5" s="186" customFormat="1" x14ac:dyDescent="0.25">
      <c r="B101" s="20"/>
      <c r="C101" s="21"/>
      <c r="D101" s="21"/>
      <c r="E101" s="22"/>
    </row>
    <row r="102" spans="2:5" s="186" customFormat="1" x14ac:dyDescent="0.25">
      <c r="B102" s="20" t="s">
        <v>144</v>
      </c>
      <c r="C102" s="193">
        <f>IF(J6&gt;=11,+G44+G45+G46,0)</f>
        <v>0</v>
      </c>
      <c r="D102" s="194">
        <v>0.08</v>
      </c>
      <c r="E102" s="195">
        <f>D102*C102</f>
        <v>0</v>
      </c>
    </row>
    <row r="103" spans="2:5" s="186" customFormat="1" ht="15.75" thickBot="1" x14ac:dyDescent="0.3">
      <c r="B103" s="37" t="s">
        <v>145</v>
      </c>
      <c r="C103" s="196">
        <f>IF(J6&lt;50,J18,0)</f>
        <v>3666</v>
      </c>
      <c r="D103" s="197">
        <v>1E-3</v>
      </c>
      <c r="E103" s="198">
        <f>D103*C103</f>
        <v>3.6659999999999999</v>
      </c>
    </row>
    <row r="104" spans="2:5" s="186" customFormat="1" ht="15.75" thickBot="1" x14ac:dyDescent="0.3">
      <c r="B104" s="8"/>
      <c r="C104" s="8"/>
      <c r="D104" s="8"/>
      <c r="E104" s="8"/>
    </row>
    <row r="105" spans="2:5" s="186" customFormat="1" ht="15.75" thickBot="1" x14ac:dyDescent="0.3">
      <c r="B105" s="199" t="s">
        <v>146</v>
      </c>
      <c r="C105" s="200"/>
      <c r="D105" s="200"/>
      <c r="E105" s="201">
        <f>SUM(E94:E103)</f>
        <v>71.951766896924539</v>
      </c>
    </row>
    <row r="106" spans="2:5" s="186" customFormat="1" ht="15.75" thickBot="1" x14ac:dyDescent="0.3">
      <c r="B106" s="8"/>
      <c r="C106" s="8"/>
      <c r="D106" s="8"/>
      <c r="E106" s="8"/>
    </row>
    <row r="107" spans="2:5" s="186" customFormat="1" thickBot="1" x14ac:dyDescent="0.3">
      <c r="B107" s="529" t="s">
        <v>147</v>
      </c>
      <c r="C107" s="530"/>
      <c r="D107" s="530"/>
      <c r="E107" s="531"/>
    </row>
    <row r="108" spans="2:5" s="186" customFormat="1" x14ac:dyDescent="0.25">
      <c r="B108" s="202" t="s">
        <v>148</v>
      </c>
      <c r="C108" s="203">
        <f>C109</f>
        <v>4416.9318820779126</v>
      </c>
      <c r="D108" s="204">
        <v>2.4E-2</v>
      </c>
      <c r="E108" s="205">
        <f>D108*C108</f>
        <v>106.00636516986991</v>
      </c>
    </row>
    <row r="109" spans="2:5" s="186" customFormat="1" x14ac:dyDescent="0.25">
      <c r="B109" s="206" t="s">
        <v>17</v>
      </c>
      <c r="C109" s="203">
        <f>E37</f>
        <v>4416.9318820779126</v>
      </c>
      <c r="D109" s="207">
        <v>7.4999999999999997E-3</v>
      </c>
      <c r="E109" s="208">
        <f t="shared" ref="E109:E110" si="5">D109*C109</f>
        <v>33.126989115584344</v>
      </c>
    </row>
    <row r="110" spans="2:5" s="186" customFormat="1" x14ac:dyDescent="0.25">
      <c r="B110" s="206" t="s">
        <v>149</v>
      </c>
      <c r="C110" s="203">
        <f>C63+C65</f>
        <v>4416.6255741415498</v>
      </c>
      <c r="D110" s="207">
        <v>-1.7000000000000001E-2</v>
      </c>
      <c r="E110" s="208">
        <f t="shared" si="5"/>
        <v>-75.08263476040635</v>
      </c>
    </row>
    <row r="111" spans="2:5" s="186" customFormat="1" x14ac:dyDescent="0.25">
      <c r="B111" s="181"/>
      <c r="C111" s="209"/>
      <c r="D111" s="210"/>
      <c r="E111" s="211"/>
    </row>
    <row r="112" spans="2:5" s="186" customFormat="1" ht="15.75" thickBot="1" x14ac:dyDescent="0.3">
      <c r="B112" s="212" t="s">
        <v>150</v>
      </c>
      <c r="C112" s="213"/>
      <c r="D112" s="214"/>
      <c r="E112" s="215">
        <f>SUM(E108:E111)</f>
        <v>64.05071952504791</v>
      </c>
    </row>
    <row r="113" spans="2:14" s="186" customFormat="1" ht="12.75" x14ac:dyDescent="0.25"/>
    <row r="114" spans="2:14" s="186" customFormat="1" ht="13.5" thickBot="1" x14ac:dyDescent="0.3"/>
    <row r="115" spans="2:14" s="186" customFormat="1" thickBot="1" x14ac:dyDescent="0.3">
      <c r="B115" s="529" t="s">
        <v>151</v>
      </c>
      <c r="C115" s="530"/>
      <c r="D115" s="530"/>
      <c r="E115" s="531"/>
    </row>
    <row r="116" spans="2:14" s="186" customFormat="1" ht="15.75" customHeight="1" x14ac:dyDescent="0.25">
      <c r="B116" s="216" t="s">
        <v>152</v>
      </c>
      <c r="C116" s="217"/>
      <c r="D116" s="217"/>
      <c r="E116" s="218"/>
    </row>
    <row r="117" spans="2:14" s="186" customFormat="1" ht="15.75" customHeight="1" x14ac:dyDescent="0.25">
      <c r="B117" s="219" t="s">
        <v>335</v>
      </c>
      <c r="C117" s="408"/>
      <c r="D117" s="409"/>
      <c r="E117" s="222">
        <f>-G68</f>
        <v>13.125</v>
      </c>
    </row>
    <row r="118" spans="2:14" s="186" customFormat="1" ht="15.75" customHeight="1" x14ac:dyDescent="0.25">
      <c r="B118" s="219" t="s">
        <v>154</v>
      </c>
      <c r="C118" s="223">
        <f>E37</f>
        <v>4416.9318820779126</v>
      </c>
      <c r="D118" s="207">
        <v>1.7999999999999999E-2</v>
      </c>
      <c r="E118" s="222">
        <f>D118*C118</f>
        <v>79.504773877402428</v>
      </c>
    </row>
    <row r="119" spans="2:14" s="186" customFormat="1" ht="15.75" customHeight="1" x14ac:dyDescent="0.25">
      <c r="B119" s="219" t="s">
        <v>155</v>
      </c>
      <c r="C119" s="223">
        <f>C118</f>
        <v>4416.9318820779126</v>
      </c>
      <c r="D119" s="207">
        <v>0.06</v>
      </c>
      <c r="E119" s="222">
        <f>D119*C119</f>
        <v>265.01591292467475</v>
      </c>
      <c r="F119" s="489"/>
    </row>
    <row r="120" spans="2:14" s="186" customFormat="1" ht="15.75" customHeight="1" thickBot="1" x14ac:dyDescent="0.3">
      <c r="B120" s="224" t="s">
        <v>156</v>
      </c>
      <c r="C120" s="225"/>
      <c r="D120" s="225"/>
      <c r="E120" s="226">
        <f>E116+E117+E118+E119</f>
        <v>357.64568680207719</v>
      </c>
    </row>
    <row r="121" spans="2:14" ht="15.75" thickBot="1" x14ac:dyDescent="0.3"/>
    <row r="122" spans="2:14" x14ac:dyDescent="0.25">
      <c r="B122" s="491" t="s">
        <v>318</v>
      </c>
      <c r="C122" s="230" t="s">
        <v>226</v>
      </c>
      <c r="D122" s="230" t="s">
        <v>231</v>
      </c>
      <c r="E122" s="230" t="s">
        <v>227</v>
      </c>
      <c r="F122" s="230" t="s">
        <v>228</v>
      </c>
      <c r="G122" s="1" t="s">
        <v>229</v>
      </c>
    </row>
    <row r="123" spans="2:14" ht="15.75" thickBot="1" x14ac:dyDescent="0.3">
      <c r="B123" s="492" t="s">
        <v>230</v>
      </c>
      <c r="C123" s="493">
        <v>43.75</v>
      </c>
      <c r="D123" s="493">
        <f>+C123-35</f>
        <v>8.75</v>
      </c>
      <c r="E123" s="493">
        <v>4</v>
      </c>
      <c r="F123" s="493">
        <v>4</v>
      </c>
      <c r="G123" s="494">
        <f>D123-E123-F123</f>
        <v>0.75</v>
      </c>
    </row>
    <row r="125" spans="2:14" ht="18.75" customHeight="1" x14ac:dyDescent="0.25">
      <c r="B125" s="499" t="s">
        <v>232</v>
      </c>
      <c r="C125" s="229"/>
      <c r="D125" s="495"/>
      <c r="G125" s="229"/>
      <c r="J125" s="229"/>
      <c r="K125" s="229"/>
      <c r="L125" s="229"/>
      <c r="M125" s="229"/>
      <c r="N125" s="229"/>
    </row>
    <row r="126" spans="2:14" ht="18.75" customHeight="1" thickBot="1" x14ac:dyDescent="0.3">
      <c r="B126" s="229"/>
      <c r="C126" s="229"/>
      <c r="D126" s="495"/>
      <c r="G126" s="229"/>
      <c r="J126" s="229"/>
      <c r="K126" s="229"/>
      <c r="L126" s="229"/>
      <c r="M126" s="229"/>
      <c r="N126" s="229"/>
    </row>
    <row r="127" spans="2:14" ht="18.75" customHeight="1" thickBot="1" x14ac:dyDescent="0.3">
      <c r="B127" s="227" t="s">
        <v>233</v>
      </c>
      <c r="C127" s="496">
        <v>7</v>
      </c>
      <c r="D127" s="495"/>
      <c r="G127" s="229"/>
      <c r="J127" s="229"/>
      <c r="K127" s="229"/>
      <c r="L127" s="229"/>
      <c r="M127" s="229"/>
      <c r="N127" s="229"/>
    </row>
    <row r="128" spans="2:14" ht="18.75" hidden="1" customHeight="1" x14ac:dyDescent="0.25">
      <c r="D128" s="495"/>
      <c r="G128" s="229"/>
      <c r="J128" s="229"/>
      <c r="K128" s="229"/>
      <c r="L128" s="229"/>
      <c r="M128" s="229"/>
      <c r="N128" s="229"/>
    </row>
    <row r="129" spans="2:14" ht="18.75" hidden="1" customHeight="1" x14ac:dyDescent="0.25">
      <c r="B129" s="495"/>
      <c r="C129" s="497"/>
      <c r="D129" s="498"/>
      <c r="E129" s="495"/>
      <c r="F129" s="495"/>
      <c r="I129" s="229"/>
      <c r="J129" s="229"/>
      <c r="K129" s="229"/>
      <c r="L129" s="229"/>
      <c r="M129" s="229"/>
      <c r="N129" s="229"/>
    </row>
    <row r="130" spans="2:14" ht="18.75" hidden="1" customHeight="1" x14ac:dyDescent="0.25">
      <c r="B130" s="495"/>
      <c r="C130" s="497"/>
      <c r="D130" s="498"/>
      <c r="E130" s="495"/>
      <c r="F130" s="495"/>
      <c r="I130" s="229"/>
      <c r="J130" s="229"/>
      <c r="K130" s="229"/>
      <c r="L130" s="229"/>
      <c r="M130" s="229"/>
      <c r="N130" s="229"/>
    </row>
    <row r="131" spans="2:14" ht="18.75" customHeight="1" thickBot="1" x14ac:dyDescent="0.3">
      <c r="B131" s="495"/>
      <c r="C131" s="497"/>
      <c r="D131" s="498"/>
      <c r="E131" s="495"/>
      <c r="F131" s="495"/>
      <c r="I131" s="229"/>
      <c r="J131" s="229"/>
      <c r="K131" s="229"/>
      <c r="L131" s="229"/>
      <c r="M131" s="229"/>
      <c r="N131" s="229"/>
    </row>
    <row r="132" spans="2:14" ht="18.75" hidden="1" x14ac:dyDescent="0.25">
      <c r="B132" s="532" t="s">
        <v>9</v>
      </c>
      <c r="C132" s="532"/>
      <c r="D132" s="532"/>
      <c r="E132" s="532"/>
      <c r="K132" s="229"/>
      <c r="L132" s="229"/>
      <c r="M132" s="229"/>
      <c r="N132" s="229"/>
    </row>
    <row r="133" spans="2:14" ht="15.75" hidden="1" thickBot="1" x14ac:dyDescent="0.3">
      <c r="K133" s="229"/>
      <c r="L133" s="229"/>
      <c r="M133" s="229"/>
      <c r="N133" s="229"/>
    </row>
    <row r="134" spans="2:14" hidden="1" x14ac:dyDescent="0.25">
      <c r="B134" s="526" t="s">
        <v>10</v>
      </c>
      <c r="C134" s="527"/>
      <c r="D134" s="527"/>
      <c r="E134" s="528"/>
      <c r="K134" s="229"/>
      <c r="L134" s="229"/>
      <c r="M134" s="229"/>
      <c r="N134" s="229"/>
    </row>
    <row r="135" spans="2:14" hidden="1" x14ac:dyDescent="0.25">
      <c r="B135" s="253" t="s">
        <v>11</v>
      </c>
      <c r="C135" s="254"/>
      <c r="D135" s="254"/>
      <c r="E135" s="268"/>
      <c r="I135" s="229"/>
      <c r="J135" s="229"/>
      <c r="K135" s="229"/>
      <c r="L135" s="229"/>
      <c r="M135" s="229"/>
      <c r="N135" s="229"/>
    </row>
    <row r="136" spans="2:14" hidden="1" x14ac:dyDescent="0.25">
      <c r="B136" s="253" t="s">
        <v>12</v>
      </c>
      <c r="C136" s="254"/>
      <c r="D136" s="254"/>
      <c r="E136" s="255"/>
    </row>
    <row r="137" spans="2:14" hidden="1" x14ac:dyDescent="0.25">
      <c r="B137" s="253" t="s">
        <v>13</v>
      </c>
      <c r="C137" s="254"/>
      <c r="D137" s="254"/>
      <c r="E137" s="272"/>
    </row>
    <row r="138" spans="2:14" ht="15.75" hidden="1" thickBot="1" x14ac:dyDescent="0.3">
      <c r="B138" s="253" t="s">
        <v>14</v>
      </c>
      <c r="C138" s="254"/>
      <c r="D138" s="254"/>
      <c r="E138" s="269"/>
    </row>
    <row r="139" spans="2:14" ht="16.5" hidden="1" thickTop="1" thickBot="1" x14ac:dyDescent="0.3">
      <c r="B139" s="256" t="s">
        <v>15</v>
      </c>
      <c r="C139" s="257"/>
      <c r="D139" s="258"/>
      <c r="E139" s="273">
        <f>E137*E138</f>
        <v>0</v>
      </c>
    </row>
    <row r="140" spans="2:14" ht="15.75" hidden="1" thickBot="1" x14ac:dyDescent="0.3">
      <c r="B140" s="259"/>
      <c r="C140" s="259"/>
      <c r="D140" s="259"/>
      <c r="E140" s="259"/>
    </row>
    <row r="141" spans="2:14" ht="15.75" hidden="1" thickBot="1" x14ac:dyDescent="0.3">
      <c r="B141" s="529" t="s">
        <v>16</v>
      </c>
      <c r="C141" s="530"/>
      <c r="D141" s="530"/>
      <c r="E141" s="531"/>
    </row>
    <row r="142" spans="2:14" hidden="1" x14ac:dyDescent="0.25">
      <c r="B142" s="260" t="s">
        <v>17</v>
      </c>
      <c r="C142" s="261"/>
      <c r="D142" s="262" t="s">
        <v>18</v>
      </c>
      <c r="E142" s="263" t="s">
        <v>19</v>
      </c>
    </row>
    <row r="143" spans="2:14" hidden="1" x14ac:dyDescent="0.25">
      <c r="B143" s="206" t="s">
        <v>20</v>
      </c>
      <c r="C143" s="270"/>
      <c r="D143" s="271"/>
      <c r="E143" s="274"/>
    </row>
    <row r="144" spans="2:14" hidden="1" x14ac:dyDescent="0.25">
      <c r="B144" s="206" t="s">
        <v>21</v>
      </c>
      <c r="C144" s="270"/>
      <c r="D144" s="271"/>
      <c r="E144" s="274"/>
    </row>
    <row r="145" spans="2:8" hidden="1" x14ac:dyDescent="0.25">
      <c r="B145" s="206" t="s">
        <v>22</v>
      </c>
      <c r="C145" s="270"/>
      <c r="D145" s="271"/>
      <c r="E145" s="274"/>
    </row>
    <row r="146" spans="2:8" hidden="1" x14ac:dyDescent="0.25">
      <c r="B146" s="206" t="s">
        <v>23</v>
      </c>
      <c r="C146" s="264"/>
      <c r="D146" s="264"/>
      <c r="E146" s="208"/>
    </row>
    <row r="147" spans="2:8" hidden="1" x14ac:dyDescent="0.25">
      <c r="B147" s="206" t="s">
        <v>24</v>
      </c>
      <c r="C147" s="264"/>
      <c r="D147" s="264"/>
      <c r="E147" s="208"/>
    </row>
    <row r="148" spans="2:8" hidden="1" x14ac:dyDescent="0.25">
      <c r="B148" s="206" t="s">
        <v>180</v>
      </c>
      <c r="C148" s="264"/>
      <c r="D148" s="276"/>
      <c r="E148" s="265"/>
    </row>
    <row r="149" spans="2:8" hidden="1" x14ac:dyDescent="0.25">
      <c r="B149" s="206" t="s">
        <v>25</v>
      </c>
      <c r="C149" s="264"/>
      <c r="D149" s="264"/>
      <c r="E149" s="280">
        <f>E148*E147</f>
        <v>0</v>
      </c>
    </row>
    <row r="150" spans="2:8" hidden="1" x14ac:dyDescent="0.25">
      <c r="B150" s="206" t="s">
        <v>26</v>
      </c>
      <c r="C150" s="264"/>
      <c r="D150" s="264"/>
      <c r="E150" s="208">
        <f>E149*6.7%</f>
        <v>0</v>
      </c>
    </row>
    <row r="151" spans="2:8" ht="15.75" hidden="1" thickBot="1" x14ac:dyDescent="0.3">
      <c r="B151" s="266" t="s">
        <v>27</v>
      </c>
      <c r="C151" s="267"/>
      <c r="D151" s="267"/>
      <c r="E151" s="275">
        <f>E149-E150</f>
        <v>0</v>
      </c>
    </row>
    <row r="152" spans="2:8" ht="15.75" hidden="1" thickBot="1" x14ac:dyDescent="0.3"/>
    <row r="153" spans="2:8" hidden="1" x14ac:dyDescent="0.25">
      <c r="B153" s="526" t="s">
        <v>28</v>
      </c>
      <c r="C153" s="527"/>
      <c r="D153" s="527"/>
      <c r="E153" s="528"/>
    </row>
    <row r="154" spans="2:8" hidden="1" x14ac:dyDescent="0.25">
      <c r="B154" s="253" t="s">
        <v>29</v>
      </c>
      <c r="C154" s="254"/>
      <c r="D154" s="254"/>
      <c r="E154" s="277"/>
    </row>
    <row r="155" spans="2:8" ht="15.75" hidden="1" thickBot="1" x14ac:dyDescent="0.3">
      <c r="B155" s="253" t="s">
        <v>30</v>
      </c>
      <c r="C155" s="254"/>
      <c r="D155" s="254"/>
      <c r="E155" s="255">
        <f>E137*0.9</f>
        <v>0</v>
      </c>
    </row>
    <row r="156" spans="2:8" ht="16.5" hidden="1" thickTop="1" thickBot="1" x14ac:dyDescent="0.3">
      <c r="B156" s="253" t="s">
        <v>31</v>
      </c>
      <c r="C156" s="254"/>
      <c r="D156" s="254"/>
      <c r="E156" s="273">
        <f>E154*E155</f>
        <v>0</v>
      </c>
    </row>
    <row r="157" spans="2:8" ht="16.5" hidden="1" thickTop="1" thickBot="1" x14ac:dyDescent="0.3">
      <c r="B157" s="206" t="s">
        <v>32</v>
      </c>
      <c r="C157" s="254"/>
      <c r="D157" s="254"/>
      <c r="E157" s="278">
        <f>E147</f>
        <v>0</v>
      </c>
    </row>
    <row r="158" spans="2:8" ht="16.5" hidden="1" thickTop="1" thickBot="1" x14ac:dyDescent="0.3">
      <c r="B158" s="501" t="s">
        <v>33</v>
      </c>
      <c r="C158" s="502">
        <f>E154</f>
        <v>0</v>
      </c>
      <c r="D158" s="503">
        <f>E157</f>
        <v>0</v>
      </c>
      <c r="E158" s="504">
        <f>D158*C158</f>
        <v>0</v>
      </c>
    </row>
    <row r="159" spans="2:8" x14ac:dyDescent="0.25">
      <c r="B159" s="543" t="s">
        <v>318</v>
      </c>
      <c r="C159" s="544"/>
      <c r="D159" s="544"/>
      <c r="E159" s="545"/>
      <c r="F159" s="546" t="s">
        <v>337</v>
      </c>
      <c r="G159" s="547"/>
      <c r="H159" s="548"/>
    </row>
    <row r="160" spans="2:8" x14ac:dyDescent="0.25">
      <c r="B160" s="219" t="s">
        <v>11</v>
      </c>
      <c r="C160" s="505"/>
      <c r="D160" s="505"/>
      <c r="E160" s="222">
        <f>E20</f>
        <v>4000</v>
      </c>
      <c r="F160" s="206"/>
      <c r="G160" s="264"/>
      <c r="H160" s="265"/>
    </row>
    <row r="161" spans="2:8" x14ac:dyDescent="0.25">
      <c r="B161" s="219" t="s">
        <v>331</v>
      </c>
      <c r="C161" s="408"/>
      <c r="D161" s="409"/>
      <c r="E161" s="410">
        <f>E28</f>
        <v>46.15283180589438</v>
      </c>
      <c r="F161" s="206"/>
      <c r="G161" s="264"/>
      <c r="H161" s="265"/>
    </row>
    <row r="162" spans="2:8" x14ac:dyDescent="0.25">
      <c r="B162" s="219" t="s">
        <v>246</v>
      </c>
      <c r="C162" s="408"/>
      <c r="D162" s="409"/>
      <c r="E162" s="410">
        <f>SUM(E160:E161)</f>
        <v>4046.1528318058945</v>
      </c>
      <c r="F162" s="206"/>
      <c r="G162" s="264"/>
      <c r="H162" s="265"/>
    </row>
    <row r="163" spans="2:8" x14ac:dyDescent="0.25">
      <c r="B163" s="219" t="s">
        <v>332</v>
      </c>
      <c r="C163" s="223">
        <f>E162/151.67</f>
        <v>26.677344443897244</v>
      </c>
      <c r="D163" s="500">
        <v>1.1000000000000001</v>
      </c>
      <c r="E163" s="222">
        <f>D163*C163</f>
        <v>29.34507888828697</v>
      </c>
      <c r="F163" s="511">
        <f>E163</f>
        <v>29.34507888828697</v>
      </c>
      <c r="G163" s="512">
        <f>C23</f>
        <v>4</v>
      </c>
      <c r="H163" s="274">
        <f>G163*F163</f>
        <v>117.38031555314788</v>
      </c>
    </row>
    <row r="164" spans="2:8" x14ac:dyDescent="0.25">
      <c r="B164" s="219" t="s">
        <v>333</v>
      </c>
      <c r="C164" s="223">
        <f>C163</f>
        <v>26.677344443897244</v>
      </c>
      <c r="D164" s="207">
        <v>1.25</v>
      </c>
      <c r="E164" s="222">
        <f>D164*C164</f>
        <v>33.346680554871554</v>
      </c>
      <c r="F164" s="511">
        <f>E164</f>
        <v>33.346680554871554</v>
      </c>
      <c r="G164" s="512">
        <f t="shared" ref="G164:G165" si="6">C24</f>
        <v>4</v>
      </c>
      <c r="H164" s="274">
        <f t="shared" ref="H164:H165" si="7">G164*F164</f>
        <v>133.38672221948622</v>
      </c>
    </row>
    <row r="165" spans="2:8" ht="15.75" thickBot="1" x14ac:dyDescent="0.3">
      <c r="B165" s="506" t="s">
        <v>334</v>
      </c>
      <c r="C165" s="507">
        <f>C164</f>
        <v>26.677344443897244</v>
      </c>
      <c r="D165" s="508">
        <v>1.5</v>
      </c>
      <c r="E165" s="509">
        <f>D165*C165</f>
        <v>40.016016665845868</v>
      </c>
      <c r="F165" s="513">
        <f>C165*D164</f>
        <v>33.346680554871554</v>
      </c>
      <c r="G165" s="514">
        <f t="shared" si="6"/>
        <v>0.75</v>
      </c>
      <c r="H165" s="515">
        <f t="shared" si="7"/>
        <v>25.010010416153666</v>
      </c>
    </row>
    <row r="166" spans="2:8" x14ac:dyDescent="0.25">
      <c r="H166" s="516">
        <f>SUM(H163:H165)</f>
        <v>275.77704818878777</v>
      </c>
    </row>
    <row r="167" spans="2:8" ht="15.75" thickBot="1" x14ac:dyDescent="0.3"/>
    <row r="168" spans="2:8" ht="15.75" thickBot="1" x14ac:dyDescent="0.3">
      <c r="B168" s="529" t="s">
        <v>317</v>
      </c>
      <c r="C168" s="530"/>
      <c r="D168" s="530"/>
      <c r="E168" s="531"/>
    </row>
    <row r="169" spans="2:8" x14ac:dyDescent="0.25">
      <c r="B169" s="216" t="s">
        <v>93</v>
      </c>
      <c r="C169" s="217"/>
      <c r="D169" s="217"/>
      <c r="E169" s="218">
        <f>E37</f>
        <v>4416.9318820779126</v>
      </c>
    </row>
    <row r="170" spans="2:8" x14ac:dyDescent="0.25">
      <c r="B170" s="219" t="s">
        <v>318</v>
      </c>
      <c r="C170" s="408"/>
      <c r="D170" s="409"/>
      <c r="E170" s="410">
        <f>-SUM(E23:E25)</f>
        <v>-280.77905027201848</v>
      </c>
    </row>
    <row r="171" spans="2:8" x14ac:dyDescent="0.25">
      <c r="B171" s="219" t="s">
        <v>320</v>
      </c>
      <c r="C171" s="408"/>
      <c r="D171" s="409"/>
      <c r="E171" s="410">
        <f>SUM(E169:E170)</f>
        <v>4136.1528318058945</v>
      </c>
    </row>
    <row r="172" spans="2:8" x14ac:dyDescent="0.25">
      <c r="B172" s="219" t="s">
        <v>321</v>
      </c>
      <c r="C172" s="223">
        <f>E171</f>
        <v>4136.1528318058945</v>
      </c>
      <c r="D172" s="483">
        <v>0.98250000000000004</v>
      </c>
      <c r="E172" s="222">
        <f>D172*C172</f>
        <v>4063.7701572492915</v>
      </c>
    </row>
    <row r="173" spans="2:8" x14ac:dyDescent="0.25">
      <c r="B173" s="219" t="s">
        <v>319</v>
      </c>
      <c r="C173" s="223"/>
      <c r="D173" s="207"/>
      <c r="E173" s="222">
        <f>G44+G45+G46</f>
        <v>76.989999999999995</v>
      </c>
    </row>
    <row r="174" spans="2:8" ht="15.75" thickBot="1" x14ac:dyDescent="0.3">
      <c r="B174" s="224" t="s">
        <v>317</v>
      </c>
      <c r="C174" s="225"/>
      <c r="D174" s="225"/>
      <c r="E174" s="226">
        <f>+E172+E173</f>
        <v>4140.7601572492913</v>
      </c>
    </row>
  </sheetData>
  <mergeCells count="13">
    <mergeCell ref="F159:H159"/>
    <mergeCell ref="B132:E132"/>
    <mergeCell ref="C17:D17"/>
    <mergeCell ref="F17:G17"/>
    <mergeCell ref="B92:C92"/>
    <mergeCell ref="D93:D100"/>
    <mergeCell ref="B107:E107"/>
    <mergeCell ref="B115:E115"/>
    <mergeCell ref="B168:E168"/>
    <mergeCell ref="B159:E159"/>
    <mergeCell ref="B153:E153"/>
    <mergeCell ref="B141:E141"/>
    <mergeCell ref="B134:E13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83FE6-FAEC-4054-9C91-D7CFBD29D16A}">
  <dimension ref="A3:H11"/>
  <sheetViews>
    <sheetView workbookViewId="0">
      <selection activeCell="A3" sqref="A3:H11"/>
    </sheetView>
  </sheetViews>
  <sheetFormatPr baseColWidth="10" defaultRowHeight="15" x14ac:dyDescent="0.25"/>
  <cols>
    <col min="1" max="1" width="21.42578125" style="229" customWidth="1"/>
    <col min="2" max="2" width="13" style="229" bestFit="1" customWidth="1"/>
    <col min="3" max="3" width="12.7109375" style="229" bestFit="1" customWidth="1"/>
    <col min="4" max="5" width="16.85546875" style="229" bestFit="1" customWidth="1"/>
    <col min="6" max="6" width="12.42578125" style="229" bestFit="1" customWidth="1"/>
    <col min="7" max="7" width="12.85546875" style="229" customWidth="1"/>
    <col min="8" max="8" width="13" style="229" bestFit="1" customWidth="1"/>
    <col min="9" max="9" width="13.7109375" style="229" customWidth="1"/>
    <col min="10" max="10" width="14.42578125" style="229" customWidth="1"/>
    <col min="11" max="11" width="11.85546875" style="229" bestFit="1" customWidth="1"/>
    <col min="12" max="12" width="11.5703125" style="229" bestFit="1" customWidth="1"/>
    <col min="13" max="16384" width="11.42578125" style="229"/>
  </cols>
  <sheetData>
    <row r="3" spans="1:8" ht="21.75" thickBot="1" x14ac:dyDescent="0.3">
      <c r="A3" s="524" t="s">
        <v>259</v>
      </c>
      <c r="B3" s="525"/>
      <c r="C3" s="525"/>
      <c r="D3" s="525"/>
      <c r="E3" s="525"/>
      <c r="F3" s="525"/>
      <c r="G3" s="525"/>
      <c r="H3" s="525"/>
    </row>
    <row r="4" spans="1:8" ht="15.75" thickBot="1" x14ac:dyDescent="0.3">
      <c r="A4" s="227" t="s">
        <v>157</v>
      </c>
      <c r="B4" s="357">
        <v>0.31909999999999999</v>
      </c>
    </row>
    <row r="5" spans="1:8" ht="15.75" thickBot="1" x14ac:dyDescent="0.3"/>
    <row r="6" spans="1:8" ht="30" x14ac:dyDescent="0.25">
      <c r="A6" s="3" t="s">
        <v>158</v>
      </c>
      <c r="B6" s="230" t="s">
        <v>159</v>
      </c>
      <c r="C6" s="230" t="s">
        <v>160</v>
      </c>
      <c r="D6" s="293" t="s">
        <v>161</v>
      </c>
      <c r="E6" s="232" t="s">
        <v>162</v>
      </c>
      <c r="F6" s="232" t="s">
        <v>163</v>
      </c>
      <c r="G6" s="232" t="s">
        <v>164</v>
      </c>
      <c r="H6" s="233" t="s">
        <v>165</v>
      </c>
    </row>
    <row r="7" spans="1:8" x14ac:dyDescent="0.25">
      <c r="A7" s="287" t="s">
        <v>190</v>
      </c>
      <c r="B7" s="393">
        <v>1800</v>
      </c>
      <c r="C7" s="305">
        <f>B7</f>
        <v>1800</v>
      </c>
      <c r="D7" s="358">
        <f>'REGUL LAMBERT'!E6</f>
        <v>1709.28</v>
      </c>
      <c r="E7" s="304">
        <f>+D7</f>
        <v>1709.28</v>
      </c>
      <c r="F7" s="306">
        <f>ROUND(($B$4/0.6)*((1.6*E7/C7)-1),4)</f>
        <v>0.2762</v>
      </c>
      <c r="G7" s="305">
        <f>IF(F7&gt;0,F7*C7,0)</f>
        <v>497.16</v>
      </c>
      <c r="H7" s="318">
        <f>G7</f>
        <v>497.16</v>
      </c>
    </row>
    <row r="8" spans="1:8" x14ac:dyDescent="0.25">
      <c r="A8" s="287" t="s">
        <v>191</v>
      </c>
      <c r="B8" s="393">
        <v>1800</v>
      </c>
      <c r="C8" s="305">
        <f>C7+B8</f>
        <v>3600</v>
      </c>
      <c r="D8" s="358">
        <f>'REGUL LAMBERT'!E7</f>
        <v>1709.28</v>
      </c>
      <c r="E8" s="304">
        <f>D8+E7</f>
        <v>3418.56</v>
      </c>
      <c r="F8" s="306">
        <f t="shared" ref="F8:F11" si="0">ROUND(($B$4/0.6)*((1.6*E8/C8)-1),4)</f>
        <v>0.2762</v>
      </c>
      <c r="G8" s="305">
        <f>IF(F8&gt;0,F8*C8,0)</f>
        <v>994.32</v>
      </c>
      <c r="H8" s="318">
        <f>G8-G7</f>
        <v>497.16</v>
      </c>
    </row>
    <row r="9" spans="1:8" x14ac:dyDescent="0.25">
      <c r="A9" s="287" t="s">
        <v>192</v>
      </c>
      <c r="B9" s="393">
        <v>1800</v>
      </c>
      <c r="C9" s="305">
        <f t="shared" ref="C9:C11" si="1">C8+B9</f>
        <v>5400</v>
      </c>
      <c r="D9" s="358">
        <f>'REGUL LAMBERT'!E8</f>
        <v>1709.28</v>
      </c>
      <c r="E9" s="304">
        <f t="shared" ref="E9:E11" si="2">D9+E8</f>
        <v>5127.84</v>
      </c>
      <c r="F9" s="306">
        <f t="shared" si="0"/>
        <v>0.2762</v>
      </c>
      <c r="G9" s="305">
        <f t="shared" ref="G9:G11" si="3">IF(F9&gt;0,F9*C9,0)</f>
        <v>1491.48</v>
      </c>
      <c r="H9" s="318">
        <f t="shared" ref="H9:H11" si="4">G9-G8</f>
        <v>497.15999999999997</v>
      </c>
    </row>
    <row r="10" spans="1:8" x14ac:dyDescent="0.25">
      <c r="A10" s="287" t="s">
        <v>193</v>
      </c>
      <c r="B10" s="393">
        <v>1800</v>
      </c>
      <c r="C10" s="305">
        <f t="shared" si="1"/>
        <v>7200</v>
      </c>
      <c r="D10" s="358">
        <f>'REGUL LAMBERT'!E9</f>
        <v>1709.28</v>
      </c>
      <c r="E10" s="304">
        <f t="shared" si="2"/>
        <v>6837.12</v>
      </c>
      <c r="F10" s="306">
        <f t="shared" si="0"/>
        <v>0.2762</v>
      </c>
      <c r="G10" s="305">
        <f t="shared" si="3"/>
        <v>1988.64</v>
      </c>
      <c r="H10" s="318">
        <f t="shared" si="4"/>
        <v>497.16000000000008</v>
      </c>
    </row>
    <row r="11" spans="1:8" x14ac:dyDescent="0.25">
      <c r="A11" s="287" t="s">
        <v>194</v>
      </c>
      <c r="B11" s="393">
        <f>'Bulletin SALVI'!E37</f>
        <v>1954.6153846153848</v>
      </c>
      <c r="C11" s="305">
        <f t="shared" si="1"/>
        <v>9154.6153846153848</v>
      </c>
      <c r="D11" s="358">
        <f>11.52*151.6667</f>
        <v>1747.2003839999998</v>
      </c>
      <c r="E11" s="304">
        <f t="shared" si="2"/>
        <v>8584.3203839999987</v>
      </c>
      <c r="F11" s="306">
        <f t="shared" si="0"/>
        <v>0.2661</v>
      </c>
      <c r="G11" s="305">
        <f t="shared" si="3"/>
        <v>2436.0431538461539</v>
      </c>
      <c r="H11" s="318">
        <f t="shared" si="4"/>
        <v>447.40315384615383</v>
      </c>
    </row>
  </sheetData>
  <mergeCells count="1">
    <mergeCell ref="A3:H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EA379-1AD0-49C6-9C48-ADF3D637B6BB}">
  <dimension ref="B1:P189"/>
  <sheetViews>
    <sheetView topLeftCell="B15" zoomScaleNormal="100" workbookViewId="0">
      <selection activeCell="E84" sqref="E84"/>
    </sheetView>
  </sheetViews>
  <sheetFormatPr baseColWidth="10" defaultRowHeight="15" x14ac:dyDescent="0.25"/>
  <cols>
    <col min="1" max="1" width="11.42578125" style="8"/>
    <col min="2" max="2" width="63.5703125" style="8" customWidth="1"/>
    <col min="3" max="3" width="15" style="8" bestFit="1" customWidth="1"/>
    <col min="4" max="4" width="17.140625" style="8" bestFit="1" customWidth="1"/>
    <col min="5" max="5" width="25.5703125" style="8" bestFit="1" customWidth="1"/>
    <col min="6" max="6" width="12.5703125" style="8" customWidth="1"/>
    <col min="7" max="7" width="18.28515625" style="8" customWidth="1"/>
    <col min="8" max="8" width="11.42578125" style="8"/>
    <col min="9" max="9" width="52.140625" style="8" bestFit="1" customWidth="1"/>
    <col min="10" max="10" width="12.42578125" style="8" bestFit="1" customWidth="1"/>
    <col min="11" max="11" width="12" style="8" bestFit="1" customWidth="1"/>
    <col min="12" max="12" width="11.42578125" style="8"/>
    <col min="13" max="13" width="12.140625" style="8" bestFit="1" customWidth="1"/>
    <col min="14" max="15" width="12" style="8" bestFit="1" customWidth="1"/>
    <col min="16" max="16384" width="11.42578125" style="8"/>
  </cols>
  <sheetData>
    <row r="1" spans="2:11" ht="23.25" thickBot="1" x14ac:dyDescent="0.3">
      <c r="B1" s="9" t="s">
        <v>34</v>
      </c>
      <c r="C1" s="10"/>
      <c r="D1" s="10"/>
      <c r="E1" s="10"/>
      <c r="F1" s="10"/>
      <c r="G1" s="11"/>
      <c r="I1" s="12" t="s">
        <v>35</v>
      </c>
    </row>
    <row r="2" spans="2:11" ht="15.75" thickBot="1" x14ac:dyDescent="0.3">
      <c r="B2" s="13" t="s">
        <v>36</v>
      </c>
      <c r="C2" s="14"/>
      <c r="D2" s="15"/>
      <c r="E2" s="16" t="s">
        <v>37</v>
      </c>
      <c r="F2" s="14"/>
      <c r="G2" s="15"/>
    </row>
    <row r="3" spans="2:11" x14ac:dyDescent="0.25">
      <c r="B3" s="17" t="s">
        <v>38</v>
      </c>
      <c r="C3" s="18"/>
      <c r="D3" s="19"/>
      <c r="E3" s="20" t="s">
        <v>38</v>
      </c>
      <c r="F3" s="21"/>
      <c r="G3" s="22"/>
      <c r="I3" s="16" t="s">
        <v>11</v>
      </c>
      <c r="J3" s="23">
        <v>1650</v>
      </c>
    </row>
    <row r="4" spans="2:11" x14ac:dyDescent="0.25">
      <c r="B4" s="17" t="s">
        <v>39</v>
      </c>
      <c r="C4" s="18"/>
      <c r="D4" s="19"/>
      <c r="E4" s="20" t="s">
        <v>40</v>
      </c>
      <c r="F4" s="21"/>
      <c r="G4" s="22"/>
      <c r="I4" s="20" t="s">
        <v>41</v>
      </c>
      <c r="J4" s="24">
        <v>151.66999999999999</v>
      </c>
    </row>
    <row r="5" spans="2:11" x14ac:dyDescent="0.25">
      <c r="B5" s="17" t="s">
        <v>42</v>
      </c>
      <c r="C5" s="18"/>
      <c r="D5" s="19"/>
      <c r="E5" s="20" t="s">
        <v>43</v>
      </c>
      <c r="F5" s="21"/>
      <c r="G5" s="22"/>
      <c r="I5" s="20" t="s">
        <v>44</v>
      </c>
      <c r="J5" s="22">
        <v>147</v>
      </c>
    </row>
    <row r="6" spans="2:11" x14ac:dyDescent="0.25">
      <c r="B6" s="17" t="s">
        <v>42</v>
      </c>
      <c r="C6" s="18"/>
      <c r="D6" s="19"/>
      <c r="E6" s="20" t="s">
        <v>45</v>
      </c>
      <c r="F6" s="21"/>
      <c r="G6" s="22"/>
      <c r="I6" s="25" t="s">
        <v>8</v>
      </c>
      <c r="J6" s="26">
        <v>5</v>
      </c>
    </row>
    <row r="7" spans="2:11" x14ac:dyDescent="0.25">
      <c r="B7" s="17" t="s">
        <v>46</v>
      </c>
      <c r="C7" s="18"/>
      <c r="D7" s="19"/>
      <c r="E7" s="20"/>
      <c r="F7" s="21"/>
      <c r="G7" s="22"/>
      <c r="I7" s="20" t="s">
        <v>47</v>
      </c>
      <c r="J7" s="27">
        <v>3.5999999999999997E-2</v>
      </c>
    </row>
    <row r="8" spans="2:11" x14ac:dyDescent="0.25">
      <c r="B8" s="17" t="s">
        <v>48</v>
      </c>
      <c r="C8" s="18"/>
      <c r="D8" s="19"/>
      <c r="E8" s="20" t="s">
        <v>49</v>
      </c>
      <c r="F8" s="21"/>
      <c r="G8" s="22"/>
      <c r="I8" s="28" t="s">
        <v>50</v>
      </c>
      <c r="J8" s="29"/>
      <c r="K8" s="30" t="s">
        <v>51</v>
      </c>
    </row>
    <row r="9" spans="2:11" x14ac:dyDescent="0.25">
      <c r="B9" s="17" t="s">
        <v>52</v>
      </c>
      <c r="C9" s="18"/>
      <c r="D9" s="19"/>
      <c r="E9" s="20" t="s">
        <v>53</v>
      </c>
      <c r="F9" s="31" t="s">
        <v>54</v>
      </c>
      <c r="G9" s="22"/>
      <c r="I9" s="20" t="s">
        <v>55</v>
      </c>
      <c r="J9" s="32">
        <v>10.57</v>
      </c>
    </row>
    <row r="10" spans="2:11" x14ac:dyDescent="0.25">
      <c r="B10" s="17" t="s">
        <v>56</v>
      </c>
      <c r="C10" s="18"/>
      <c r="D10" s="19"/>
      <c r="E10" s="20" t="s">
        <v>57</v>
      </c>
      <c r="F10" s="31"/>
      <c r="G10" s="22"/>
      <c r="I10" s="4" t="s">
        <v>0</v>
      </c>
      <c r="J10" s="33">
        <v>35</v>
      </c>
    </row>
    <row r="11" spans="2:11" x14ac:dyDescent="0.25">
      <c r="B11" s="17" t="s">
        <v>58</v>
      </c>
      <c r="C11" s="18"/>
      <c r="D11" s="19"/>
      <c r="E11" s="20" t="s">
        <v>59</v>
      </c>
      <c r="F11" s="31"/>
      <c r="G11" s="22"/>
      <c r="I11" s="20" t="s">
        <v>60</v>
      </c>
      <c r="J11" s="22"/>
    </row>
    <row r="12" spans="2:11" x14ac:dyDescent="0.25">
      <c r="B12" s="17" t="s">
        <v>61</v>
      </c>
      <c r="C12" s="18">
        <v>4</v>
      </c>
      <c r="D12" s="19"/>
      <c r="E12" s="20" t="s">
        <v>62</v>
      </c>
      <c r="F12" s="34"/>
      <c r="G12" s="35"/>
      <c r="I12" s="20" t="s">
        <v>63</v>
      </c>
    </row>
    <row r="13" spans="2:11" x14ac:dyDescent="0.25">
      <c r="B13" s="17" t="s">
        <v>64</v>
      </c>
      <c r="C13" s="18"/>
      <c r="D13" s="19"/>
      <c r="E13" s="20" t="s">
        <v>65</v>
      </c>
      <c r="F13" s="36"/>
      <c r="G13" s="22"/>
      <c r="I13" s="20" t="s">
        <v>66</v>
      </c>
      <c r="J13" s="22"/>
    </row>
    <row r="14" spans="2:11" x14ac:dyDescent="0.25">
      <c r="B14" s="17"/>
      <c r="C14" s="18"/>
      <c r="D14" s="19"/>
      <c r="E14" s="20" t="s">
        <v>67</v>
      </c>
      <c r="F14" s="21"/>
      <c r="G14" s="22"/>
      <c r="I14" s="20" t="s">
        <v>68</v>
      </c>
      <c r="J14" s="22"/>
    </row>
    <row r="15" spans="2:11" x14ac:dyDescent="0.25">
      <c r="B15" s="20"/>
      <c r="C15" s="18"/>
      <c r="D15" s="19"/>
      <c r="E15" s="20"/>
      <c r="F15" s="21"/>
      <c r="G15" s="22"/>
      <c r="I15" s="20" t="s">
        <v>69</v>
      </c>
      <c r="J15" s="22"/>
    </row>
    <row r="16" spans="2:11" ht="15.75" thickBot="1" x14ac:dyDescent="0.3">
      <c r="B16" s="37"/>
      <c r="C16" s="38"/>
      <c r="D16" s="39"/>
      <c r="E16" s="37"/>
      <c r="F16" s="40"/>
      <c r="G16" s="41"/>
      <c r="I16" s="25" t="s">
        <v>70</v>
      </c>
      <c r="J16" s="22"/>
    </row>
    <row r="17" spans="2:16" ht="15.75" thickBot="1" x14ac:dyDescent="0.3">
      <c r="B17" s="42" t="s">
        <v>71</v>
      </c>
      <c r="C17" s="533"/>
      <c r="D17" s="534"/>
      <c r="E17" s="43" t="s">
        <v>72</v>
      </c>
      <c r="F17" s="533"/>
      <c r="G17" s="538"/>
      <c r="I17" s="25" t="s">
        <v>73</v>
      </c>
      <c r="J17" s="319">
        <f>+E37</f>
        <v>1954.6153846153848</v>
      </c>
    </row>
    <row r="18" spans="2:16" ht="20.25" customHeight="1" thickBot="1" x14ac:dyDescent="0.3">
      <c r="B18" s="45" t="s">
        <v>74</v>
      </c>
      <c r="C18" s="46"/>
      <c r="D18" s="46"/>
      <c r="E18" s="46"/>
      <c r="F18" s="46"/>
      <c r="G18" s="47"/>
      <c r="I18" s="25" t="s">
        <v>75</v>
      </c>
      <c r="J18" s="44">
        <v>0</v>
      </c>
    </row>
    <row r="19" spans="2:16" ht="24" customHeight="1" thickBot="1" x14ac:dyDescent="0.3">
      <c r="B19" s="49" t="s">
        <v>74</v>
      </c>
      <c r="C19" s="50" t="s">
        <v>76</v>
      </c>
      <c r="D19" s="50" t="s">
        <v>77</v>
      </c>
      <c r="E19" s="51" t="s">
        <v>78</v>
      </c>
      <c r="F19" s="52"/>
      <c r="G19" s="52"/>
      <c r="I19" s="20" t="s">
        <v>79</v>
      </c>
      <c r="J19" s="48">
        <v>0.31950000000000001</v>
      </c>
    </row>
    <row r="20" spans="2:16" s="53" customFormat="1" x14ac:dyDescent="0.25">
      <c r="B20" s="16" t="s">
        <v>11</v>
      </c>
      <c r="C20" s="54"/>
      <c r="D20" s="55"/>
      <c r="E20" s="23">
        <v>1800</v>
      </c>
      <c r="F20" s="56"/>
      <c r="G20" s="57"/>
      <c r="H20" s="8"/>
      <c r="I20" s="58" t="s">
        <v>80</v>
      </c>
      <c r="J20" s="59">
        <v>0.02</v>
      </c>
      <c r="K20" s="8"/>
      <c r="L20" s="8"/>
      <c r="M20" s="8"/>
      <c r="N20" s="8"/>
      <c r="O20" s="8"/>
      <c r="P20" s="8"/>
    </row>
    <row r="21" spans="2:16" s="53" customFormat="1" x14ac:dyDescent="0.25">
      <c r="B21" s="60"/>
      <c r="C21" s="61"/>
      <c r="D21" s="62"/>
      <c r="E21" s="63"/>
      <c r="F21" s="64"/>
      <c r="G21" s="65"/>
      <c r="I21" s="20" t="s">
        <v>81</v>
      </c>
      <c r="J21" s="69">
        <v>35</v>
      </c>
      <c r="K21" s="8"/>
      <c r="L21" s="8"/>
      <c r="M21" s="8"/>
      <c r="N21" s="8"/>
      <c r="O21" s="8"/>
      <c r="P21" s="8"/>
    </row>
    <row r="22" spans="2:16" s="53" customFormat="1" x14ac:dyDescent="0.25">
      <c r="B22" s="60" t="s">
        <v>82</v>
      </c>
      <c r="C22" s="61">
        <f>+J11</f>
        <v>0</v>
      </c>
      <c r="D22" s="66">
        <f>E20/J5</f>
        <v>12.244897959183673</v>
      </c>
      <c r="E22" s="63">
        <f>-D22*C22</f>
        <v>0</v>
      </c>
      <c r="F22" s="64"/>
      <c r="G22" s="65"/>
      <c r="I22" s="20" t="s">
        <v>83</v>
      </c>
      <c r="J22" s="69">
        <v>40</v>
      </c>
      <c r="K22" s="8"/>
      <c r="L22" s="8"/>
      <c r="M22" s="8"/>
      <c r="N22" s="8"/>
      <c r="O22" s="8"/>
      <c r="P22" s="8"/>
    </row>
    <row r="23" spans="2:16" s="53" customFormat="1" x14ac:dyDescent="0.25">
      <c r="B23" s="60"/>
      <c r="C23" s="61"/>
      <c r="D23" s="62"/>
      <c r="E23" s="63"/>
      <c r="F23" s="64"/>
      <c r="G23" s="65"/>
      <c r="I23" s="20" t="s">
        <v>84</v>
      </c>
      <c r="K23" s="8"/>
      <c r="L23" s="8"/>
      <c r="M23" s="8"/>
      <c r="N23" s="8"/>
      <c r="O23" s="8"/>
      <c r="P23" s="8"/>
    </row>
    <row r="24" spans="2:16" ht="15.75" thickBot="1" x14ac:dyDescent="0.3">
      <c r="B24" s="20" t="s">
        <v>63</v>
      </c>
      <c r="C24" s="21">
        <f>J12</f>
        <v>0</v>
      </c>
      <c r="D24" s="68">
        <f>IF($J$4&gt;=151.67,$J$3/151.67*1.25,0)</f>
        <v>13.598602228522452</v>
      </c>
      <c r="E24" s="69">
        <f>D24*C24</f>
        <v>0</v>
      </c>
      <c r="F24" s="70"/>
      <c r="G24" s="71"/>
      <c r="I24" s="37" t="s">
        <v>85</v>
      </c>
      <c r="J24" s="67"/>
    </row>
    <row r="25" spans="2:16" ht="16.5" thickBot="1" x14ac:dyDescent="0.3">
      <c r="B25" s="20" t="s">
        <v>66</v>
      </c>
      <c r="C25" s="21">
        <f>J13</f>
        <v>0</v>
      </c>
      <c r="D25" s="68">
        <f>IF($J$4&gt;=151.67,$J$3/151.67*1.5,0)</f>
        <v>16.318322674226941</v>
      </c>
      <c r="E25" s="69">
        <f>D25*C25</f>
        <v>0</v>
      </c>
      <c r="F25" s="70"/>
      <c r="G25" s="73"/>
      <c r="I25" s="4" t="s">
        <v>86</v>
      </c>
      <c r="J25" s="72">
        <v>0</v>
      </c>
      <c r="K25" s="75"/>
    </row>
    <row r="26" spans="2:16" ht="15.75" thickBot="1" x14ac:dyDescent="0.3">
      <c r="B26" s="20" t="s">
        <v>68</v>
      </c>
      <c r="C26" s="21">
        <f>J14</f>
        <v>0</v>
      </c>
      <c r="D26" s="21">
        <f>IF($J$4&lt;151.67,$E$20/151.67*1.1,0)</f>
        <v>0</v>
      </c>
      <c r="E26" s="69">
        <f t="shared" ref="E26:E27" si="0">D26*C26</f>
        <v>0</v>
      </c>
      <c r="F26" s="70"/>
      <c r="G26" s="73"/>
      <c r="I26" s="76" t="s">
        <v>87</v>
      </c>
      <c r="J26" s="74"/>
    </row>
    <row r="27" spans="2:16" ht="15.75" thickBot="1" x14ac:dyDescent="0.3">
      <c r="B27" s="20" t="s">
        <v>69</v>
      </c>
      <c r="C27" s="21">
        <f>J15</f>
        <v>0</v>
      </c>
      <c r="D27" s="21">
        <f>IF($J$4&lt;151.67,$E$20/151.67*1.1,0)</f>
        <v>0</v>
      </c>
      <c r="E27" s="69">
        <f t="shared" si="0"/>
        <v>0</v>
      </c>
      <c r="F27" s="70"/>
      <c r="G27" s="73"/>
      <c r="J27" s="77"/>
    </row>
    <row r="28" spans="2:16" x14ac:dyDescent="0.25">
      <c r="B28" s="20"/>
      <c r="C28" s="21"/>
      <c r="D28" s="21"/>
      <c r="E28" s="69"/>
      <c r="F28" s="70"/>
      <c r="G28" s="73"/>
    </row>
    <row r="29" spans="2:16" ht="27" x14ac:dyDescent="0.25">
      <c r="B29" s="20" t="s">
        <v>88</v>
      </c>
      <c r="C29" s="78">
        <v>6</v>
      </c>
      <c r="D29" s="68">
        <f>E171</f>
        <v>69.230769230769226</v>
      </c>
      <c r="E29" s="69">
        <f>+-D29*C29</f>
        <v>-415.38461538461536</v>
      </c>
      <c r="F29" s="79"/>
      <c r="G29" s="80"/>
      <c r="I29" s="81"/>
    </row>
    <row r="30" spans="2:16" x14ac:dyDescent="0.25">
      <c r="B30" s="20" t="s">
        <v>89</v>
      </c>
      <c r="C30" s="78">
        <f>C29</f>
        <v>6</v>
      </c>
      <c r="D30" s="350">
        <f>-D29</f>
        <v>-69.230769230769226</v>
      </c>
      <c r="E30" s="69">
        <f>+-D30*C30</f>
        <v>415.38461538461536</v>
      </c>
      <c r="F30" s="79"/>
      <c r="G30" s="80"/>
    </row>
    <row r="31" spans="2:16" x14ac:dyDescent="0.25">
      <c r="B31" s="20" t="s">
        <v>273</v>
      </c>
      <c r="C31" s="82"/>
      <c r="D31" s="83"/>
      <c r="E31" s="84">
        <f>E189</f>
        <v>154.61538461538476</v>
      </c>
      <c r="F31" s="85"/>
      <c r="G31" s="86"/>
    </row>
    <row r="32" spans="2:16" ht="15.75" thickBot="1" x14ac:dyDescent="0.3">
      <c r="B32" s="87" t="s">
        <v>90</v>
      </c>
      <c r="C32" s="88"/>
      <c r="D32" s="89"/>
      <c r="E32" s="90"/>
      <c r="F32" s="91"/>
      <c r="G32" s="92"/>
    </row>
    <row r="33" spans="2:10" x14ac:dyDescent="0.25">
      <c r="B33" s="93" t="s">
        <v>91</v>
      </c>
      <c r="C33" s="94"/>
      <c r="D33" s="95"/>
      <c r="E33" s="96"/>
      <c r="F33" s="97"/>
      <c r="G33" s="98"/>
    </row>
    <row r="34" spans="2:10" x14ac:dyDescent="0.25">
      <c r="B34" s="87" t="s">
        <v>28</v>
      </c>
      <c r="C34" s="94"/>
      <c r="D34" s="95"/>
      <c r="E34" s="96"/>
      <c r="F34" s="97"/>
      <c r="G34" s="98"/>
    </row>
    <row r="35" spans="2:10" x14ac:dyDescent="0.25">
      <c r="B35" s="93"/>
      <c r="C35" s="94"/>
      <c r="D35" s="95"/>
      <c r="E35" s="96"/>
      <c r="F35" s="97"/>
      <c r="G35" s="98"/>
    </row>
    <row r="36" spans="2:10" ht="15.75" thickBot="1" x14ac:dyDescent="0.3">
      <c r="B36" s="99" t="s">
        <v>92</v>
      </c>
      <c r="C36" s="94">
        <f>J26</f>
        <v>0</v>
      </c>
      <c r="D36" s="95">
        <f>J25</f>
        <v>0</v>
      </c>
      <c r="E36" s="100">
        <f>C36*D36</f>
        <v>0</v>
      </c>
      <c r="F36" s="97"/>
      <c r="G36" s="98"/>
    </row>
    <row r="37" spans="2:10" ht="16.5" thickTop="1" thickBot="1" x14ac:dyDescent="0.3">
      <c r="B37" s="101" t="s">
        <v>93</v>
      </c>
      <c r="C37" s="102"/>
      <c r="D37" s="103"/>
      <c r="E37" s="104">
        <f>SUM(E20:E36)</f>
        <v>1954.6153846153848</v>
      </c>
      <c r="F37" s="97"/>
      <c r="G37" s="98"/>
    </row>
    <row r="38" spans="2:10" ht="15.75" thickBot="1" x14ac:dyDescent="0.3">
      <c r="B38" s="105"/>
      <c r="C38" s="106"/>
      <c r="D38" s="107"/>
      <c r="E38" s="107"/>
      <c r="F38" s="108"/>
      <c r="G38" s="109"/>
    </row>
    <row r="39" spans="2:10" ht="28.5" x14ac:dyDescent="0.25">
      <c r="B39" s="110" t="s">
        <v>94</v>
      </c>
      <c r="C39" s="111" t="s">
        <v>95</v>
      </c>
      <c r="D39" s="111" t="s">
        <v>96</v>
      </c>
      <c r="E39" s="111" t="s">
        <v>97</v>
      </c>
      <c r="F39" s="111" t="s">
        <v>96</v>
      </c>
      <c r="G39" s="112" t="s">
        <v>98</v>
      </c>
    </row>
    <row r="40" spans="2:10" x14ac:dyDescent="0.25">
      <c r="B40" s="113" t="s">
        <v>99</v>
      </c>
      <c r="C40" s="114"/>
      <c r="D40" s="115"/>
      <c r="E40" s="115"/>
      <c r="F40" s="116"/>
      <c r="G40" s="117"/>
    </row>
    <row r="41" spans="2:10" x14ac:dyDescent="0.25">
      <c r="B41" s="118" t="s">
        <v>100</v>
      </c>
      <c r="C41" s="94">
        <f>$E$37</f>
        <v>1954.6153846153848</v>
      </c>
      <c r="D41" s="119"/>
      <c r="E41" s="120"/>
      <c r="F41" s="121">
        <f>IF(E37&lt;=2.5*J9*151.6667,7%,13%)</f>
        <v>7.0000000000000007E-2</v>
      </c>
      <c r="G41" s="122">
        <f>F41*C41</f>
        <v>136.82307692307694</v>
      </c>
    </row>
    <row r="42" spans="2:10" x14ac:dyDescent="0.25">
      <c r="B42" s="118" t="s">
        <v>101</v>
      </c>
      <c r="C42" s="94">
        <f>$J$17</f>
        <v>1954.6153846153848</v>
      </c>
      <c r="D42" s="123"/>
      <c r="E42" s="124"/>
      <c r="F42" s="125">
        <f>J24</f>
        <v>0</v>
      </c>
      <c r="G42" s="122">
        <f>F42*C42</f>
        <v>0</v>
      </c>
    </row>
    <row r="43" spans="2:10" x14ac:dyDescent="0.25">
      <c r="B43" s="118" t="s">
        <v>102</v>
      </c>
      <c r="C43" s="94">
        <f>$J$18</f>
        <v>0</v>
      </c>
      <c r="D43" s="123"/>
      <c r="E43" s="124"/>
      <c r="F43" s="125"/>
      <c r="G43" s="122">
        <f>F43*C43</f>
        <v>0</v>
      </c>
    </row>
    <row r="44" spans="2:10" x14ac:dyDescent="0.25">
      <c r="B44" s="118" t="s">
        <v>103</v>
      </c>
      <c r="C44" s="94"/>
      <c r="D44" s="123"/>
      <c r="E44" s="159">
        <v>35</v>
      </c>
      <c r="F44" s="125"/>
      <c r="G44" s="122">
        <v>22</v>
      </c>
      <c r="H44" s="521" t="s">
        <v>340</v>
      </c>
      <c r="I44" s="521"/>
      <c r="J44" s="521"/>
    </row>
    <row r="45" spans="2:10" x14ac:dyDescent="0.25">
      <c r="B45" s="126" t="s">
        <v>104</v>
      </c>
      <c r="C45" s="94">
        <f>J17+J18</f>
        <v>1954.6153846153848</v>
      </c>
      <c r="E45" s="94"/>
      <c r="F45" s="127">
        <f>J7</f>
        <v>3.5999999999999997E-2</v>
      </c>
      <c r="G45" s="122">
        <f>F45*C45</f>
        <v>70.36615384615385</v>
      </c>
    </row>
    <row r="46" spans="2:10" x14ac:dyDescent="0.25">
      <c r="B46" s="113" t="s">
        <v>105</v>
      </c>
      <c r="C46" s="114"/>
      <c r="D46" s="115"/>
      <c r="E46" s="115"/>
      <c r="F46" s="116"/>
      <c r="G46" s="117"/>
    </row>
    <row r="47" spans="2:10" x14ac:dyDescent="0.25">
      <c r="B47" s="118" t="s">
        <v>106</v>
      </c>
      <c r="C47" s="94">
        <f>$J$17</f>
        <v>1954.6153846153848</v>
      </c>
      <c r="D47" s="123">
        <v>6.9000000000000006E-2</v>
      </c>
      <c r="E47" s="124">
        <f>D47*C47</f>
        <v>134.86846153846156</v>
      </c>
      <c r="F47" s="125">
        <v>8.5500000000000007E-2</v>
      </c>
      <c r="G47" s="122">
        <f>F47*C47</f>
        <v>167.1196153846154</v>
      </c>
    </row>
    <row r="48" spans="2:10" x14ac:dyDescent="0.25">
      <c r="B48" s="118" t="s">
        <v>107</v>
      </c>
      <c r="C48" s="94">
        <f>$E$37</f>
        <v>1954.6153846153848</v>
      </c>
      <c r="D48" s="123">
        <v>4.0000000000000001E-3</v>
      </c>
      <c r="E48" s="124">
        <f t="shared" ref="E48:E51" si="1">D48*C48</f>
        <v>7.8184615384615395</v>
      </c>
      <c r="F48" s="125">
        <v>1.9E-2</v>
      </c>
      <c r="G48" s="122">
        <f t="shared" ref="G48:G51" si="2">F48*C48</f>
        <v>37.137692307692312</v>
      </c>
    </row>
    <row r="49" spans="2:7" x14ac:dyDescent="0.25">
      <c r="B49" s="118" t="s">
        <v>108</v>
      </c>
      <c r="C49" s="94">
        <f>$J$17</f>
        <v>1954.6153846153848</v>
      </c>
      <c r="D49" s="123">
        <v>4.0099999999999997E-2</v>
      </c>
      <c r="E49" s="124">
        <f t="shared" si="1"/>
        <v>78.380076923076928</v>
      </c>
      <c r="F49" s="125">
        <v>6.0100000000000001E-2</v>
      </c>
      <c r="G49" s="122">
        <f t="shared" si="2"/>
        <v>117.47238461538463</v>
      </c>
    </row>
    <row r="50" spans="2:7" x14ac:dyDescent="0.25">
      <c r="B50" s="118" t="s">
        <v>109</v>
      </c>
      <c r="C50" s="94">
        <f>+J18</f>
        <v>0</v>
      </c>
      <c r="D50" s="123">
        <v>9.7199999999999995E-2</v>
      </c>
      <c r="E50" s="124">
        <f t="shared" si="1"/>
        <v>0</v>
      </c>
      <c r="F50" s="125">
        <v>0.1457</v>
      </c>
      <c r="G50" s="122">
        <f t="shared" si="2"/>
        <v>0</v>
      </c>
    </row>
    <row r="51" spans="2:7" x14ac:dyDescent="0.25">
      <c r="B51" s="118" t="s">
        <v>110</v>
      </c>
      <c r="C51" s="94"/>
      <c r="D51" s="123">
        <v>1.4E-3</v>
      </c>
      <c r="E51" s="124">
        <f t="shared" si="1"/>
        <v>0</v>
      </c>
      <c r="F51" s="125">
        <v>2.0999999999999999E-3</v>
      </c>
      <c r="G51" s="122">
        <f t="shared" si="2"/>
        <v>0</v>
      </c>
    </row>
    <row r="52" spans="2:7" x14ac:dyDescent="0.25">
      <c r="B52" s="118" t="s">
        <v>111</v>
      </c>
      <c r="C52" s="94"/>
      <c r="D52" s="123"/>
      <c r="E52" s="124"/>
      <c r="F52" s="125"/>
      <c r="G52" s="122"/>
    </row>
    <row r="53" spans="2:7" x14ac:dyDescent="0.25">
      <c r="B53" s="113" t="s">
        <v>112</v>
      </c>
      <c r="C53" s="94">
        <f>$E$37</f>
        <v>1954.6153846153848</v>
      </c>
      <c r="D53" s="128"/>
      <c r="E53" s="94"/>
      <c r="F53" s="125">
        <v>3.4500000000000003E-2</v>
      </c>
      <c r="G53" s="129">
        <f>F53*C53</f>
        <v>67.43423076923078</v>
      </c>
    </row>
    <row r="54" spans="2:7" x14ac:dyDescent="0.25">
      <c r="B54" s="113" t="s">
        <v>113</v>
      </c>
      <c r="C54" s="94"/>
      <c r="D54" s="128"/>
      <c r="E54" s="94"/>
      <c r="F54" s="130"/>
      <c r="G54" s="122"/>
    </row>
    <row r="55" spans="2:7" x14ac:dyDescent="0.25">
      <c r="B55" s="118" t="s">
        <v>114</v>
      </c>
      <c r="C55" s="94">
        <f>E37</f>
        <v>1954.6153846153848</v>
      </c>
      <c r="D55" s="128"/>
      <c r="E55" s="94"/>
      <c r="F55" s="131">
        <v>4.2000000000000003E-2</v>
      </c>
      <c r="G55" s="122">
        <f t="shared" ref="G55" si="3">F55*C55</f>
        <v>82.093846153846158</v>
      </c>
    </row>
    <row r="56" spans="2:7" x14ac:dyDescent="0.25">
      <c r="B56" s="118" t="s">
        <v>115</v>
      </c>
      <c r="C56" s="94"/>
      <c r="D56" s="132">
        <v>2.4000000000000001E-4</v>
      </c>
      <c r="E56" s="133">
        <f>D56*C56</f>
        <v>0</v>
      </c>
      <c r="F56" s="130">
        <v>3.6000000000000002E-4</v>
      </c>
      <c r="G56" s="134">
        <f>C56*F56</f>
        <v>0</v>
      </c>
    </row>
    <row r="57" spans="2:7" x14ac:dyDescent="0.25">
      <c r="B57" s="113" t="s">
        <v>116</v>
      </c>
      <c r="C57" s="94"/>
      <c r="D57" s="128"/>
      <c r="E57" s="94"/>
      <c r="F57" s="130"/>
      <c r="G57" s="122">
        <f>E103</f>
        <v>32.172969230769233</v>
      </c>
    </row>
    <row r="58" spans="2:7" x14ac:dyDescent="0.25">
      <c r="B58" s="126"/>
      <c r="C58" s="94"/>
      <c r="D58" s="94"/>
      <c r="E58" s="94"/>
      <c r="F58" s="94"/>
      <c r="G58" s="135"/>
    </row>
    <row r="59" spans="2:7" ht="25.5" x14ac:dyDescent="0.25">
      <c r="B59" s="136" t="s">
        <v>117</v>
      </c>
      <c r="C59" s="94"/>
      <c r="D59" s="94"/>
      <c r="E59" s="94"/>
      <c r="F59" s="94"/>
      <c r="G59" s="135"/>
    </row>
    <row r="60" spans="2:7" x14ac:dyDescent="0.25">
      <c r="B60" s="126"/>
      <c r="C60" s="94"/>
      <c r="D60" s="132"/>
      <c r="E60" s="94"/>
      <c r="F60" s="137"/>
      <c r="G60" s="122"/>
    </row>
    <row r="61" spans="2:7" x14ac:dyDescent="0.25">
      <c r="B61" s="126" t="s">
        <v>118</v>
      </c>
      <c r="C61" s="94">
        <f>(E37-E24-E25-E26-E27)*0.9825+G42+G43+G44</f>
        <v>1942.4096153846156</v>
      </c>
      <c r="D61" s="123">
        <v>6.8000000000000005E-2</v>
      </c>
      <c r="E61" s="124">
        <f>D61*C61</f>
        <v>132.08385384615386</v>
      </c>
      <c r="F61" s="125"/>
      <c r="G61" s="122"/>
    </row>
    <row r="62" spans="2:7" x14ac:dyDescent="0.25">
      <c r="B62" s="126" t="s">
        <v>119</v>
      </c>
      <c r="C62" s="94">
        <f>C61</f>
        <v>1942.4096153846156</v>
      </c>
      <c r="D62" s="123">
        <v>2.9000000000000001E-2</v>
      </c>
      <c r="E62" s="124">
        <f>D62*C62</f>
        <v>56.329878846153854</v>
      </c>
      <c r="F62" s="125"/>
      <c r="G62" s="122"/>
    </row>
    <row r="63" spans="2:7" ht="25.5" x14ac:dyDescent="0.25">
      <c r="B63" s="138" t="s">
        <v>120</v>
      </c>
      <c r="C63" s="94">
        <f>(E24+E25+E26+E27)*0.9825</f>
        <v>0</v>
      </c>
      <c r="D63" s="123">
        <v>9.7000000000000003E-2</v>
      </c>
      <c r="E63" s="124">
        <f>D63*C63</f>
        <v>0</v>
      </c>
      <c r="F63" s="125"/>
      <c r="G63" s="122"/>
    </row>
    <row r="64" spans="2:7" x14ac:dyDescent="0.25">
      <c r="B64" s="371" t="s">
        <v>251</v>
      </c>
      <c r="C64" s="123"/>
      <c r="D64" s="123"/>
      <c r="E64" s="124"/>
      <c r="F64" s="125"/>
      <c r="G64" s="122">
        <f>-'REGUL SALVI'!H11</f>
        <v>-447.40315384615383</v>
      </c>
    </row>
    <row r="65" spans="2:10" x14ac:dyDescent="0.25">
      <c r="B65" s="138"/>
      <c r="C65" s="139"/>
      <c r="D65" s="123"/>
      <c r="E65" s="124"/>
      <c r="F65" s="125"/>
      <c r="G65" s="122"/>
    </row>
    <row r="66" spans="2:10" ht="15.75" thickBot="1" x14ac:dyDescent="0.3">
      <c r="B66" s="140"/>
      <c r="C66" s="141">
        <f>IF(AND(J4=151.67,J6&lt;20),C24+C25,0)</f>
        <v>0</v>
      </c>
      <c r="D66" s="142"/>
      <c r="E66" s="143"/>
      <c r="F66" s="144"/>
      <c r="G66" s="145"/>
    </row>
    <row r="67" spans="2:10" ht="15.75" thickBot="1" x14ac:dyDescent="0.3">
      <c r="B67" s="146" t="s">
        <v>124</v>
      </c>
      <c r="C67" s="147"/>
      <c r="D67" s="148"/>
      <c r="E67" s="149">
        <f>SUM(E41:E66)</f>
        <v>444.4807326923077</v>
      </c>
      <c r="F67" s="150"/>
      <c r="G67" s="151">
        <f>SUM(G41:G66)</f>
        <v>285.21681538461542</v>
      </c>
    </row>
    <row r="68" spans="2:10" ht="15.75" thickBot="1" x14ac:dyDescent="0.3">
      <c r="B68" s="152"/>
      <c r="C68" s="153"/>
      <c r="D68" s="154"/>
      <c r="E68" s="155"/>
      <c r="F68" s="156"/>
      <c r="G68" s="157"/>
    </row>
    <row r="69" spans="2:10" x14ac:dyDescent="0.25">
      <c r="B69" s="118" t="s">
        <v>125</v>
      </c>
      <c r="C69" s="124"/>
      <c r="D69" s="158"/>
      <c r="E69" s="159"/>
      <c r="F69" s="160"/>
      <c r="G69" s="161"/>
      <c r="I69" s="16" t="s">
        <v>11</v>
      </c>
      <c r="J69" s="23">
        <f>E37</f>
        <v>1954.6153846153848</v>
      </c>
    </row>
    <row r="70" spans="2:10" x14ac:dyDescent="0.25">
      <c r="B70" s="118" t="s">
        <v>126</v>
      </c>
      <c r="C70" s="124"/>
      <c r="D70" s="158"/>
      <c r="E70" s="159"/>
      <c r="F70" s="160"/>
      <c r="G70" s="161"/>
      <c r="I70" s="20" t="s">
        <v>266</v>
      </c>
      <c r="J70" s="319">
        <f>G44</f>
        <v>22</v>
      </c>
    </row>
    <row r="71" spans="2:10" x14ac:dyDescent="0.25">
      <c r="B71" s="118" t="s">
        <v>127</v>
      </c>
      <c r="C71" s="124"/>
      <c r="D71" s="158"/>
      <c r="E71" s="124"/>
      <c r="F71" s="160"/>
      <c r="G71" s="161"/>
      <c r="I71" s="20" t="s">
        <v>267</v>
      </c>
      <c r="J71" s="319">
        <f>+E62</f>
        <v>56.329878846153854</v>
      </c>
    </row>
    <row r="72" spans="2:10" ht="15.75" customHeight="1" x14ac:dyDescent="0.25">
      <c r="B72" s="162" t="s">
        <v>128</v>
      </c>
      <c r="C72" s="349">
        <v>13</v>
      </c>
      <c r="D72" s="158">
        <f>7*0.4</f>
        <v>2.8000000000000003</v>
      </c>
      <c r="E72" s="163">
        <f>-D72*C72</f>
        <v>-36.400000000000006</v>
      </c>
      <c r="F72" s="160"/>
      <c r="G72" s="161"/>
      <c r="I72" s="522" t="s">
        <v>279</v>
      </c>
      <c r="J72" s="523">
        <f>15</f>
        <v>15</v>
      </c>
    </row>
    <row r="73" spans="2:10" x14ac:dyDescent="0.25">
      <c r="B73" s="164" t="s">
        <v>129</v>
      </c>
      <c r="D73" s="165"/>
      <c r="E73" s="166"/>
      <c r="F73" s="167"/>
      <c r="G73" s="161"/>
      <c r="I73" s="20" t="s">
        <v>10</v>
      </c>
      <c r="J73" s="319">
        <f>-E67</f>
        <v>-444.4807326923077</v>
      </c>
    </row>
    <row r="74" spans="2:10" ht="15.75" thickBot="1" x14ac:dyDescent="0.3">
      <c r="B74" s="168"/>
      <c r="C74" s="124"/>
      <c r="D74" s="158"/>
      <c r="E74" s="169"/>
      <c r="F74" s="160"/>
      <c r="G74" s="161"/>
      <c r="I74" s="37" t="s">
        <v>269</v>
      </c>
      <c r="J74" s="320">
        <f>SUM(J69:J73)</f>
        <v>1603.4645307692308</v>
      </c>
    </row>
    <row r="75" spans="2:10" ht="15.75" thickBot="1" x14ac:dyDescent="0.3">
      <c r="B75" s="140"/>
      <c r="C75" s="143"/>
      <c r="D75" s="170"/>
      <c r="E75" s="171"/>
      <c r="F75" s="172"/>
      <c r="G75" s="145"/>
    </row>
    <row r="76" spans="2:10" ht="15.75" thickBot="1" x14ac:dyDescent="0.3">
      <c r="B76" s="173" t="s">
        <v>130</v>
      </c>
      <c r="C76" s="147"/>
      <c r="D76" s="148"/>
      <c r="E76" s="149"/>
      <c r="F76" s="150"/>
      <c r="G76" s="174">
        <f>E37-E67+E69+E70+E71+E72+E73+E74+E75</f>
        <v>1473.7346519230769</v>
      </c>
      <c r="H76" s="317"/>
    </row>
    <row r="77" spans="2:10" ht="28.5" x14ac:dyDescent="0.25">
      <c r="B77" s="175" t="s">
        <v>131</v>
      </c>
      <c r="C77" s="176"/>
      <c r="D77" s="177"/>
      <c r="E77" s="178"/>
      <c r="F77" s="179"/>
      <c r="G77" s="180">
        <f>E110</f>
        <v>28.549421153846154</v>
      </c>
    </row>
    <row r="78" spans="2:10" x14ac:dyDescent="0.25">
      <c r="B78" s="372" t="s">
        <v>132</v>
      </c>
      <c r="C78" s="372" t="s">
        <v>133</v>
      </c>
      <c r="D78" s="372" t="s">
        <v>96</v>
      </c>
      <c r="E78" s="373" t="s">
        <v>134</v>
      </c>
      <c r="F78" s="373"/>
      <c r="G78" s="374" t="s">
        <v>252</v>
      </c>
    </row>
    <row r="79" spans="2:10" x14ac:dyDescent="0.25">
      <c r="B79" s="375" t="s">
        <v>253</v>
      </c>
      <c r="C79" s="376"/>
      <c r="D79" s="377"/>
      <c r="E79" s="378">
        <f>J74</f>
        <v>1603.4645307692308</v>
      </c>
      <c r="F79" s="379"/>
      <c r="G79" s="380"/>
    </row>
    <row r="80" spans="2:10" x14ac:dyDescent="0.25">
      <c r="B80" s="375" t="s">
        <v>254</v>
      </c>
      <c r="C80" s="381">
        <f>E79</f>
        <v>1603.4645307692308</v>
      </c>
      <c r="D80" s="382">
        <v>0.02</v>
      </c>
      <c r="E80" s="378">
        <f>D80*C80</f>
        <v>32.069290615384617</v>
      </c>
      <c r="F80" s="379"/>
      <c r="G80" s="380"/>
    </row>
    <row r="81" spans="2:7" x14ac:dyDescent="0.25">
      <c r="B81" s="375" t="s">
        <v>255</v>
      </c>
      <c r="C81" s="376"/>
      <c r="D81" s="378"/>
      <c r="E81" s="377"/>
      <c r="F81" s="379"/>
      <c r="G81" s="380"/>
    </row>
    <row r="82" spans="2:7" x14ac:dyDescent="0.25">
      <c r="B82" s="375"/>
      <c r="C82" s="376"/>
      <c r="D82" s="377"/>
      <c r="E82" s="377"/>
      <c r="F82" s="379"/>
      <c r="G82" s="383"/>
    </row>
    <row r="83" spans="2:7" x14ac:dyDescent="0.25">
      <c r="B83" s="384" t="s">
        <v>256</v>
      </c>
      <c r="C83" s="377"/>
      <c r="D83" s="377"/>
      <c r="E83" s="378">
        <f>G76-E80</f>
        <v>1441.6653613076921</v>
      </c>
      <c r="F83" s="379"/>
      <c r="G83" s="380"/>
    </row>
    <row r="84" spans="2:7" x14ac:dyDescent="0.25">
      <c r="B84" s="375" t="s">
        <v>257</v>
      </c>
      <c r="C84" s="377"/>
      <c r="D84" s="377"/>
      <c r="E84" s="378">
        <f>E118</f>
        <v>599.86315384615386</v>
      </c>
      <c r="F84" s="379"/>
      <c r="G84" s="380"/>
    </row>
    <row r="85" spans="2:7" x14ac:dyDescent="0.25">
      <c r="B85" s="375" t="s">
        <v>258</v>
      </c>
      <c r="C85" s="385"/>
      <c r="D85" s="377"/>
      <c r="E85" s="378">
        <f>E37+G67</f>
        <v>2239.8322000000003</v>
      </c>
      <c r="F85" s="379"/>
      <c r="G85" s="380"/>
    </row>
    <row r="86" spans="2:7" ht="15" customHeight="1" thickBot="1" x14ac:dyDescent="0.3">
      <c r="B86" s="386" t="s">
        <v>137</v>
      </c>
      <c r="C86" s="184"/>
      <c r="D86" s="184"/>
      <c r="E86" s="184"/>
      <c r="F86" s="387"/>
      <c r="G86" s="388"/>
    </row>
    <row r="87" spans="2:7" ht="15.75" thickBot="1" x14ac:dyDescent="0.3">
      <c r="B87" s="182" t="s">
        <v>137</v>
      </c>
      <c r="C87" s="183"/>
      <c r="D87" s="183"/>
      <c r="E87" s="184"/>
      <c r="F87" s="184"/>
      <c r="G87" s="185"/>
    </row>
    <row r="90" spans="2:7" s="186" customFormat="1" ht="15.75" thickBot="1" x14ac:dyDescent="0.3">
      <c r="B90" s="539" t="s">
        <v>116</v>
      </c>
      <c r="C90" s="540"/>
      <c r="D90" s="8"/>
      <c r="E90" s="8"/>
    </row>
    <row r="91" spans="2:7" s="186" customFormat="1" x14ac:dyDescent="0.25">
      <c r="B91" s="187"/>
      <c r="C91" s="188"/>
      <c r="D91" s="541">
        <f>+E37</f>
        <v>1954.6153846153848</v>
      </c>
      <c r="E91" s="189"/>
    </row>
    <row r="92" spans="2:7" s="186" customFormat="1" x14ac:dyDescent="0.25">
      <c r="B92" s="190" t="s">
        <v>138</v>
      </c>
      <c r="C92" s="191">
        <f>IF(J6&gt;=11,J8,0)</f>
        <v>0</v>
      </c>
      <c r="D92" s="542"/>
      <c r="E92" s="192">
        <f>C92*$D$91</f>
        <v>0</v>
      </c>
    </row>
    <row r="93" spans="2:7" s="186" customFormat="1" x14ac:dyDescent="0.25">
      <c r="B93" s="190" t="s">
        <v>139</v>
      </c>
      <c r="C93" s="191">
        <f>IF(J6&lt;50,0%,0.5%)</f>
        <v>0</v>
      </c>
      <c r="D93" s="542"/>
      <c r="E93" s="192">
        <f t="shared" ref="E93:E98" si="4">C93*$D$91</f>
        <v>0</v>
      </c>
    </row>
    <row r="94" spans="2:7" s="186" customFormat="1" x14ac:dyDescent="0.25">
      <c r="B94" s="190" t="s">
        <v>140</v>
      </c>
      <c r="C94" s="191">
        <v>1.6000000000000001E-4</v>
      </c>
      <c r="D94" s="542"/>
      <c r="E94" s="192">
        <f t="shared" si="4"/>
        <v>0.31273846153846158</v>
      </c>
    </row>
    <row r="95" spans="2:7" s="186" customFormat="1" x14ac:dyDescent="0.25">
      <c r="B95" s="190" t="s">
        <v>141</v>
      </c>
      <c r="C95" s="191">
        <v>3.0000000000000001E-3</v>
      </c>
      <c r="D95" s="542"/>
      <c r="E95" s="192">
        <f t="shared" si="4"/>
        <v>5.8638461538461542</v>
      </c>
    </row>
    <row r="96" spans="2:7" s="186" customFormat="1" x14ac:dyDescent="0.25">
      <c r="B96" s="190" t="s">
        <v>142</v>
      </c>
      <c r="C96" s="191">
        <v>6.7999999999999996E-3</v>
      </c>
      <c r="D96" s="542"/>
      <c r="E96" s="192">
        <f t="shared" si="4"/>
        <v>13.291384615384615</v>
      </c>
    </row>
    <row r="97" spans="2:5" s="186" customFormat="1" x14ac:dyDescent="0.25">
      <c r="B97" s="190" t="s">
        <v>143</v>
      </c>
      <c r="C97" s="191">
        <f>IF(J6&lt;11,0.55%,1%)</f>
        <v>5.5000000000000005E-3</v>
      </c>
      <c r="D97" s="542"/>
      <c r="E97" s="192">
        <f t="shared" si="4"/>
        <v>10.750384615384617</v>
      </c>
    </row>
    <row r="98" spans="2:5" s="186" customFormat="1" x14ac:dyDescent="0.25">
      <c r="B98" s="190"/>
      <c r="C98" s="191">
        <f>IF(J6&lt;=50,0,0.45%)</f>
        <v>0</v>
      </c>
      <c r="D98" s="542"/>
      <c r="E98" s="192">
        <f t="shared" si="4"/>
        <v>0</v>
      </c>
    </row>
    <row r="99" spans="2:5" s="186" customFormat="1" x14ac:dyDescent="0.25">
      <c r="B99" s="20"/>
      <c r="C99" s="21"/>
      <c r="D99" s="21"/>
      <c r="E99" s="22"/>
    </row>
    <row r="100" spans="2:5" s="186" customFormat="1" x14ac:dyDescent="0.25">
      <c r="B100" s="20" t="s">
        <v>144</v>
      </c>
      <c r="C100" s="193">
        <f>IF(J6&gt;=11,+G42+G43+G44,0)</f>
        <v>0</v>
      </c>
      <c r="D100" s="194">
        <v>0.08</v>
      </c>
      <c r="E100" s="195">
        <f>D100*C100</f>
        <v>0</v>
      </c>
    </row>
    <row r="101" spans="2:5" s="186" customFormat="1" ht="15.75" thickBot="1" x14ac:dyDescent="0.3">
      <c r="B101" s="37" t="s">
        <v>145</v>
      </c>
      <c r="C101" s="196">
        <f>IF(J6&lt;50,J17,0)</f>
        <v>1954.6153846153848</v>
      </c>
      <c r="D101" s="197">
        <v>1E-3</v>
      </c>
      <c r="E101" s="198">
        <f>D101*C101</f>
        <v>1.9546153846153849</v>
      </c>
    </row>
    <row r="102" spans="2:5" s="186" customFormat="1" ht="15.75" thickBot="1" x14ac:dyDescent="0.3">
      <c r="B102" s="8"/>
      <c r="C102" s="8"/>
      <c r="D102" s="8"/>
      <c r="E102" s="8"/>
    </row>
    <row r="103" spans="2:5" s="186" customFormat="1" ht="15.75" thickBot="1" x14ac:dyDescent="0.3">
      <c r="B103" s="199" t="s">
        <v>146</v>
      </c>
      <c r="C103" s="200"/>
      <c r="D103" s="200"/>
      <c r="E103" s="201">
        <f>SUM(E92:E101)</f>
        <v>32.172969230769233</v>
      </c>
    </row>
    <row r="104" spans="2:5" s="186" customFormat="1" ht="15.75" thickBot="1" x14ac:dyDescent="0.3">
      <c r="B104" s="8"/>
      <c r="C104" s="8"/>
      <c r="D104" s="8"/>
      <c r="E104" s="8"/>
    </row>
    <row r="105" spans="2:5" s="186" customFormat="1" thickBot="1" x14ac:dyDescent="0.3">
      <c r="B105" s="529" t="s">
        <v>147</v>
      </c>
      <c r="C105" s="530"/>
      <c r="D105" s="530"/>
      <c r="E105" s="531"/>
    </row>
    <row r="106" spans="2:5" s="186" customFormat="1" x14ac:dyDescent="0.25">
      <c r="B106" s="202" t="s">
        <v>148</v>
      </c>
      <c r="C106" s="203">
        <f>E37</f>
        <v>1954.6153846153848</v>
      </c>
      <c r="D106" s="204">
        <v>2.4E-2</v>
      </c>
      <c r="E106" s="205">
        <f>D106*C106</f>
        <v>46.910769230769233</v>
      </c>
    </row>
    <row r="107" spans="2:5" s="186" customFormat="1" x14ac:dyDescent="0.25">
      <c r="B107" s="206" t="s">
        <v>17</v>
      </c>
      <c r="C107" s="203">
        <f>C106</f>
        <v>1954.6153846153848</v>
      </c>
      <c r="D107" s="207">
        <v>7.4999999999999997E-3</v>
      </c>
      <c r="E107" s="208">
        <f t="shared" ref="E107:E108" si="5">D107*C107</f>
        <v>14.659615384615385</v>
      </c>
    </row>
    <row r="108" spans="2:5" s="186" customFormat="1" x14ac:dyDescent="0.25">
      <c r="B108" s="206" t="s">
        <v>149</v>
      </c>
      <c r="C108" s="203">
        <f>C61+C63</f>
        <v>1942.4096153846156</v>
      </c>
      <c r="D108" s="207">
        <v>-1.7000000000000001E-2</v>
      </c>
      <c r="E108" s="208">
        <f t="shared" si="5"/>
        <v>-33.020963461538464</v>
      </c>
    </row>
    <row r="109" spans="2:5" s="186" customFormat="1" x14ac:dyDescent="0.25">
      <c r="B109" s="181"/>
      <c r="C109" s="209"/>
      <c r="D109" s="210"/>
      <c r="E109" s="211"/>
    </row>
    <row r="110" spans="2:5" s="186" customFormat="1" ht="15.75" thickBot="1" x14ac:dyDescent="0.3">
      <c r="B110" s="212" t="s">
        <v>150</v>
      </c>
      <c r="C110" s="213"/>
      <c r="D110" s="214"/>
      <c r="E110" s="215">
        <f>SUM(E106:E109)</f>
        <v>28.549421153846154</v>
      </c>
    </row>
    <row r="111" spans="2:5" s="186" customFormat="1" ht="12.75" x14ac:dyDescent="0.25"/>
    <row r="112" spans="2:5" s="186" customFormat="1" ht="13.5" thickBot="1" x14ac:dyDescent="0.3"/>
    <row r="113" spans="2:9" s="186" customFormat="1" thickBot="1" x14ac:dyDescent="0.3">
      <c r="B113" s="529" t="s">
        <v>151</v>
      </c>
      <c r="C113" s="530"/>
      <c r="D113" s="530"/>
      <c r="E113" s="531"/>
    </row>
    <row r="114" spans="2:9" s="186" customFormat="1" ht="15.75" customHeight="1" x14ac:dyDescent="0.25">
      <c r="B114" s="216" t="s">
        <v>152</v>
      </c>
      <c r="C114" s="217"/>
      <c r="D114" s="217"/>
      <c r="E114" s="218">
        <f>G64*-1</f>
        <v>447.40315384615383</v>
      </c>
    </row>
    <row r="115" spans="2:9" s="186" customFormat="1" ht="15.75" customHeight="1" x14ac:dyDescent="0.25">
      <c r="B115" s="219" t="s">
        <v>153</v>
      </c>
      <c r="C115" s="220">
        <f>C66</f>
        <v>0</v>
      </c>
      <c r="D115" s="221">
        <v>1.5</v>
      </c>
      <c r="E115" s="222">
        <f>D115*C115</f>
        <v>0</v>
      </c>
    </row>
    <row r="116" spans="2:9" s="186" customFormat="1" ht="15.75" customHeight="1" x14ac:dyDescent="0.25">
      <c r="B116" s="219" t="s">
        <v>154</v>
      </c>
      <c r="C116" s="223">
        <f>E37</f>
        <v>1954.6153846153848</v>
      </c>
      <c r="D116" s="207">
        <v>1.7999999999999999E-2</v>
      </c>
      <c r="E116" s="222">
        <f>D116*C116</f>
        <v>35.183076923076925</v>
      </c>
    </row>
    <row r="117" spans="2:9" s="186" customFormat="1" ht="15.75" customHeight="1" x14ac:dyDescent="0.25">
      <c r="B117" s="219" t="s">
        <v>155</v>
      </c>
      <c r="C117" s="223">
        <f>C116</f>
        <v>1954.6153846153848</v>
      </c>
      <c r="D117" s="207">
        <v>0.06</v>
      </c>
      <c r="E117" s="222">
        <f>D117*C117</f>
        <v>117.27692307692308</v>
      </c>
    </row>
    <row r="118" spans="2:9" s="186" customFormat="1" ht="15.75" customHeight="1" thickBot="1" x14ac:dyDescent="0.3">
      <c r="B118" s="224" t="s">
        <v>156</v>
      </c>
      <c r="C118" s="225"/>
      <c r="D118" s="225"/>
      <c r="E118" s="226">
        <f>E114+E115+E116+E117</f>
        <v>599.86315384615386</v>
      </c>
    </row>
    <row r="121" spans="2:9" ht="15.75" hidden="1" thickBot="1" x14ac:dyDescent="0.3">
      <c r="B121" s="227" t="s">
        <v>157</v>
      </c>
      <c r="C121" s="228">
        <f>J19</f>
        <v>0.31950000000000001</v>
      </c>
      <c r="D121" s="229"/>
      <c r="E121" s="229"/>
      <c r="F121" s="229"/>
      <c r="G121" s="229"/>
      <c r="H121" s="229"/>
      <c r="I121" s="229"/>
    </row>
    <row r="122" spans="2:9" hidden="1" x14ac:dyDescent="0.25">
      <c r="B122" s="229"/>
      <c r="C122" s="229"/>
      <c r="D122" s="229"/>
      <c r="E122" s="229"/>
      <c r="F122" s="229"/>
      <c r="G122" s="229"/>
      <c r="H122" s="229"/>
      <c r="I122" s="229"/>
    </row>
    <row r="123" spans="2:9" ht="30" hidden="1" x14ac:dyDescent="0.25">
      <c r="B123" s="3" t="s">
        <v>158</v>
      </c>
      <c r="C123" s="230" t="s">
        <v>159</v>
      </c>
      <c r="D123" s="230" t="s">
        <v>160</v>
      </c>
      <c r="E123" s="231" t="s">
        <v>161</v>
      </c>
      <c r="F123" s="232" t="s">
        <v>162</v>
      </c>
      <c r="G123" s="232" t="s">
        <v>163</v>
      </c>
      <c r="H123" s="232" t="s">
        <v>164</v>
      </c>
      <c r="I123" s="233" t="s">
        <v>165</v>
      </c>
    </row>
    <row r="124" spans="2:9" ht="15.75" hidden="1" thickBot="1" x14ac:dyDescent="0.3">
      <c r="B124" s="76" t="s">
        <v>166</v>
      </c>
      <c r="C124" s="234"/>
      <c r="D124" s="235">
        <f>C124</f>
        <v>0</v>
      </c>
      <c r="E124" s="236">
        <v>1603.12</v>
      </c>
      <c r="F124" s="234">
        <f>+E124</f>
        <v>1603.12</v>
      </c>
      <c r="G124" s="237" t="e">
        <f>ROUND((C121/0.6)*((1.6*F124/D124)-1),4)</f>
        <v>#DIV/0!</v>
      </c>
      <c r="H124" s="235" t="e">
        <f>IF(G124&gt;0,G124*D124,0)</f>
        <v>#DIV/0!</v>
      </c>
      <c r="I124" s="238">
        <v>0</v>
      </c>
    </row>
    <row r="125" spans="2:9" hidden="1" x14ac:dyDescent="0.25"/>
    <row r="126" spans="2:9" hidden="1" x14ac:dyDescent="0.25"/>
    <row r="127" spans="2:9" ht="18.75" hidden="1" x14ac:dyDescent="0.25">
      <c r="B127" s="532" t="s">
        <v>167</v>
      </c>
      <c r="C127" s="535"/>
      <c r="D127" s="535"/>
      <c r="E127" s="535"/>
    </row>
    <row r="128" spans="2:9" hidden="1" x14ac:dyDescent="0.25"/>
    <row r="129" spans="2:6" hidden="1" x14ac:dyDescent="0.25">
      <c r="B129" s="239" t="s">
        <v>168</v>
      </c>
      <c r="C129" s="240" t="s">
        <v>169</v>
      </c>
      <c r="D129" s="241" t="s">
        <v>170</v>
      </c>
      <c r="E129" s="241" t="s">
        <v>171</v>
      </c>
      <c r="F129" s="242" t="s">
        <v>172</v>
      </c>
    </row>
    <row r="130" spans="2:6" hidden="1" x14ac:dyDescent="0.25">
      <c r="B130" s="243" t="s">
        <v>173</v>
      </c>
      <c r="C130" s="2"/>
      <c r="D130" s="244">
        <f>C130-25</f>
        <v>-25</v>
      </c>
      <c r="E130" s="244">
        <f>IF(D130&lt;2.8,D130,2.8)</f>
        <v>-25</v>
      </c>
      <c r="F130" s="6">
        <f>IF(D130&gt;2.8,D130-2.8,0)</f>
        <v>0</v>
      </c>
    </row>
    <row r="131" spans="2:6" hidden="1" x14ac:dyDescent="0.25">
      <c r="B131" s="243" t="s">
        <v>174</v>
      </c>
      <c r="C131" s="2"/>
      <c r="D131" s="244">
        <f>C131-25</f>
        <v>-25</v>
      </c>
      <c r="E131" s="244">
        <f t="shared" ref="E131:E133" si="6">IF(D131&lt;2.8,D131,2.8)</f>
        <v>-25</v>
      </c>
      <c r="F131" s="6">
        <f t="shared" ref="F131:F133" si="7">IF(D131&gt;2.8,D131-2.8,0)</f>
        <v>0</v>
      </c>
    </row>
    <row r="132" spans="2:6" hidden="1" x14ac:dyDescent="0.25">
      <c r="B132" s="243" t="s">
        <v>175</v>
      </c>
      <c r="C132" s="2"/>
      <c r="D132" s="244">
        <f t="shared" ref="D132:D133" si="8">C132-25</f>
        <v>-25</v>
      </c>
      <c r="E132" s="244">
        <f t="shared" si="6"/>
        <v>-25</v>
      </c>
      <c r="F132" s="6">
        <f t="shared" si="7"/>
        <v>0</v>
      </c>
    </row>
    <row r="133" spans="2:6" hidden="1" x14ac:dyDescent="0.25">
      <c r="B133" s="243" t="s">
        <v>176</v>
      </c>
      <c r="C133" s="2"/>
      <c r="D133" s="244">
        <f t="shared" si="8"/>
        <v>-25</v>
      </c>
      <c r="E133" s="245">
        <f t="shared" si="6"/>
        <v>-25</v>
      </c>
      <c r="F133" s="246">
        <f t="shared" si="7"/>
        <v>0</v>
      </c>
    </row>
    <row r="134" spans="2:6" ht="15.75" hidden="1" thickBot="1" x14ac:dyDescent="0.3">
      <c r="B134" s="247" t="s">
        <v>177</v>
      </c>
      <c r="C134" s="2"/>
      <c r="D134" s="536" t="s">
        <v>178</v>
      </c>
      <c r="E134" s="536"/>
      <c r="F134" s="537"/>
    </row>
    <row r="135" spans="2:6" ht="15.75" hidden="1" thickBot="1" x14ac:dyDescent="0.3">
      <c r="B135" s="248" t="s">
        <v>179</v>
      </c>
      <c r="C135" s="249"/>
      <c r="D135" s="249">
        <f>SUM(D130:D133)</f>
        <v>-100</v>
      </c>
      <c r="E135" s="249">
        <f>SUM(E130:E133)</f>
        <v>-100</v>
      </c>
      <c r="F135" s="250">
        <f>SUM(F130:F133)</f>
        <v>0</v>
      </c>
    </row>
    <row r="136" spans="2:6" hidden="1" x14ac:dyDescent="0.25"/>
    <row r="137" spans="2:6" ht="18.75" customHeight="1" x14ac:dyDescent="0.25">
      <c r="B137" s="7"/>
      <c r="C137" s="251"/>
      <c r="D137" s="252"/>
      <c r="E137" s="7"/>
      <c r="F137" s="7"/>
    </row>
    <row r="138" spans="2:6" ht="18.75" x14ac:dyDescent="0.25">
      <c r="B138" s="532" t="s">
        <v>9</v>
      </c>
      <c r="C138" s="535"/>
      <c r="D138" s="535"/>
      <c r="E138" s="535"/>
    </row>
    <row r="139" spans="2:6" ht="15.75" thickBot="1" x14ac:dyDescent="0.3"/>
    <row r="140" spans="2:6" x14ac:dyDescent="0.25">
      <c r="B140" s="543" t="s">
        <v>10</v>
      </c>
      <c r="C140" s="544"/>
      <c r="D140" s="544"/>
      <c r="E140" s="545"/>
    </row>
    <row r="141" spans="2:6" x14ac:dyDescent="0.25">
      <c r="B141" s="253" t="s">
        <v>11</v>
      </c>
      <c r="C141" s="254"/>
      <c r="D141" s="254"/>
      <c r="E141" s="268"/>
    </row>
    <row r="142" spans="2:6" x14ac:dyDescent="0.25">
      <c r="B142" s="253" t="s">
        <v>12</v>
      </c>
      <c r="C142" s="254"/>
      <c r="D142" s="254"/>
      <c r="E142" s="255"/>
    </row>
    <row r="143" spans="2:6" x14ac:dyDescent="0.25">
      <c r="B143" s="253" t="s">
        <v>13</v>
      </c>
      <c r="C143" s="254"/>
      <c r="D143" s="254"/>
      <c r="E143" s="272"/>
    </row>
    <row r="144" spans="2:6" ht="15.75" thickBot="1" x14ac:dyDescent="0.3">
      <c r="B144" s="253" t="s">
        <v>14</v>
      </c>
      <c r="C144" s="254"/>
      <c r="D144" s="254"/>
      <c r="E144" s="269"/>
    </row>
    <row r="145" spans="2:5" ht="16.5" thickTop="1" thickBot="1" x14ac:dyDescent="0.3">
      <c r="B145" s="256" t="s">
        <v>15</v>
      </c>
      <c r="C145" s="257"/>
      <c r="D145" s="258"/>
      <c r="E145" s="273">
        <f>E143*E144</f>
        <v>0</v>
      </c>
    </row>
    <row r="146" spans="2:5" ht="15.75" thickBot="1" x14ac:dyDescent="0.3">
      <c r="B146" s="259"/>
      <c r="C146" s="259"/>
      <c r="D146" s="259"/>
      <c r="E146" s="259"/>
    </row>
    <row r="147" spans="2:5" ht="15.75" thickBot="1" x14ac:dyDescent="0.3">
      <c r="B147" s="529" t="s">
        <v>16</v>
      </c>
      <c r="C147" s="530"/>
      <c r="D147" s="530"/>
      <c r="E147" s="531"/>
    </row>
    <row r="148" spans="2:5" x14ac:dyDescent="0.25">
      <c r="B148" s="260" t="s">
        <v>17</v>
      </c>
      <c r="C148" s="261"/>
      <c r="D148" s="262" t="s">
        <v>18</v>
      </c>
      <c r="E148" s="263" t="s">
        <v>19</v>
      </c>
    </row>
    <row r="149" spans="2:5" x14ac:dyDescent="0.25">
      <c r="B149" s="206" t="s">
        <v>20</v>
      </c>
      <c r="C149" s="270"/>
      <c r="D149" s="271"/>
      <c r="E149" s="274"/>
    </row>
    <row r="150" spans="2:5" x14ac:dyDescent="0.25">
      <c r="B150" s="206" t="s">
        <v>21</v>
      </c>
      <c r="C150" s="270"/>
      <c r="D150" s="271"/>
      <c r="E150" s="274"/>
    </row>
    <row r="151" spans="2:5" x14ac:dyDescent="0.25">
      <c r="B151" s="206" t="s">
        <v>22</v>
      </c>
      <c r="C151" s="270"/>
      <c r="D151" s="271"/>
      <c r="E151" s="274"/>
    </row>
    <row r="152" spans="2:5" x14ac:dyDescent="0.25">
      <c r="B152" s="206" t="s">
        <v>23</v>
      </c>
      <c r="C152" s="264"/>
      <c r="D152" s="264"/>
      <c r="E152" s="208"/>
    </row>
    <row r="153" spans="2:5" x14ac:dyDescent="0.25">
      <c r="B153" s="206" t="s">
        <v>24</v>
      </c>
      <c r="C153" s="264"/>
      <c r="D153" s="264"/>
      <c r="E153" s="208"/>
    </row>
    <row r="154" spans="2:5" x14ac:dyDescent="0.25">
      <c r="B154" s="206" t="s">
        <v>180</v>
      </c>
      <c r="C154" s="264"/>
      <c r="D154" s="276" t="s">
        <v>181</v>
      </c>
      <c r="E154" s="265"/>
    </row>
    <row r="155" spans="2:5" x14ac:dyDescent="0.25">
      <c r="B155" s="206" t="s">
        <v>25</v>
      </c>
      <c r="C155" s="264"/>
      <c r="D155" s="264"/>
      <c r="E155" s="280">
        <f>E154*E153</f>
        <v>0</v>
      </c>
    </row>
    <row r="156" spans="2:5" x14ac:dyDescent="0.25">
      <c r="B156" s="206" t="s">
        <v>26</v>
      </c>
      <c r="C156" s="264"/>
      <c r="D156" s="264"/>
      <c r="E156" s="208">
        <f>E155*6.7%</f>
        <v>0</v>
      </c>
    </row>
    <row r="157" spans="2:5" ht="15.75" thickBot="1" x14ac:dyDescent="0.3">
      <c r="B157" s="266" t="s">
        <v>27</v>
      </c>
      <c r="C157" s="267"/>
      <c r="D157" s="267"/>
      <c r="E157" s="275">
        <f>E155-E156</f>
        <v>0</v>
      </c>
    </row>
    <row r="158" spans="2:5" ht="15.75" thickBot="1" x14ac:dyDescent="0.3"/>
    <row r="159" spans="2:5" x14ac:dyDescent="0.25">
      <c r="B159" s="543" t="s">
        <v>28</v>
      </c>
      <c r="C159" s="544"/>
      <c r="D159" s="544"/>
      <c r="E159" s="545"/>
    </row>
    <row r="160" spans="2:5" x14ac:dyDescent="0.25">
      <c r="B160" s="253" t="s">
        <v>29</v>
      </c>
      <c r="C160" s="254"/>
      <c r="D160" s="254"/>
      <c r="E160" s="277"/>
    </row>
    <row r="161" spans="2:5" ht="15.75" thickBot="1" x14ac:dyDescent="0.3">
      <c r="B161" s="253" t="s">
        <v>30</v>
      </c>
      <c r="C161" s="254"/>
      <c r="D161" s="254"/>
      <c r="E161" s="255">
        <f>E143*0.9</f>
        <v>0</v>
      </c>
    </row>
    <row r="162" spans="2:5" ht="16.5" thickTop="1" thickBot="1" x14ac:dyDescent="0.3">
      <c r="B162" s="253" t="s">
        <v>31</v>
      </c>
      <c r="C162" s="254"/>
      <c r="D162" s="254"/>
      <c r="E162" s="273">
        <f>E160*E161</f>
        <v>0</v>
      </c>
    </row>
    <row r="163" spans="2:5" ht="16.5" thickTop="1" thickBot="1" x14ac:dyDescent="0.3">
      <c r="B163" s="206" t="s">
        <v>32</v>
      </c>
      <c r="C163" s="254"/>
      <c r="D163" s="254"/>
      <c r="E163" s="278">
        <f>E153</f>
        <v>0</v>
      </c>
    </row>
    <row r="164" spans="2:5" ht="16.5" thickTop="1" thickBot="1" x14ac:dyDescent="0.3">
      <c r="B164" s="256" t="s">
        <v>33</v>
      </c>
      <c r="C164" s="281">
        <f>E160</f>
        <v>0</v>
      </c>
      <c r="D164" s="279">
        <f>E163</f>
        <v>0</v>
      </c>
      <c r="E164" s="273">
        <f>D164*C164</f>
        <v>0</v>
      </c>
    </row>
    <row r="167" spans="2:5" ht="18.75" x14ac:dyDescent="0.25">
      <c r="B167" s="532" t="s">
        <v>242</v>
      </c>
      <c r="C167" s="535"/>
      <c r="D167" s="535"/>
      <c r="E167" s="535"/>
    </row>
    <row r="169" spans="2:5" ht="15.75" thickBot="1" x14ac:dyDescent="0.3">
      <c r="B169" s="30" t="s">
        <v>28</v>
      </c>
    </row>
    <row r="170" spans="2:5" x14ac:dyDescent="0.25">
      <c r="B170" s="16" t="s">
        <v>11</v>
      </c>
      <c r="C170" s="14"/>
      <c r="D170" s="14"/>
      <c r="E170" s="23">
        <v>1800</v>
      </c>
    </row>
    <row r="171" spans="2:5" x14ac:dyDescent="0.25">
      <c r="B171" s="354" t="s">
        <v>238</v>
      </c>
      <c r="C171" s="21"/>
      <c r="D171" s="21"/>
      <c r="E171" s="69">
        <f>E170/26</f>
        <v>69.230769230769226</v>
      </c>
    </row>
    <row r="172" spans="2:5" x14ac:dyDescent="0.25">
      <c r="B172" s="20" t="s">
        <v>239</v>
      </c>
      <c r="C172" s="21"/>
      <c r="D172" s="21"/>
      <c r="E172" s="22">
        <v>6</v>
      </c>
    </row>
    <row r="173" spans="2:5" x14ac:dyDescent="0.25">
      <c r="B173" s="20" t="s">
        <v>240</v>
      </c>
      <c r="C173" s="21"/>
      <c r="D173" s="21"/>
      <c r="E173" s="69">
        <f>E172*E171</f>
        <v>415.38461538461536</v>
      </c>
    </row>
    <row r="174" spans="2:5" ht="15.75" thickBot="1" x14ac:dyDescent="0.3">
      <c r="B174" s="37" t="s">
        <v>15</v>
      </c>
      <c r="C174" s="40"/>
      <c r="D174" s="40"/>
      <c r="E174" s="355">
        <f>E173</f>
        <v>415.38461538461536</v>
      </c>
    </row>
    <row r="175" spans="2:5" ht="15.75" thickBot="1" x14ac:dyDescent="0.3"/>
    <row r="176" spans="2:5" ht="15.75" thickBot="1" x14ac:dyDescent="0.3">
      <c r="B176" s="16" t="s">
        <v>241</v>
      </c>
      <c r="C176" s="14"/>
      <c r="D176" s="14"/>
      <c r="E176" s="355">
        <f>1177+393</f>
        <v>1570</v>
      </c>
    </row>
    <row r="178" spans="2:5" ht="15.75" thickBot="1" x14ac:dyDescent="0.3">
      <c r="B178" s="8" t="s">
        <v>243</v>
      </c>
    </row>
    <row r="179" spans="2:5" x14ac:dyDescent="0.25">
      <c r="B179" s="411" t="s">
        <v>244</v>
      </c>
      <c r="C179" s="412"/>
      <c r="D179" s="412" t="s">
        <v>272</v>
      </c>
      <c r="E179" s="413">
        <f>1700*12</f>
        <v>20400</v>
      </c>
    </row>
    <row r="180" spans="2:5" x14ac:dyDescent="0.25">
      <c r="B180" s="414" t="s">
        <v>245</v>
      </c>
      <c r="C180" s="415"/>
      <c r="D180" s="415"/>
      <c r="E180" s="421">
        <v>1000</v>
      </c>
    </row>
    <row r="181" spans="2:5" x14ac:dyDescent="0.25">
      <c r="B181" s="414" t="s">
        <v>246</v>
      </c>
      <c r="C181" s="415"/>
      <c r="D181" s="415"/>
      <c r="E181" s="416">
        <f>SUM(E179:E180)</f>
        <v>21400</v>
      </c>
    </row>
    <row r="182" spans="2:5" x14ac:dyDescent="0.25">
      <c r="B182" s="417" t="s">
        <v>247</v>
      </c>
      <c r="C182" s="415"/>
      <c r="D182" s="415"/>
      <c r="E182" s="418">
        <f>E181/10</f>
        <v>2140</v>
      </c>
    </row>
    <row r="183" spans="2:5" x14ac:dyDescent="0.25">
      <c r="B183" s="414" t="s">
        <v>241</v>
      </c>
      <c r="C183" s="415"/>
      <c r="D183" s="415"/>
      <c r="E183" s="416">
        <f>E176</f>
        <v>1570</v>
      </c>
    </row>
    <row r="184" spans="2:5" x14ac:dyDescent="0.25">
      <c r="B184" s="414" t="s">
        <v>274</v>
      </c>
      <c r="C184" s="415"/>
      <c r="D184" s="415"/>
      <c r="E184" s="416">
        <f>E30</f>
        <v>415.38461538461536</v>
      </c>
    </row>
    <row r="185" spans="2:5" ht="15.75" thickBot="1" x14ac:dyDescent="0.3">
      <c r="B185" s="419" t="s">
        <v>275</v>
      </c>
      <c r="C185" s="420"/>
      <c r="D185" s="420"/>
      <c r="E185" s="422">
        <f>E183+E184</f>
        <v>1985.3846153846152</v>
      </c>
    </row>
    <row r="186" spans="2:5" ht="15.75" thickBot="1" x14ac:dyDescent="0.3"/>
    <row r="187" spans="2:5" x14ac:dyDescent="0.25">
      <c r="B187" s="16" t="s">
        <v>276</v>
      </c>
      <c r="C187" s="14"/>
      <c r="D187" s="14"/>
      <c r="E187" s="423">
        <f>MAX(E182,E185)</f>
        <v>2140</v>
      </c>
    </row>
    <row r="188" spans="2:5" x14ac:dyDescent="0.25">
      <c r="B188" s="20" t="s">
        <v>277</v>
      </c>
      <c r="C188" s="21"/>
      <c r="D188" s="21"/>
      <c r="E188" s="424">
        <f>E185</f>
        <v>1985.3846153846152</v>
      </c>
    </row>
    <row r="189" spans="2:5" ht="15.75" thickBot="1" x14ac:dyDescent="0.3">
      <c r="B189" s="37" t="s">
        <v>278</v>
      </c>
      <c r="C189" s="40"/>
      <c r="D189" s="40"/>
      <c r="E189" s="425">
        <f>E187-E188</f>
        <v>154.61538461538476</v>
      </c>
    </row>
  </sheetData>
  <mergeCells count="13">
    <mergeCell ref="C17:D17"/>
    <mergeCell ref="F17:G17"/>
    <mergeCell ref="B167:E167"/>
    <mergeCell ref="B159:E159"/>
    <mergeCell ref="B90:C90"/>
    <mergeCell ref="D91:D98"/>
    <mergeCell ref="B105:E105"/>
    <mergeCell ref="B113:E113"/>
    <mergeCell ref="B127:E127"/>
    <mergeCell ref="D134:F134"/>
    <mergeCell ref="B138:E138"/>
    <mergeCell ref="B140:E140"/>
    <mergeCell ref="B147:E147"/>
  </mergeCells>
  <phoneticPr fontId="4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07F5C-5E4B-461A-8481-E7F71E2848F0}">
  <dimension ref="A2:N55"/>
  <sheetViews>
    <sheetView topLeftCell="A3" workbookViewId="0">
      <selection activeCell="J8" sqref="J8"/>
    </sheetView>
  </sheetViews>
  <sheetFormatPr baseColWidth="10" defaultRowHeight="15" x14ac:dyDescent="0.25"/>
  <cols>
    <col min="1" max="1" width="21.42578125" style="229" customWidth="1"/>
    <col min="2" max="2" width="13" style="229" bestFit="1" customWidth="1"/>
    <col min="3" max="3" width="12.7109375" style="229" bestFit="1" customWidth="1"/>
    <col min="4" max="5" width="16.85546875" style="229" bestFit="1" customWidth="1"/>
    <col min="6" max="6" width="12.42578125" style="229" bestFit="1" customWidth="1"/>
    <col min="7" max="7" width="12.85546875" style="229" customWidth="1"/>
    <col min="8" max="8" width="13" style="229" bestFit="1" customWidth="1"/>
    <col min="9" max="9" width="13.7109375" style="229" customWidth="1"/>
    <col min="10" max="10" width="14.42578125" style="229" customWidth="1"/>
    <col min="11" max="11" width="11.85546875" style="229" bestFit="1" customWidth="1"/>
    <col min="12" max="12" width="38.42578125" style="229" bestFit="1" customWidth="1"/>
    <col min="13" max="13" width="11.42578125" style="229"/>
    <col min="14" max="14" width="14.5703125" style="229" bestFit="1" customWidth="1"/>
    <col min="15" max="16384" width="11.42578125" style="229"/>
  </cols>
  <sheetData>
    <row r="2" spans="1:10" ht="23.25" x14ac:dyDescent="0.25">
      <c r="A2" s="282" t="s">
        <v>182</v>
      </c>
      <c r="B2" s="283"/>
      <c r="C2" s="283"/>
      <c r="D2" s="283"/>
      <c r="E2" s="283"/>
      <c r="F2" s="283"/>
      <c r="G2" s="283"/>
      <c r="H2" s="283"/>
    </row>
    <row r="4" spans="1:10" ht="18.75" x14ac:dyDescent="0.25">
      <c r="A4" s="284" t="s">
        <v>183</v>
      </c>
      <c r="D4" s="285">
        <v>3666</v>
      </c>
      <c r="F4" s="301" t="s">
        <v>215</v>
      </c>
      <c r="H4" s="314" t="s">
        <v>248</v>
      </c>
      <c r="I4" s="301">
        <v>21</v>
      </c>
    </row>
    <row r="5" spans="1:10" ht="15.75" thickBot="1" x14ac:dyDescent="0.3"/>
    <row r="6" spans="1:10" ht="30" x14ac:dyDescent="0.25">
      <c r="A6" s="286" t="s">
        <v>158</v>
      </c>
      <c r="B6" s="230" t="s">
        <v>135</v>
      </c>
      <c r="C6" s="230" t="s">
        <v>184</v>
      </c>
      <c r="D6" s="230" t="s">
        <v>185</v>
      </c>
      <c r="E6" s="232" t="s">
        <v>186</v>
      </c>
      <c r="F6" s="232" t="s">
        <v>187</v>
      </c>
      <c r="G6" s="232" t="s">
        <v>188</v>
      </c>
      <c r="H6" s="233" t="s">
        <v>189</v>
      </c>
      <c r="J6" s="301"/>
    </row>
    <row r="7" spans="1:10" x14ac:dyDescent="0.25">
      <c r="A7" s="287" t="s">
        <v>190</v>
      </c>
      <c r="B7" s="393">
        <v>3766</v>
      </c>
      <c r="C7" s="401">
        <f>B7</f>
        <v>3766</v>
      </c>
      <c r="D7" s="401">
        <f>D50</f>
        <v>3666</v>
      </c>
      <c r="E7" s="401">
        <f>D7</f>
        <v>3666</v>
      </c>
      <c r="F7" s="401">
        <f>MIN(C7,E7)</f>
        <v>3666</v>
      </c>
      <c r="G7" s="401">
        <f>F7</f>
        <v>3666</v>
      </c>
      <c r="H7" s="402">
        <f t="shared" ref="H7" si="0">B7-G7</f>
        <v>100</v>
      </c>
      <c r="J7" s="301"/>
    </row>
    <row r="8" spans="1:10" x14ac:dyDescent="0.25">
      <c r="A8" s="287" t="s">
        <v>191</v>
      </c>
      <c r="B8" s="393">
        <v>3766</v>
      </c>
      <c r="C8" s="401">
        <f>C7+B8</f>
        <v>7532</v>
      </c>
      <c r="D8" s="401">
        <f t="shared" ref="D8:D11" si="1">D51</f>
        <v>3666</v>
      </c>
      <c r="E8" s="401">
        <f>E7+D8</f>
        <v>7332</v>
      </c>
      <c r="F8" s="426">
        <f t="shared" ref="F8:F11" si="2">MIN(C8,E8)</f>
        <v>7332</v>
      </c>
      <c r="G8" s="401">
        <f>F8-F7</f>
        <v>3666</v>
      </c>
      <c r="H8" s="402">
        <f>B8-G8</f>
        <v>100</v>
      </c>
      <c r="J8" s="301"/>
    </row>
    <row r="9" spans="1:10" x14ac:dyDescent="0.25">
      <c r="A9" s="287" t="s">
        <v>192</v>
      </c>
      <c r="B9" s="393">
        <v>3766</v>
      </c>
      <c r="C9" s="401">
        <f t="shared" ref="C9:C11" si="3">C8+B9</f>
        <v>11298</v>
      </c>
      <c r="D9" s="401">
        <f t="shared" si="1"/>
        <v>3666</v>
      </c>
      <c r="E9" s="401">
        <f t="shared" ref="E9:E11" si="4">E8+D9</f>
        <v>10998</v>
      </c>
      <c r="F9" s="426">
        <f t="shared" si="2"/>
        <v>10998</v>
      </c>
      <c r="G9" s="401">
        <f t="shared" ref="G9:G11" si="5">F9-F8</f>
        <v>3666</v>
      </c>
      <c r="H9" s="402">
        <f t="shared" ref="H9:H11" si="6">B9-G9</f>
        <v>100</v>
      </c>
    </row>
    <row r="10" spans="1:10" x14ac:dyDescent="0.25">
      <c r="A10" s="287" t="s">
        <v>193</v>
      </c>
      <c r="B10" s="393">
        <v>3766</v>
      </c>
      <c r="C10" s="401">
        <f t="shared" si="3"/>
        <v>15064</v>
      </c>
      <c r="D10" s="401">
        <f t="shared" si="1"/>
        <v>3666</v>
      </c>
      <c r="E10" s="401">
        <f t="shared" si="4"/>
        <v>14664</v>
      </c>
      <c r="F10" s="426">
        <f t="shared" si="2"/>
        <v>14664</v>
      </c>
      <c r="G10" s="401">
        <f t="shared" si="5"/>
        <v>3666</v>
      </c>
      <c r="H10" s="402">
        <f t="shared" si="6"/>
        <v>100</v>
      </c>
    </row>
    <row r="11" spans="1:10" ht="15.75" thickBot="1" x14ac:dyDescent="0.3">
      <c r="A11" s="333" t="s">
        <v>194</v>
      </c>
      <c r="B11" s="403">
        <f>+'Bulletin SMITH'!E37</f>
        <v>4261.4285714285716</v>
      </c>
      <c r="C11" s="404">
        <f t="shared" si="3"/>
        <v>19325.428571428572</v>
      </c>
      <c r="D11" s="401">
        <f t="shared" si="1"/>
        <v>3311.2258064516127</v>
      </c>
      <c r="E11" s="404">
        <f t="shared" si="4"/>
        <v>17975.225806451614</v>
      </c>
      <c r="F11" s="427">
        <f t="shared" si="2"/>
        <v>17975.225806451614</v>
      </c>
      <c r="G11" s="405">
        <f t="shared" si="5"/>
        <v>3311.2258064516136</v>
      </c>
      <c r="H11" s="238">
        <f t="shared" si="6"/>
        <v>950.20276497695795</v>
      </c>
    </row>
    <row r="12" spans="1:10" x14ac:dyDescent="0.25">
      <c r="A12" s="324"/>
      <c r="B12" s="325"/>
      <c r="C12" s="326"/>
      <c r="D12" s="326" t="s">
        <v>263</v>
      </c>
    </row>
    <row r="14" spans="1:10" ht="23.25" x14ac:dyDescent="0.25">
      <c r="A14" s="290" t="s">
        <v>195</v>
      </c>
      <c r="B14" s="283"/>
      <c r="C14" s="283"/>
      <c r="D14" s="283"/>
      <c r="E14" s="283"/>
      <c r="F14" s="283"/>
      <c r="G14" s="283"/>
      <c r="H14" s="283"/>
    </row>
    <row r="16" spans="1:10" ht="15.75" thickBot="1" x14ac:dyDescent="0.3"/>
    <row r="17" spans="1:14" ht="45" x14ac:dyDescent="0.25">
      <c r="A17" s="291"/>
      <c r="B17" s="292" t="s">
        <v>135</v>
      </c>
      <c r="C17" s="292" t="s">
        <v>184</v>
      </c>
      <c r="D17" s="293" t="s">
        <v>196</v>
      </c>
      <c r="E17" s="293" t="s">
        <v>161</v>
      </c>
      <c r="F17" s="293" t="s">
        <v>197</v>
      </c>
      <c r="G17" s="293" t="s">
        <v>198</v>
      </c>
      <c r="H17" s="232" t="s">
        <v>199</v>
      </c>
      <c r="I17" s="293" t="s">
        <v>200</v>
      </c>
      <c r="J17" s="294" t="s">
        <v>201</v>
      </c>
      <c r="K17" s="295" t="s">
        <v>202</v>
      </c>
    </row>
    <row r="18" spans="1:14" x14ac:dyDescent="0.25">
      <c r="A18" s="287" t="s">
        <v>190</v>
      </c>
      <c r="B18" s="296">
        <f>+B7</f>
        <v>3766</v>
      </c>
      <c r="C18" s="296">
        <f>B18</f>
        <v>3766</v>
      </c>
      <c r="D18" s="297">
        <f>+B18</f>
        <v>3766</v>
      </c>
      <c r="E18" s="394">
        <f>E29</f>
        <v>1709.28</v>
      </c>
      <c r="F18" s="296">
        <f>2.5*E18</f>
        <v>4273.2</v>
      </c>
      <c r="G18" s="296">
        <f>F18</f>
        <v>4273.2</v>
      </c>
      <c r="H18" s="33" t="str">
        <f t="shared" ref="H18" si="7">IF(C18&gt;G18,"OUI","")</f>
        <v/>
      </c>
      <c r="I18" s="299">
        <f>IF(H18="OUI",C18,0)</f>
        <v>0</v>
      </c>
      <c r="J18" s="297">
        <f>I18</f>
        <v>0</v>
      </c>
      <c r="K18" s="300">
        <f>(D18*7%)+(J18*6%)</f>
        <v>263.62</v>
      </c>
      <c r="L18" s="229" t="s">
        <v>326</v>
      </c>
      <c r="M18" s="396">
        <v>3700</v>
      </c>
    </row>
    <row r="19" spans="1:14" x14ac:dyDescent="0.25">
      <c r="A19" s="287" t="s">
        <v>191</v>
      </c>
      <c r="B19" s="296">
        <f t="shared" ref="B19:B22" si="8">+B8</f>
        <v>3766</v>
      </c>
      <c r="C19" s="296">
        <f>C18+B19</f>
        <v>7532</v>
      </c>
      <c r="D19" s="297">
        <f t="shared" ref="D19:D22" si="9">+B19</f>
        <v>3766</v>
      </c>
      <c r="E19" s="394">
        <f>E30</f>
        <v>1709.28</v>
      </c>
      <c r="F19" s="296">
        <f t="shared" ref="F19:F22" si="10">2.5*E19</f>
        <v>4273.2</v>
      </c>
      <c r="G19" s="296">
        <f t="shared" ref="G19:G22" si="11">G18+F19</f>
        <v>8546.4</v>
      </c>
      <c r="H19" s="33" t="str">
        <f>IF(C19&gt;G19,"OUI","")</f>
        <v/>
      </c>
      <c r="I19" s="299">
        <f>IF(H19="OUI",C19,0)</f>
        <v>0</v>
      </c>
      <c r="J19" s="297">
        <f>I19-I18</f>
        <v>0</v>
      </c>
      <c r="K19" s="300">
        <f t="shared" ref="K19:K22" si="12">(D19*7%)+(J19*6%)</f>
        <v>263.62</v>
      </c>
      <c r="L19" s="229" t="s">
        <v>327</v>
      </c>
      <c r="M19" s="396">
        <v>-528.57000000000005</v>
      </c>
    </row>
    <row r="20" spans="1:14" x14ac:dyDescent="0.25">
      <c r="A20" s="287" t="s">
        <v>192</v>
      </c>
      <c r="B20" s="296">
        <f t="shared" si="8"/>
        <v>3766</v>
      </c>
      <c r="C20" s="296">
        <f t="shared" ref="C20:C22" si="13">C19+B20</f>
        <v>11298</v>
      </c>
      <c r="D20" s="297">
        <f t="shared" si="9"/>
        <v>3766</v>
      </c>
      <c r="E20" s="394">
        <f>E31</f>
        <v>1709.28</v>
      </c>
      <c r="F20" s="296">
        <f t="shared" si="10"/>
        <v>4273.2</v>
      </c>
      <c r="G20" s="296">
        <f t="shared" si="11"/>
        <v>12819.599999999999</v>
      </c>
      <c r="H20" s="33" t="str">
        <f t="shared" ref="H20:H22" si="14">IF(C20&gt;G20,"OUI","")</f>
        <v/>
      </c>
      <c r="I20" s="299">
        <f t="shared" ref="I20:I22" si="15">IF(H20="OUI",C20,0)</f>
        <v>0</v>
      </c>
      <c r="J20" s="297">
        <f t="shared" ref="J20:J22" si="16">I20-I19</f>
        <v>0</v>
      </c>
      <c r="K20" s="300">
        <f t="shared" si="12"/>
        <v>263.62</v>
      </c>
      <c r="L20" s="229" t="s">
        <v>328</v>
      </c>
      <c r="M20" s="396">
        <f>SUM(M18:M19)</f>
        <v>3171.43</v>
      </c>
    </row>
    <row r="21" spans="1:14" x14ac:dyDescent="0.25">
      <c r="A21" s="287" t="s">
        <v>193</v>
      </c>
      <c r="B21" s="296">
        <f t="shared" si="8"/>
        <v>3766</v>
      </c>
      <c r="C21" s="296">
        <f t="shared" si="13"/>
        <v>15064</v>
      </c>
      <c r="D21" s="297">
        <f t="shared" si="9"/>
        <v>3766</v>
      </c>
      <c r="E21" s="394">
        <f>E32</f>
        <v>1709.28</v>
      </c>
      <c r="F21" s="296">
        <f t="shared" si="10"/>
        <v>4273.2</v>
      </c>
      <c r="G21" s="296">
        <f t="shared" si="11"/>
        <v>17092.8</v>
      </c>
      <c r="H21" s="33" t="str">
        <f t="shared" si="14"/>
        <v/>
      </c>
      <c r="I21" s="299">
        <f t="shared" si="15"/>
        <v>0</v>
      </c>
      <c r="J21" s="297">
        <f t="shared" si="16"/>
        <v>0</v>
      </c>
      <c r="K21" s="300">
        <f t="shared" si="12"/>
        <v>263.62</v>
      </c>
      <c r="L21" s="229" t="s">
        <v>330</v>
      </c>
    </row>
    <row r="22" spans="1:14" x14ac:dyDescent="0.25">
      <c r="A22" s="287" t="s">
        <v>194</v>
      </c>
      <c r="B22" s="296">
        <f t="shared" si="8"/>
        <v>4261.4285714285716</v>
      </c>
      <c r="C22" s="296">
        <f t="shared" si="13"/>
        <v>19325.428571428572</v>
      </c>
      <c r="D22" s="297">
        <f t="shared" si="9"/>
        <v>4261.4285714285716</v>
      </c>
      <c r="E22" s="394">
        <f>1747.2*3171.43/3700</f>
        <v>1497.6006745945947</v>
      </c>
      <c r="F22" s="296">
        <f t="shared" si="10"/>
        <v>3744.0016864864865</v>
      </c>
      <c r="G22" s="296">
        <f t="shared" si="11"/>
        <v>20836.801686486484</v>
      </c>
      <c r="H22" s="33" t="str">
        <f t="shared" si="14"/>
        <v/>
      </c>
      <c r="I22" s="299">
        <f t="shared" si="15"/>
        <v>0</v>
      </c>
      <c r="J22" s="297">
        <f t="shared" si="16"/>
        <v>0</v>
      </c>
      <c r="K22" s="300">
        <f t="shared" si="12"/>
        <v>298.3</v>
      </c>
      <c r="N22" s="329"/>
    </row>
    <row r="23" spans="1:14" x14ac:dyDescent="0.25">
      <c r="A23" s="324"/>
      <c r="B23" s="327"/>
      <c r="C23" s="327"/>
      <c r="D23" s="328"/>
      <c r="E23" s="329" t="s">
        <v>329</v>
      </c>
      <c r="H23" s="330"/>
      <c r="I23" s="331"/>
      <c r="J23" s="328"/>
    </row>
    <row r="25" spans="1:14" ht="23.25" x14ac:dyDescent="0.25">
      <c r="A25" s="290" t="s">
        <v>203</v>
      </c>
      <c r="B25" s="283"/>
      <c r="C25" s="283"/>
      <c r="D25" s="283"/>
      <c r="E25" s="283"/>
      <c r="F25" s="283"/>
      <c r="G25" s="283"/>
      <c r="H25" s="283"/>
    </row>
    <row r="27" spans="1:14" ht="15.75" thickBot="1" x14ac:dyDescent="0.3"/>
    <row r="28" spans="1:14" s="301" customFormat="1" ht="45" x14ac:dyDescent="0.25">
      <c r="A28" s="291"/>
      <c r="B28" s="292" t="s">
        <v>135</v>
      </c>
      <c r="C28" s="292" t="s">
        <v>184</v>
      </c>
      <c r="D28" s="293" t="s">
        <v>204</v>
      </c>
      <c r="E28" s="293" t="s">
        <v>161</v>
      </c>
      <c r="F28" s="293" t="s">
        <v>205</v>
      </c>
      <c r="G28" s="293" t="s">
        <v>206</v>
      </c>
      <c r="H28" s="232" t="s">
        <v>207</v>
      </c>
      <c r="I28" s="293" t="s">
        <v>208</v>
      </c>
      <c r="J28" s="294" t="s">
        <v>209</v>
      </c>
      <c r="K28" s="295" t="s">
        <v>202</v>
      </c>
    </row>
    <row r="29" spans="1:14" ht="21.75" customHeight="1" x14ac:dyDescent="0.25">
      <c r="A29" s="287" t="s">
        <v>190</v>
      </c>
      <c r="B29" s="296">
        <f>B18</f>
        <v>3766</v>
      </c>
      <c r="C29" s="296">
        <f>B29</f>
        <v>3766</v>
      </c>
      <c r="D29" s="297">
        <f>+B29</f>
        <v>3766</v>
      </c>
      <c r="E29" s="394">
        <f>'REGUL SALVI'!D7</f>
        <v>1709.28</v>
      </c>
      <c r="F29" s="296">
        <f>3.5*E29</f>
        <v>5982.48</v>
      </c>
      <c r="G29" s="296">
        <f>F29</f>
        <v>5982.48</v>
      </c>
      <c r="H29" s="33" t="str">
        <f>IF(C29&gt;G29,"OUI","")</f>
        <v/>
      </c>
      <c r="I29" s="299">
        <f>IF(H29="OUI",C29,0)</f>
        <v>0</v>
      </c>
      <c r="J29" s="297">
        <f>I29</f>
        <v>0</v>
      </c>
      <c r="K29" s="300">
        <f>(D29*3.45%)+(J29*1.8%)</f>
        <v>129.92700000000002</v>
      </c>
    </row>
    <row r="30" spans="1:14" ht="21.75" customHeight="1" x14ac:dyDescent="0.25">
      <c r="A30" s="287" t="s">
        <v>191</v>
      </c>
      <c r="B30" s="296">
        <f t="shared" ref="B30:B33" si="17">+B19</f>
        <v>3766</v>
      </c>
      <c r="C30" s="296">
        <f>C29+B30</f>
        <v>7532</v>
      </c>
      <c r="D30" s="297">
        <f t="shared" ref="D30:D33" si="18">B30</f>
        <v>3766</v>
      </c>
      <c r="E30" s="394">
        <f>'REGUL SALVI'!D8</f>
        <v>1709.28</v>
      </c>
      <c r="F30" s="296">
        <f t="shared" ref="F30:F33" si="19">3.5*E30</f>
        <v>5982.48</v>
      </c>
      <c r="G30" s="296">
        <f t="shared" ref="G30:G33" si="20">G29+F30</f>
        <v>11964.96</v>
      </c>
      <c r="H30" s="33" t="str">
        <f t="shared" ref="H30:H33" si="21">IF(C30&gt;G30,"OUI","")</f>
        <v/>
      </c>
      <c r="I30" s="299">
        <f>IF(H30="OUI",C30,0)</f>
        <v>0</v>
      </c>
      <c r="J30" s="297">
        <f>I30-I29</f>
        <v>0</v>
      </c>
      <c r="K30" s="300">
        <f t="shared" ref="K30:K33" si="22">(D30*3.45%)+(J30*1.8%)</f>
        <v>129.92700000000002</v>
      </c>
    </row>
    <row r="31" spans="1:14" ht="21.75" customHeight="1" x14ac:dyDescent="0.25">
      <c r="A31" s="287" t="s">
        <v>192</v>
      </c>
      <c r="B31" s="296">
        <f t="shared" si="17"/>
        <v>3766</v>
      </c>
      <c r="C31" s="296">
        <f t="shared" ref="C31:C33" si="23">C30+B31</f>
        <v>11298</v>
      </c>
      <c r="D31" s="297">
        <f t="shared" si="18"/>
        <v>3766</v>
      </c>
      <c r="E31" s="394">
        <f>'REGUL SALVI'!D9</f>
        <v>1709.28</v>
      </c>
      <c r="F31" s="296">
        <f t="shared" si="19"/>
        <v>5982.48</v>
      </c>
      <c r="G31" s="296">
        <f t="shared" si="20"/>
        <v>17947.439999999999</v>
      </c>
      <c r="H31" s="33" t="str">
        <f t="shared" si="21"/>
        <v/>
      </c>
      <c r="I31" s="299">
        <f t="shared" ref="I31:I33" si="24">IF(H31="OUI",C31,0)</f>
        <v>0</v>
      </c>
      <c r="J31" s="297">
        <f t="shared" ref="J31:J33" si="25">I31-I30</f>
        <v>0</v>
      </c>
      <c r="K31" s="300">
        <f t="shared" si="22"/>
        <v>129.92700000000002</v>
      </c>
    </row>
    <row r="32" spans="1:14" ht="21.75" customHeight="1" x14ac:dyDescent="0.25">
      <c r="A32" s="287" t="s">
        <v>193</v>
      </c>
      <c r="B32" s="296">
        <f t="shared" si="17"/>
        <v>3766</v>
      </c>
      <c r="C32" s="296">
        <f t="shared" si="23"/>
        <v>15064</v>
      </c>
      <c r="D32" s="297">
        <f t="shared" si="18"/>
        <v>3766</v>
      </c>
      <c r="E32" s="394">
        <f>'REGUL SALVI'!D10</f>
        <v>1709.28</v>
      </c>
      <c r="F32" s="296">
        <f t="shared" si="19"/>
        <v>5982.48</v>
      </c>
      <c r="G32" s="296">
        <f t="shared" si="20"/>
        <v>23929.919999999998</v>
      </c>
      <c r="H32" s="33" t="str">
        <f t="shared" si="21"/>
        <v/>
      </c>
      <c r="I32" s="299">
        <f t="shared" si="24"/>
        <v>0</v>
      </c>
      <c r="J32" s="297">
        <f t="shared" si="25"/>
        <v>0</v>
      </c>
      <c r="K32" s="300">
        <f t="shared" si="22"/>
        <v>129.92700000000002</v>
      </c>
    </row>
    <row r="33" spans="1:11" ht="21.75" customHeight="1" x14ac:dyDescent="0.25">
      <c r="A33" s="287" t="s">
        <v>194</v>
      </c>
      <c r="B33" s="296">
        <f t="shared" si="17"/>
        <v>4261.4285714285716</v>
      </c>
      <c r="C33" s="296">
        <f t="shared" si="23"/>
        <v>19325.428571428572</v>
      </c>
      <c r="D33" s="297">
        <f t="shared" si="18"/>
        <v>4261.4285714285716</v>
      </c>
      <c r="E33" s="394">
        <f>'REGUL SALVI'!D11</f>
        <v>1747.2003839999998</v>
      </c>
      <c r="F33" s="296">
        <f t="shared" si="19"/>
        <v>6115.2013439999992</v>
      </c>
      <c r="G33" s="296">
        <f t="shared" si="20"/>
        <v>30045.121343999999</v>
      </c>
      <c r="H33" s="33" t="str">
        <f t="shared" si="21"/>
        <v/>
      </c>
      <c r="I33" s="299">
        <f t="shared" si="24"/>
        <v>0</v>
      </c>
      <c r="J33" s="297">
        <f t="shared" si="25"/>
        <v>0</v>
      </c>
      <c r="K33" s="300">
        <f t="shared" si="22"/>
        <v>147.01928571428573</v>
      </c>
    </row>
    <row r="34" spans="1:11" ht="21.75" customHeight="1" x14ac:dyDescent="0.25">
      <c r="A34" s="324"/>
      <c r="B34" s="327"/>
      <c r="C34" s="327"/>
      <c r="D34" s="328"/>
      <c r="E34" s="332"/>
      <c r="F34" s="327"/>
      <c r="G34" s="327"/>
      <c r="H34" s="330"/>
      <c r="I34" s="331"/>
    </row>
    <row r="35" spans="1:11" ht="21" hidden="1" x14ac:dyDescent="0.25">
      <c r="A35" s="524" t="s">
        <v>210</v>
      </c>
      <c r="B35" s="525"/>
      <c r="C35" s="525"/>
      <c r="D35" s="525"/>
      <c r="E35" s="525"/>
      <c r="F35" s="525"/>
      <c r="G35" s="525"/>
      <c r="H35" s="525"/>
      <c r="I35" s="302"/>
    </row>
    <row r="36" spans="1:11" ht="21" hidden="1" customHeight="1" thickBot="1" x14ac:dyDescent="0.3">
      <c r="A36" s="227" t="s">
        <v>157</v>
      </c>
      <c r="B36" s="303">
        <v>0.31950000000000001</v>
      </c>
    </row>
    <row r="37" spans="1:11" hidden="1" x14ac:dyDescent="0.25"/>
    <row r="38" spans="1:11" ht="30" hidden="1" x14ac:dyDescent="0.25">
      <c r="A38" s="3" t="s">
        <v>158</v>
      </c>
      <c r="B38" s="230" t="s">
        <v>159</v>
      </c>
      <c r="C38" s="230" t="s">
        <v>160</v>
      </c>
      <c r="D38" s="293" t="s">
        <v>161</v>
      </c>
      <c r="E38" s="232" t="s">
        <v>162</v>
      </c>
      <c r="F38" s="232" t="s">
        <v>163</v>
      </c>
      <c r="G38" s="232" t="s">
        <v>164</v>
      </c>
      <c r="H38" s="232" t="s">
        <v>165</v>
      </c>
      <c r="I38" s="1" t="s">
        <v>211</v>
      </c>
    </row>
    <row r="39" spans="1:11" ht="21" hidden="1" customHeight="1" x14ac:dyDescent="0.25">
      <c r="A39" s="287" t="s">
        <v>190</v>
      </c>
      <c r="B39" s="304">
        <v>1700</v>
      </c>
      <c r="C39" s="305">
        <f>B39</f>
        <v>1700</v>
      </c>
      <c r="D39" s="298">
        <v>1603.12</v>
      </c>
      <c r="E39" s="304">
        <f>+D39</f>
        <v>1603.12</v>
      </c>
      <c r="F39" s="306">
        <f>ROUND(($B$36/0.6)*((1.6*E39/C39)-1),4)</f>
        <v>0.27089999999999997</v>
      </c>
      <c r="G39" s="305">
        <f>IF(F39&gt;0,F39*C39,0)</f>
        <v>460.53</v>
      </c>
      <c r="H39" s="307">
        <f>G39</f>
        <v>460.53</v>
      </c>
      <c r="I39" s="5" t="str">
        <f>IF(F39&gt;$B$36,"ERREUR","")</f>
        <v/>
      </c>
    </row>
    <row r="40" spans="1:11" ht="21" hidden="1" customHeight="1" x14ac:dyDescent="0.25">
      <c r="A40" s="287" t="s">
        <v>191</v>
      </c>
      <c r="B40" s="304">
        <v>3000</v>
      </c>
      <c r="C40" s="305">
        <f>C39+B40</f>
        <v>4700</v>
      </c>
      <c r="D40" s="308">
        <f>156.67*10.57</f>
        <v>1656.0019</v>
      </c>
      <c r="E40" s="304">
        <f>D40+E39</f>
        <v>3259.1219000000001</v>
      </c>
      <c r="F40" s="306">
        <f>ROUND(($B$36/0.6)*((1.6*E40/C40)-1),4)</f>
        <v>5.8299999999999998E-2</v>
      </c>
      <c r="G40" s="305">
        <f t="shared" ref="G40:G43" si="26">IF(F40&gt;0,F40*C40,0)</f>
        <v>274.01</v>
      </c>
      <c r="H40" s="307">
        <f>G40-G39</f>
        <v>-186.51999999999998</v>
      </c>
      <c r="I40" s="5" t="str">
        <f>IF(F40&gt;$B$36,"ERREUR","")</f>
        <v/>
      </c>
    </row>
    <row r="41" spans="1:11" ht="21" hidden="1" customHeight="1" x14ac:dyDescent="0.25">
      <c r="A41" s="287" t="s">
        <v>192</v>
      </c>
      <c r="B41" s="304"/>
      <c r="C41" s="305">
        <f t="shared" ref="C41:C43" si="27">C40+B41</f>
        <v>4700</v>
      </c>
      <c r="D41" s="298">
        <v>1603.12</v>
      </c>
      <c r="E41" s="304">
        <f t="shared" ref="E41:E43" si="28">D41+E40</f>
        <v>4862.2419</v>
      </c>
      <c r="F41" s="306">
        <f>ROUND(($B$36/0.6)*((1.6*E41/C41)-1),4)</f>
        <v>0.34889999999999999</v>
      </c>
      <c r="G41" s="309">
        <f t="shared" si="26"/>
        <v>1639.83</v>
      </c>
      <c r="H41" s="307">
        <f t="shared" ref="H41:H43" si="29">G41-G40</f>
        <v>1365.82</v>
      </c>
      <c r="I41" s="5" t="str">
        <f>IF(F41&gt;$B$36,"ERREUR","")</f>
        <v>ERREUR</v>
      </c>
    </row>
    <row r="42" spans="1:11" ht="21" hidden="1" customHeight="1" thickBot="1" x14ac:dyDescent="0.3">
      <c r="A42" s="287" t="s">
        <v>193</v>
      </c>
      <c r="B42" s="304"/>
      <c r="C42" s="305">
        <f t="shared" si="27"/>
        <v>4700</v>
      </c>
      <c r="D42" s="298">
        <v>1603.12</v>
      </c>
      <c r="E42" s="304">
        <f t="shared" si="28"/>
        <v>6465.3618999999999</v>
      </c>
      <c r="F42" s="306">
        <f>ROUND(($B$36/0.6)*((1.6*E42/C42)-1),4)</f>
        <v>0.63949999999999996</v>
      </c>
      <c r="G42" s="305">
        <f t="shared" si="26"/>
        <v>3005.6499999999996</v>
      </c>
      <c r="H42" s="307">
        <f t="shared" si="29"/>
        <v>1365.8199999999997</v>
      </c>
      <c r="I42" s="5" t="str">
        <f>IF(F42&gt;$B$36,"ERREUR","")</f>
        <v>ERREUR</v>
      </c>
    </row>
    <row r="43" spans="1:11" ht="21" hidden="1" customHeight="1" x14ac:dyDescent="0.25">
      <c r="A43" s="287" t="s">
        <v>194</v>
      </c>
      <c r="B43" s="304"/>
      <c r="C43" s="305">
        <f t="shared" si="27"/>
        <v>4700</v>
      </c>
      <c r="D43" s="298">
        <v>1603.12</v>
      </c>
      <c r="E43" s="304">
        <f t="shared" si="28"/>
        <v>8068.4818999999998</v>
      </c>
      <c r="F43" s="306">
        <f>ROUND(($B$36/0.6)*((1.6*E43/C43)-1),4)</f>
        <v>0.93010000000000004</v>
      </c>
      <c r="G43" s="305">
        <f t="shared" si="26"/>
        <v>4371.47</v>
      </c>
      <c r="H43" s="307">
        <f t="shared" si="29"/>
        <v>1365.8200000000006</v>
      </c>
      <c r="I43" s="5" t="str">
        <f>IF(F43&gt;$B$36,"ERREUR","")</f>
        <v>ERREUR</v>
      </c>
    </row>
    <row r="45" spans="1:11" ht="23.25" x14ac:dyDescent="0.25">
      <c r="A45" s="282" t="s">
        <v>212</v>
      </c>
      <c r="B45" s="283"/>
      <c r="C45" s="283"/>
      <c r="D45" s="283"/>
      <c r="E45" s="283"/>
      <c r="F45" s="283"/>
    </row>
    <row r="47" spans="1:11" ht="18.75" x14ac:dyDescent="0.25">
      <c r="A47" s="284" t="s">
        <v>183</v>
      </c>
      <c r="D47" s="285">
        <v>3666</v>
      </c>
    </row>
    <row r="48" spans="1:11" ht="15.75" thickBot="1" x14ac:dyDescent="0.3"/>
    <row r="49" spans="1:8" ht="30" x14ac:dyDescent="0.25">
      <c r="A49" s="286" t="s">
        <v>158</v>
      </c>
      <c r="B49" s="230" t="s">
        <v>135</v>
      </c>
      <c r="C49" s="230" t="s">
        <v>184</v>
      </c>
      <c r="D49" s="230" t="s">
        <v>185</v>
      </c>
      <c r="E49" s="232" t="s">
        <v>186</v>
      </c>
      <c r="F49" s="230" t="s">
        <v>213</v>
      </c>
      <c r="G49" s="232" t="s">
        <v>214</v>
      </c>
      <c r="H49" s="233" t="s">
        <v>225</v>
      </c>
    </row>
    <row r="50" spans="1:8" ht="26.25" customHeight="1" x14ac:dyDescent="0.25">
      <c r="A50" s="287" t="s">
        <v>190</v>
      </c>
      <c r="B50" s="296">
        <f>B18</f>
        <v>3766</v>
      </c>
      <c r="C50" s="296">
        <f>B50</f>
        <v>3766</v>
      </c>
      <c r="D50" s="289">
        <f>$D$47</f>
        <v>3666</v>
      </c>
      <c r="E50" s="310">
        <f>D50</f>
        <v>3666</v>
      </c>
      <c r="F50" s="311" t="str">
        <f>IF(E50&gt;C50,"","OUI")</f>
        <v>OUI</v>
      </c>
      <c r="G50" s="297">
        <f t="shared" ref="G50:G54" si="30">IF(C50&gt;E50,C50,0)</f>
        <v>3766</v>
      </c>
      <c r="H50" s="312">
        <f>G50</f>
        <v>3766</v>
      </c>
    </row>
    <row r="51" spans="1:8" ht="26.25" customHeight="1" x14ac:dyDescent="0.25">
      <c r="A51" s="287" t="s">
        <v>191</v>
      </c>
      <c r="B51" s="296">
        <f t="shared" ref="B51:B54" si="31">B19</f>
        <v>3766</v>
      </c>
      <c r="C51" s="296">
        <f>C50+B51</f>
        <v>7532</v>
      </c>
      <c r="D51" s="289">
        <f t="shared" ref="D51:D53" si="32">$D$47</f>
        <v>3666</v>
      </c>
      <c r="E51" s="310">
        <f>E50+D51</f>
        <v>7332</v>
      </c>
      <c r="F51" s="311" t="str">
        <f t="shared" ref="F51:F54" si="33">IF(E51&gt;C51,"","OUI")</f>
        <v>OUI</v>
      </c>
      <c r="G51" s="297">
        <f t="shared" si="30"/>
        <v>7532</v>
      </c>
      <c r="H51" s="312">
        <f>G51-G50</f>
        <v>3766</v>
      </c>
    </row>
    <row r="52" spans="1:8" ht="26.25" customHeight="1" x14ac:dyDescent="0.25">
      <c r="A52" s="287" t="s">
        <v>192</v>
      </c>
      <c r="B52" s="296">
        <f t="shared" si="31"/>
        <v>3766</v>
      </c>
      <c r="C52" s="296">
        <f t="shared" ref="C52:C54" si="34">C51+B52</f>
        <v>11298</v>
      </c>
      <c r="D52" s="289">
        <f t="shared" si="32"/>
        <v>3666</v>
      </c>
      <c r="E52" s="310">
        <f t="shared" ref="E52:E54" si="35">E51+D52</f>
        <v>10998</v>
      </c>
      <c r="F52" s="311" t="str">
        <f t="shared" si="33"/>
        <v>OUI</v>
      </c>
      <c r="G52" s="297">
        <f t="shared" si="30"/>
        <v>11298</v>
      </c>
      <c r="H52" s="312">
        <f t="shared" ref="H52:H54" si="36">G52-G51</f>
        <v>3766</v>
      </c>
    </row>
    <row r="53" spans="1:8" ht="26.25" customHeight="1" x14ac:dyDescent="0.25">
      <c r="A53" s="287" t="s">
        <v>193</v>
      </c>
      <c r="B53" s="296">
        <f t="shared" si="31"/>
        <v>3766</v>
      </c>
      <c r="C53" s="296">
        <f t="shared" si="34"/>
        <v>15064</v>
      </c>
      <c r="D53" s="289">
        <f t="shared" si="32"/>
        <v>3666</v>
      </c>
      <c r="E53" s="310">
        <f t="shared" si="35"/>
        <v>14664</v>
      </c>
      <c r="F53" s="311" t="str">
        <f t="shared" si="33"/>
        <v>OUI</v>
      </c>
      <c r="G53" s="297">
        <f t="shared" si="30"/>
        <v>15064</v>
      </c>
      <c r="H53" s="312">
        <f t="shared" si="36"/>
        <v>3766</v>
      </c>
    </row>
    <row r="54" spans="1:8" ht="26.25" customHeight="1" thickBot="1" x14ac:dyDescent="0.3">
      <c r="A54" s="333" t="s">
        <v>194</v>
      </c>
      <c r="B54" s="296">
        <f t="shared" si="31"/>
        <v>4261.4285714285716</v>
      </c>
      <c r="C54" s="334">
        <f t="shared" si="34"/>
        <v>19325.428571428572</v>
      </c>
      <c r="D54" s="335">
        <f>3666*28/31</f>
        <v>3311.2258064516127</v>
      </c>
      <c r="E54" s="336">
        <f t="shared" si="35"/>
        <v>17975.225806451614</v>
      </c>
      <c r="F54" s="337" t="str">
        <f t="shared" si="33"/>
        <v>OUI</v>
      </c>
      <c r="G54" s="338">
        <f t="shared" si="30"/>
        <v>19325.428571428572</v>
      </c>
      <c r="H54" s="339">
        <f t="shared" si="36"/>
        <v>4261.4285714285725</v>
      </c>
    </row>
    <row r="55" spans="1:8" x14ac:dyDescent="0.25">
      <c r="D55" s="229" t="s">
        <v>263</v>
      </c>
    </row>
  </sheetData>
  <mergeCells count="1">
    <mergeCell ref="A35:H35"/>
  </mergeCells>
  <phoneticPr fontId="4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DCDB2-B4DB-47A2-BAE8-EBF85DC51B92}">
  <dimension ref="B1:P165"/>
  <sheetViews>
    <sheetView workbookViewId="0">
      <selection activeCell="C37" sqref="C37"/>
    </sheetView>
  </sheetViews>
  <sheetFormatPr baseColWidth="10" defaultRowHeight="15" x14ac:dyDescent="0.25"/>
  <cols>
    <col min="1" max="1" width="11.42578125" style="8"/>
    <col min="2" max="2" width="63.5703125" style="8" customWidth="1"/>
    <col min="3" max="3" width="15" style="8" bestFit="1" customWidth="1"/>
    <col min="4" max="4" width="17.140625" style="8" bestFit="1" customWidth="1"/>
    <col min="5" max="5" width="25.5703125" style="8" bestFit="1" customWidth="1"/>
    <col min="6" max="6" width="12.5703125" style="8" customWidth="1"/>
    <col min="7" max="7" width="18.28515625" style="8" customWidth="1"/>
    <col min="8" max="8" width="11.42578125" style="8"/>
    <col min="9" max="9" width="52.140625" style="8" bestFit="1" customWidth="1"/>
    <col min="10" max="10" width="14" style="8" bestFit="1" customWidth="1"/>
    <col min="11" max="11" width="12" style="8" bestFit="1" customWidth="1"/>
    <col min="12" max="12" width="11.42578125" style="8"/>
    <col min="13" max="13" width="12.140625" style="8" bestFit="1" customWidth="1"/>
    <col min="14" max="15" width="12" style="8" bestFit="1" customWidth="1"/>
    <col min="16" max="16384" width="11.42578125" style="8"/>
  </cols>
  <sheetData>
    <row r="1" spans="2:11" ht="23.25" thickBot="1" x14ac:dyDescent="0.3">
      <c r="B1" s="9" t="s">
        <v>34</v>
      </c>
      <c r="C1" s="10"/>
      <c r="D1" s="10"/>
      <c r="E1" s="10"/>
      <c r="F1" s="10"/>
      <c r="G1" s="11"/>
      <c r="I1" s="12" t="s">
        <v>35</v>
      </c>
    </row>
    <row r="2" spans="2:11" ht="15.75" thickBot="1" x14ac:dyDescent="0.3">
      <c r="B2" s="13" t="s">
        <v>36</v>
      </c>
      <c r="C2" s="14"/>
      <c r="D2" s="15"/>
      <c r="E2" s="16" t="s">
        <v>37</v>
      </c>
      <c r="F2" s="14"/>
      <c r="G2" s="15"/>
    </row>
    <row r="3" spans="2:11" x14ac:dyDescent="0.25">
      <c r="B3" s="17" t="s">
        <v>38</v>
      </c>
      <c r="C3" s="18"/>
      <c r="D3" s="19"/>
      <c r="E3" s="20" t="s">
        <v>38</v>
      </c>
      <c r="F3" s="21"/>
      <c r="G3" s="22"/>
      <c r="I3" s="16" t="s">
        <v>11</v>
      </c>
      <c r="J3" s="23">
        <v>3700</v>
      </c>
    </row>
    <row r="4" spans="2:11" x14ac:dyDescent="0.25">
      <c r="B4" s="17" t="s">
        <v>39</v>
      </c>
      <c r="C4" s="18"/>
      <c r="D4" s="19"/>
      <c r="E4" s="20" t="s">
        <v>40</v>
      </c>
      <c r="F4" s="21"/>
      <c r="G4" s="22"/>
      <c r="I4" s="20" t="s">
        <v>41</v>
      </c>
      <c r="J4" s="24">
        <v>151.66999999999999</v>
      </c>
    </row>
    <row r="5" spans="2:11" x14ac:dyDescent="0.25">
      <c r="B5" s="17" t="s">
        <v>42</v>
      </c>
      <c r="C5" s="18"/>
      <c r="D5" s="19"/>
      <c r="E5" s="20" t="s">
        <v>43</v>
      </c>
      <c r="F5" s="21"/>
      <c r="G5" s="22"/>
      <c r="I5" s="20" t="s">
        <v>44</v>
      </c>
      <c r="J5" s="22">
        <v>147</v>
      </c>
    </row>
    <row r="6" spans="2:11" x14ac:dyDescent="0.25">
      <c r="B6" s="17" t="s">
        <v>42</v>
      </c>
      <c r="C6" s="18"/>
      <c r="D6" s="19"/>
      <c r="E6" s="20" t="s">
        <v>45</v>
      </c>
      <c r="F6" s="21"/>
      <c r="G6" s="22"/>
      <c r="I6" s="25" t="s">
        <v>8</v>
      </c>
      <c r="J6" s="26">
        <v>5</v>
      </c>
    </row>
    <row r="7" spans="2:11" x14ac:dyDescent="0.25">
      <c r="B7" s="17" t="s">
        <v>46</v>
      </c>
      <c r="C7" s="18"/>
      <c r="D7" s="19"/>
      <c r="E7" s="20"/>
      <c r="F7" s="21"/>
      <c r="G7" s="22"/>
      <c r="I7" s="20" t="s">
        <v>47</v>
      </c>
      <c r="J7" s="27">
        <v>3.5999999999999997E-2</v>
      </c>
    </row>
    <row r="8" spans="2:11" x14ac:dyDescent="0.25">
      <c r="B8" s="17" t="s">
        <v>48</v>
      </c>
      <c r="C8" s="18"/>
      <c r="D8" s="19"/>
      <c r="E8" s="20" t="s">
        <v>49</v>
      </c>
      <c r="F8" s="21"/>
      <c r="G8" s="22"/>
      <c r="I8" s="28" t="s">
        <v>50</v>
      </c>
      <c r="J8" s="29"/>
      <c r="K8" s="30" t="s">
        <v>51</v>
      </c>
    </row>
    <row r="9" spans="2:11" x14ac:dyDescent="0.25">
      <c r="B9" s="17" t="s">
        <v>52</v>
      </c>
      <c r="C9" s="18"/>
      <c r="D9" s="19"/>
      <c r="E9" s="20" t="s">
        <v>53</v>
      </c>
      <c r="F9" s="31" t="s">
        <v>54</v>
      </c>
      <c r="G9" s="22"/>
      <c r="I9" s="20" t="s">
        <v>55</v>
      </c>
      <c r="J9" s="32">
        <v>11.52</v>
      </c>
    </row>
    <row r="10" spans="2:11" x14ac:dyDescent="0.25">
      <c r="B10" s="17" t="s">
        <v>56</v>
      </c>
      <c r="C10" s="18"/>
      <c r="D10" s="19"/>
      <c r="E10" s="20" t="s">
        <v>57</v>
      </c>
      <c r="F10" s="31"/>
      <c r="G10" s="22"/>
      <c r="I10" s="4" t="s">
        <v>0</v>
      </c>
      <c r="J10" s="33">
        <v>35</v>
      </c>
    </row>
    <row r="11" spans="2:11" x14ac:dyDescent="0.25">
      <c r="B11" s="17" t="s">
        <v>58</v>
      </c>
      <c r="C11" s="18"/>
      <c r="D11" s="19"/>
      <c r="E11" s="20" t="s">
        <v>59</v>
      </c>
      <c r="F11" s="31"/>
      <c r="G11" s="22"/>
      <c r="I11" s="20" t="s">
        <v>60</v>
      </c>
      <c r="J11" s="22"/>
    </row>
    <row r="12" spans="2:11" x14ac:dyDescent="0.25">
      <c r="B12" s="17" t="s">
        <v>61</v>
      </c>
      <c r="C12" s="18">
        <v>4</v>
      </c>
      <c r="D12" s="19"/>
      <c r="E12" s="20" t="s">
        <v>62</v>
      </c>
      <c r="F12" s="34"/>
      <c r="G12" s="35"/>
      <c r="I12" s="20" t="s">
        <v>63</v>
      </c>
    </row>
    <row r="13" spans="2:11" x14ac:dyDescent="0.25">
      <c r="B13" s="17" t="s">
        <v>64</v>
      </c>
      <c r="C13" s="18"/>
      <c r="D13" s="19"/>
      <c r="E13" s="20" t="s">
        <v>65</v>
      </c>
      <c r="F13" s="36"/>
      <c r="G13" s="22"/>
      <c r="I13" s="20" t="s">
        <v>66</v>
      </c>
      <c r="J13" s="22"/>
    </row>
    <row r="14" spans="2:11" x14ac:dyDescent="0.25">
      <c r="B14" s="17"/>
      <c r="C14" s="18"/>
      <c r="D14" s="19"/>
      <c r="E14" s="20" t="s">
        <v>67</v>
      </c>
      <c r="F14" s="21"/>
      <c r="G14" s="22"/>
      <c r="I14" s="20" t="s">
        <v>68</v>
      </c>
      <c r="J14" s="22"/>
    </row>
    <row r="15" spans="2:11" x14ac:dyDescent="0.25">
      <c r="B15" s="20"/>
      <c r="C15" s="18"/>
      <c r="D15" s="19"/>
      <c r="E15" s="20"/>
      <c r="F15" s="21"/>
      <c r="G15" s="22"/>
      <c r="I15" s="20" t="s">
        <v>69</v>
      </c>
      <c r="J15" s="22"/>
    </row>
    <row r="16" spans="2:11" ht="15.75" thickBot="1" x14ac:dyDescent="0.3">
      <c r="B16" s="37"/>
      <c r="C16" s="38"/>
      <c r="D16" s="39"/>
      <c r="E16" s="37"/>
      <c r="F16" s="40"/>
      <c r="G16" s="41"/>
      <c r="I16" s="25" t="s">
        <v>70</v>
      </c>
      <c r="J16" s="22"/>
    </row>
    <row r="17" spans="2:16" ht="15.75" thickBot="1" x14ac:dyDescent="0.3">
      <c r="B17" s="42" t="s">
        <v>71</v>
      </c>
      <c r="C17" s="533"/>
      <c r="D17" s="534"/>
      <c r="E17" s="43" t="s">
        <v>72</v>
      </c>
      <c r="F17" s="533"/>
      <c r="G17" s="538"/>
      <c r="I17" s="25" t="s">
        <v>73</v>
      </c>
      <c r="J17" s="319">
        <f>+'REGUL SMITH'!G11</f>
        <v>3311.2258064516136</v>
      </c>
    </row>
    <row r="18" spans="2:16" ht="20.25" customHeight="1" thickBot="1" x14ac:dyDescent="0.3">
      <c r="B18" s="45" t="s">
        <v>74</v>
      </c>
      <c r="C18" s="46"/>
      <c r="D18" s="46"/>
      <c r="E18" s="46"/>
      <c r="F18" s="46"/>
      <c r="G18" s="47"/>
      <c r="I18" s="25" t="s">
        <v>75</v>
      </c>
      <c r="J18" s="44">
        <f>+'REGUL SMITH'!H11</f>
        <v>950.20276497695795</v>
      </c>
    </row>
    <row r="19" spans="2:16" ht="24" customHeight="1" thickBot="1" x14ac:dyDescent="0.3">
      <c r="B19" s="49" t="s">
        <v>74</v>
      </c>
      <c r="C19" s="50" t="s">
        <v>76</v>
      </c>
      <c r="D19" s="50" t="s">
        <v>77</v>
      </c>
      <c r="E19" s="51" t="s">
        <v>78</v>
      </c>
      <c r="F19" s="52"/>
      <c r="G19" s="52"/>
      <c r="I19" s="20" t="s">
        <v>79</v>
      </c>
      <c r="J19" s="359">
        <v>0.31909999999999999</v>
      </c>
    </row>
    <row r="20" spans="2:16" s="53" customFormat="1" x14ac:dyDescent="0.25">
      <c r="B20" s="16" t="s">
        <v>11</v>
      </c>
      <c r="C20" s="54"/>
      <c r="D20" s="55"/>
      <c r="E20" s="23">
        <f>J3</f>
        <v>3700</v>
      </c>
      <c r="F20" s="56"/>
      <c r="G20" s="57"/>
      <c r="H20" s="8"/>
      <c r="I20" s="58" t="s">
        <v>80</v>
      </c>
      <c r="J20" s="59">
        <v>4.2000000000000003E-2</v>
      </c>
      <c r="K20" s="8"/>
      <c r="L20" s="8"/>
      <c r="M20" s="8"/>
      <c r="N20" s="8"/>
      <c r="O20" s="8"/>
      <c r="P20" s="8"/>
    </row>
    <row r="21" spans="2:16" s="53" customFormat="1" x14ac:dyDescent="0.25">
      <c r="B21" s="60"/>
      <c r="C21" s="61"/>
      <c r="D21" s="62"/>
      <c r="E21" s="63"/>
      <c r="F21" s="64"/>
      <c r="G21" s="65"/>
      <c r="I21" s="20" t="s">
        <v>81</v>
      </c>
      <c r="J21" s="69"/>
      <c r="K21" s="8"/>
      <c r="L21" s="8"/>
      <c r="M21" s="8"/>
      <c r="N21" s="8"/>
      <c r="O21" s="8"/>
      <c r="P21" s="8"/>
    </row>
    <row r="22" spans="2:16" s="53" customFormat="1" x14ac:dyDescent="0.25">
      <c r="B22" s="60" t="s">
        <v>82</v>
      </c>
      <c r="C22" s="61">
        <v>21</v>
      </c>
      <c r="D22" s="66">
        <f>E20/J5</f>
        <v>25.170068027210885</v>
      </c>
      <c r="E22" s="63">
        <f>-D22*C22</f>
        <v>-528.57142857142856</v>
      </c>
      <c r="F22" s="64"/>
      <c r="G22" s="65"/>
      <c r="I22" s="20" t="s">
        <v>83</v>
      </c>
      <c r="J22" s="69"/>
      <c r="K22" s="8"/>
      <c r="L22" s="8"/>
      <c r="M22" s="8"/>
      <c r="N22" s="8"/>
      <c r="O22" s="8"/>
      <c r="P22" s="8"/>
    </row>
    <row r="23" spans="2:16" s="53" customFormat="1" x14ac:dyDescent="0.25">
      <c r="B23" s="60"/>
      <c r="C23" s="61"/>
      <c r="D23" s="62"/>
      <c r="E23" s="63"/>
      <c r="F23" s="64"/>
      <c r="G23" s="65"/>
      <c r="I23" s="20" t="s">
        <v>84</v>
      </c>
      <c r="K23" s="8"/>
      <c r="L23" s="8"/>
      <c r="M23" s="8"/>
      <c r="N23" s="8"/>
      <c r="O23" s="8"/>
      <c r="P23" s="8"/>
    </row>
    <row r="24" spans="2:16" ht="15.75" thickBot="1" x14ac:dyDescent="0.3">
      <c r="B24" s="20" t="s">
        <v>63</v>
      </c>
      <c r="C24" s="21">
        <f>J12</f>
        <v>0</v>
      </c>
      <c r="D24" s="68">
        <f>IF($J$4&gt;=151.67,$J$3/151.67*1.25,0)</f>
        <v>30.49383530032307</v>
      </c>
      <c r="E24" s="69">
        <f>D24*C24</f>
        <v>0</v>
      </c>
      <c r="F24" s="70"/>
      <c r="G24" s="71"/>
      <c r="I24" s="37" t="s">
        <v>85</v>
      </c>
      <c r="J24" s="67"/>
    </row>
    <row r="25" spans="2:16" ht="16.5" thickBot="1" x14ac:dyDescent="0.3">
      <c r="B25" s="20" t="s">
        <v>66</v>
      </c>
      <c r="C25" s="21">
        <f>J13</f>
        <v>0</v>
      </c>
      <c r="D25" s="68">
        <f>IF($J$4&gt;=151.67,$J$3/151.67*1.5,0)</f>
        <v>36.592602360387687</v>
      </c>
      <c r="E25" s="69">
        <f>D25*C25</f>
        <v>0</v>
      </c>
      <c r="F25" s="70"/>
      <c r="G25" s="73"/>
      <c r="I25" s="4" t="s">
        <v>86</v>
      </c>
      <c r="J25" s="72">
        <v>0.03</v>
      </c>
      <c r="K25" s="75"/>
    </row>
    <row r="26" spans="2:16" ht="15.75" thickBot="1" x14ac:dyDescent="0.3">
      <c r="B26" s="20" t="s">
        <v>68</v>
      </c>
      <c r="C26" s="21">
        <f>J14</f>
        <v>0</v>
      </c>
      <c r="D26" s="21">
        <f>IF($J$4&lt;151.67,$E$20/151.67*1.1,0)</f>
        <v>0</v>
      </c>
      <c r="E26" s="69">
        <f t="shared" ref="E26:E27" si="0">D26*C26</f>
        <v>0</v>
      </c>
      <c r="F26" s="70"/>
      <c r="G26" s="73"/>
      <c r="I26" s="76" t="s">
        <v>87</v>
      </c>
      <c r="J26" s="360">
        <v>2200</v>
      </c>
    </row>
    <row r="27" spans="2:16" x14ac:dyDescent="0.25">
      <c r="B27" s="20" t="s">
        <v>69</v>
      </c>
      <c r="C27" s="21">
        <f>J15</f>
        <v>0</v>
      </c>
      <c r="D27" s="21">
        <f>IF($J$4&lt;151.67,$E$20/151.67*1.1,0)</f>
        <v>0</v>
      </c>
      <c r="E27" s="69">
        <f t="shared" si="0"/>
        <v>0</v>
      </c>
      <c r="F27" s="70"/>
      <c r="G27" s="73"/>
    </row>
    <row r="28" spans="2:16" x14ac:dyDescent="0.25">
      <c r="B28" s="20"/>
      <c r="C28" s="21"/>
      <c r="D28" s="21"/>
      <c r="E28" s="69"/>
      <c r="F28" s="70"/>
      <c r="G28" s="73"/>
    </row>
    <row r="29" spans="2:16" ht="27" x14ac:dyDescent="0.25">
      <c r="B29" s="20" t="s">
        <v>88</v>
      </c>
      <c r="C29" s="78"/>
      <c r="D29" s="21"/>
      <c r="E29" s="69"/>
      <c r="F29" s="79"/>
      <c r="G29" s="80"/>
      <c r="I29" s="81"/>
    </row>
    <row r="30" spans="2:16" x14ac:dyDescent="0.25">
      <c r="B30" s="20" t="s">
        <v>89</v>
      </c>
      <c r="C30" s="78"/>
      <c r="D30" s="21"/>
      <c r="E30" s="69"/>
      <c r="F30" s="79"/>
      <c r="G30" s="80"/>
    </row>
    <row r="31" spans="2:16" ht="15.75" thickBot="1" x14ac:dyDescent="0.3">
      <c r="B31" s="20"/>
      <c r="C31" s="82"/>
      <c r="D31" s="83"/>
      <c r="E31" s="84"/>
      <c r="F31" s="85"/>
      <c r="G31" s="86"/>
    </row>
    <row r="32" spans="2:16" ht="15.75" thickBot="1" x14ac:dyDescent="0.3">
      <c r="B32" s="87" t="s">
        <v>90</v>
      </c>
      <c r="C32" s="88"/>
      <c r="D32" s="89"/>
      <c r="E32" s="90"/>
      <c r="F32" s="91"/>
      <c r="G32" s="92"/>
      <c r="I32" s="321" t="s">
        <v>218</v>
      </c>
      <c r="J32" s="14"/>
      <c r="K32" s="15"/>
    </row>
    <row r="33" spans="2:11" x14ac:dyDescent="0.25">
      <c r="B33" s="93" t="s">
        <v>91</v>
      </c>
      <c r="C33" s="94"/>
      <c r="D33" s="95"/>
      <c r="E33" s="96"/>
      <c r="F33" s="97"/>
      <c r="G33" s="98"/>
      <c r="I33" s="20"/>
      <c r="J33" s="21"/>
      <c r="K33" s="22"/>
    </row>
    <row r="34" spans="2:11" x14ac:dyDescent="0.25">
      <c r="B34" s="87" t="s">
        <v>28</v>
      </c>
      <c r="C34" s="94"/>
      <c r="D34" s="95"/>
      <c r="E34" s="96"/>
      <c r="F34" s="97"/>
      <c r="G34" s="98"/>
      <c r="I34" s="20" t="s">
        <v>11</v>
      </c>
      <c r="J34" s="21"/>
      <c r="K34" s="319">
        <f>E37</f>
        <v>4261.4285714285716</v>
      </c>
    </row>
    <row r="35" spans="2:11" x14ac:dyDescent="0.25">
      <c r="B35" s="93" t="s">
        <v>261</v>
      </c>
      <c r="C35" s="94"/>
      <c r="D35" s="95"/>
      <c r="E35" s="96">
        <v>1000</v>
      </c>
      <c r="F35" s="97"/>
      <c r="G35" s="98"/>
      <c r="I35" s="20" t="s">
        <v>219</v>
      </c>
      <c r="J35" s="21"/>
      <c r="K35" s="319">
        <f>-E67</f>
        <v>-882.75095495391724</v>
      </c>
    </row>
    <row r="36" spans="2:11" ht="15.75" thickBot="1" x14ac:dyDescent="0.3">
      <c r="B36" s="99" t="s">
        <v>92</v>
      </c>
      <c r="C36" s="94">
        <v>3000</v>
      </c>
      <c r="D36" s="95">
        <f>J25</f>
        <v>0.03</v>
      </c>
      <c r="E36" s="100">
        <f>C36*D36</f>
        <v>90</v>
      </c>
      <c r="F36" s="97"/>
      <c r="G36" s="98"/>
      <c r="I36" s="20" t="s">
        <v>220</v>
      </c>
      <c r="J36" s="21"/>
      <c r="K36" s="319">
        <f>E62</f>
        <v>121.41875357142858</v>
      </c>
    </row>
    <row r="37" spans="2:11" ht="16.5" thickTop="1" thickBot="1" x14ac:dyDescent="0.3">
      <c r="B37" s="101" t="s">
        <v>93</v>
      </c>
      <c r="C37" s="102"/>
      <c r="D37" s="103"/>
      <c r="E37" s="104">
        <f>SUM(E20:E36)</f>
        <v>4261.4285714285716</v>
      </c>
      <c r="F37" s="97"/>
      <c r="G37" s="98"/>
      <c r="I37" s="20" t="s">
        <v>221</v>
      </c>
      <c r="J37" s="21"/>
      <c r="K37" s="319">
        <f>G42</f>
        <v>0</v>
      </c>
    </row>
    <row r="38" spans="2:11" ht="15.75" thickBot="1" x14ac:dyDescent="0.3">
      <c r="B38" s="105"/>
      <c r="C38" s="106"/>
      <c r="D38" s="107"/>
      <c r="E38" s="107"/>
      <c r="F38" s="108"/>
      <c r="G38" s="109"/>
      <c r="I38" s="20" t="s">
        <v>2</v>
      </c>
      <c r="J38" s="21"/>
      <c r="K38" s="319">
        <f>G44</f>
        <v>0</v>
      </c>
    </row>
    <row r="39" spans="2:11" ht="28.5" x14ac:dyDescent="0.25">
      <c r="B39" s="110" t="s">
        <v>94</v>
      </c>
      <c r="C39" s="111" t="s">
        <v>95</v>
      </c>
      <c r="D39" s="111" t="s">
        <v>96</v>
      </c>
      <c r="E39" s="111" t="s">
        <v>97</v>
      </c>
      <c r="F39" s="111" t="s">
        <v>96</v>
      </c>
      <c r="G39" s="112" t="s">
        <v>98</v>
      </c>
      <c r="I39" s="20" t="s">
        <v>136</v>
      </c>
      <c r="J39" s="21"/>
      <c r="K39" s="319">
        <f>SUM(K34:K38)</f>
        <v>3500.0963700460829</v>
      </c>
    </row>
    <row r="40" spans="2:11" x14ac:dyDescent="0.25">
      <c r="B40" s="113" t="s">
        <v>99</v>
      </c>
      <c r="C40" s="114"/>
      <c r="D40" s="115"/>
      <c r="E40" s="115"/>
      <c r="F40" s="116"/>
      <c r="G40" s="117"/>
    </row>
    <row r="41" spans="2:11" x14ac:dyDescent="0.25">
      <c r="B41" s="118" t="s">
        <v>100</v>
      </c>
      <c r="C41" s="94">
        <f>$E$37</f>
        <v>4261.4285714285716</v>
      </c>
      <c r="D41" s="119"/>
      <c r="E41" s="120"/>
      <c r="F41" s="121">
        <v>7.0000000000000007E-2</v>
      </c>
      <c r="G41" s="323">
        <f>F41*C41</f>
        <v>298.3</v>
      </c>
    </row>
    <row r="42" spans="2:11" x14ac:dyDescent="0.25">
      <c r="B42" s="118" t="s">
        <v>101</v>
      </c>
      <c r="C42" s="94">
        <f>$J$17</f>
        <v>3311.2258064516136</v>
      </c>
      <c r="D42" s="123"/>
      <c r="E42" s="124"/>
      <c r="F42" s="125">
        <f>J24</f>
        <v>0</v>
      </c>
      <c r="G42" s="122">
        <f>F42*C42</f>
        <v>0</v>
      </c>
    </row>
    <row r="43" spans="2:11" x14ac:dyDescent="0.25">
      <c r="B43" s="118" t="s">
        <v>102</v>
      </c>
      <c r="C43" s="94">
        <f>$J$18</f>
        <v>950.20276497695795</v>
      </c>
      <c r="D43" s="123"/>
      <c r="E43" s="124"/>
      <c r="F43" s="125"/>
      <c r="G43" s="122">
        <f>F43*C43</f>
        <v>0</v>
      </c>
    </row>
    <row r="44" spans="2:11" x14ac:dyDescent="0.25">
      <c r="B44" s="118" t="s">
        <v>103</v>
      </c>
      <c r="C44" s="94"/>
      <c r="D44" s="123"/>
      <c r="E44" s="124"/>
      <c r="F44" s="125"/>
      <c r="G44" s="122">
        <f>F44*C44</f>
        <v>0</v>
      </c>
    </row>
    <row r="45" spans="2:11" x14ac:dyDescent="0.25">
      <c r="B45" s="126" t="s">
        <v>104</v>
      </c>
      <c r="C45" s="94">
        <f>J17+J18</f>
        <v>4261.4285714285716</v>
      </c>
      <c r="E45" s="94"/>
      <c r="F45" s="127">
        <f>J7</f>
        <v>3.5999999999999997E-2</v>
      </c>
      <c r="G45" s="122">
        <f>F45*C45</f>
        <v>153.41142857142856</v>
      </c>
    </row>
    <row r="46" spans="2:11" x14ac:dyDescent="0.25">
      <c r="B46" s="113" t="s">
        <v>105</v>
      </c>
      <c r="C46" s="114"/>
      <c r="D46" s="115"/>
      <c r="E46" s="115"/>
      <c r="F46" s="116"/>
      <c r="G46" s="117"/>
    </row>
    <row r="47" spans="2:11" x14ac:dyDescent="0.25">
      <c r="B47" s="118" t="s">
        <v>106</v>
      </c>
      <c r="C47" s="94">
        <f>$J$17</f>
        <v>3311.2258064516136</v>
      </c>
      <c r="D47" s="123">
        <v>6.9000000000000006E-2</v>
      </c>
      <c r="E47" s="124">
        <f>D47*C47</f>
        <v>228.47458064516135</v>
      </c>
      <c r="F47" s="125">
        <v>8.5500000000000007E-2</v>
      </c>
      <c r="G47" s="122">
        <f>F47*C47</f>
        <v>283.109806451613</v>
      </c>
    </row>
    <row r="48" spans="2:11" x14ac:dyDescent="0.25">
      <c r="B48" s="118" t="s">
        <v>107</v>
      </c>
      <c r="C48" s="94">
        <f>$E$37</f>
        <v>4261.4285714285716</v>
      </c>
      <c r="D48" s="123">
        <v>4.0000000000000001E-3</v>
      </c>
      <c r="E48" s="124">
        <f t="shared" ref="E48:E51" si="1">D48*C48</f>
        <v>17.045714285714286</v>
      </c>
      <c r="F48" s="125">
        <v>1.9E-2</v>
      </c>
      <c r="G48" s="122">
        <f t="shared" ref="G48:G51" si="2">F48*C48</f>
        <v>80.967142857142861</v>
      </c>
    </row>
    <row r="49" spans="2:7" x14ac:dyDescent="0.25">
      <c r="B49" s="118" t="s">
        <v>108</v>
      </c>
      <c r="C49" s="94">
        <f>$J$17</f>
        <v>3311.2258064516136</v>
      </c>
      <c r="D49" s="123">
        <v>4.0099999999999997E-2</v>
      </c>
      <c r="E49" s="124">
        <f t="shared" si="1"/>
        <v>132.78015483870971</v>
      </c>
      <c r="F49" s="125">
        <v>6.0100000000000001E-2</v>
      </c>
      <c r="G49" s="122">
        <f t="shared" si="2"/>
        <v>199.00467096774199</v>
      </c>
    </row>
    <row r="50" spans="2:7" x14ac:dyDescent="0.25">
      <c r="B50" s="118" t="s">
        <v>109</v>
      </c>
      <c r="C50" s="94">
        <f>+J18</f>
        <v>950.20276497695795</v>
      </c>
      <c r="D50" s="123">
        <v>9.7199999999999995E-2</v>
      </c>
      <c r="E50" s="124">
        <f t="shared" si="1"/>
        <v>92.359708755760309</v>
      </c>
      <c r="F50" s="125">
        <v>0.1457</v>
      </c>
      <c r="G50" s="122">
        <f t="shared" si="2"/>
        <v>138.44454285714278</v>
      </c>
    </row>
    <row r="51" spans="2:7" x14ac:dyDescent="0.25">
      <c r="B51" s="118" t="s">
        <v>110</v>
      </c>
      <c r="C51" s="94">
        <f>E37</f>
        <v>4261.4285714285716</v>
      </c>
      <c r="D51" s="123">
        <v>1.4E-3</v>
      </c>
      <c r="E51" s="124">
        <f t="shared" si="1"/>
        <v>5.9660000000000002</v>
      </c>
      <c r="F51" s="125">
        <v>2.0999999999999999E-3</v>
      </c>
      <c r="G51" s="122">
        <f t="shared" si="2"/>
        <v>8.9489999999999998</v>
      </c>
    </row>
    <row r="52" spans="2:7" x14ac:dyDescent="0.25">
      <c r="B52" s="118" t="s">
        <v>111</v>
      </c>
      <c r="C52" s="94"/>
      <c r="D52" s="123"/>
      <c r="E52" s="124"/>
      <c r="F52" s="125"/>
      <c r="G52" s="122"/>
    </row>
    <row r="53" spans="2:7" x14ac:dyDescent="0.25">
      <c r="B53" s="113" t="s">
        <v>112</v>
      </c>
      <c r="C53" s="94">
        <f>$E$37</f>
        <v>4261.4285714285716</v>
      </c>
      <c r="D53" s="128"/>
      <c r="E53" s="94"/>
      <c r="F53" s="125">
        <v>3.4500000000000003E-2</v>
      </c>
      <c r="G53" s="322">
        <f>F53*C53</f>
        <v>147.01928571428573</v>
      </c>
    </row>
    <row r="54" spans="2:7" x14ac:dyDescent="0.25">
      <c r="B54" s="113" t="s">
        <v>113</v>
      </c>
      <c r="C54" s="94"/>
      <c r="D54" s="128"/>
      <c r="E54" s="94"/>
      <c r="F54" s="130"/>
      <c r="G54" s="122"/>
    </row>
    <row r="55" spans="2:7" x14ac:dyDescent="0.25">
      <c r="B55" s="118" t="s">
        <v>114</v>
      </c>
      <c r="C55" s="94">
        <f>E37</f>
        <v>4261.4285714285716</v>
      </c>
      <c r="D55" s="128"/>
      <c r="E55" s="94"/>
      <c r="F55" s="131">
        <v>4.2000000000000003E-2</v>
      </c>
      <c r="G55" s="122">
        <f t="shared" ref="G55" si="3">F55*C55</f>
        <v>178.98000000000002</v>
      </c>
    </row>
    <row r="56" spans="2:7" x14ac:dyDescent="0.25">
      <c r="B56" s="118" t="s">
        <v>115</v>
      </c>
      <c r="C56" s="94"/>
      <c r="D56" s="132">
        <v>2.4000000000000001E-4</v>
      </c>
      <c r="E56" s="133">
        <f>D56*C56</f>
        <v>0</v>
      </c>
      <c r="F56" s="130">
        <v>3.6000000000000002E-4</v>
      </c>
      <c r="G56" s="134">
        <f>C56*F56</f>
        <v>0</v>
      </c>
    </row>
    <row r="57" spans="2:7" x14ac:dyDescent="0.25">
      <c r="B57" s="113" t="s">
        <v>116</v>
      </c>
      <c r="C57" s="94"/>
      <c r="D57" s="128"/>
      <c r="E57" s="94"/>
      <c r="F57" s="130"/>
      <c r="G57" s="122">
        <f>E103</f>
        <v>69.192911520737326</v>
      </c>
    </row>
    <row r="58" spans="2:7" x14ac:dyDescent="0.25">
      <c r="B58" s="126"/>
      <c r="C58" s="94"/>
      <c r="D58" s="94"/>
      <c r="E58" s="94"/>
      <c r="F58" s="94"/>
      <c r="G58" s="135"/>
    </row>
    <row r="59" spans="2:7" ht="25.5" x14ac:dyDescent="0.25">
      <c r="B59" s="136" t="s">
        <v>117</v>
      </c>
      <c r="C59" s="94"/>
      <c r="D59" s="94"/>
      <c r="E59" s="94"/>
      <c r="F59" s="94"/>
      <c r="G59" s="135"/>
    </row>
    <row r="60" spans="2:7" x14ac:dyDescent="0.25">
      <c r="B60" s="126"/>
      <c r="C60" s="94"/>
      <c r="D60" s="132"/>
      <c r="E60" s="94"/>
      <c r="F60" s="137"/>
      <c r="G60" s="122"/>
    </row>
    <row r="61" spans="2:7" x14ac:dyDescent="0.25">
      <c r="B61" s="126" t="s">
        <v>118</v>
      </c>
      <c r="C61" s="94">
        <f>(E37-E24-E25-E26-E27)*0.9825+G42+G43+G44</f>
        <v>4186.8535714285717</v>
      </c>
      <c r="D61" s="123">
        <v>6.8000000000000005E-2</v>
      </c>
      <c r="E61" s="124">
        <f>D61*C61</f>
        <v>284.7060428571429</v>
      </c>
      <c r="F61" s="125"/>
      <c r="G61" s="122"/>
    </row>
    <row r="62" spans="2:7" x14ac:dyDescent="0.25">
      <c r="B62" s="126" t="s">
        <v>119</v>
      </c>
      <c r="C62" s="94">
        <f>C61</f>
        <v>4186.8535714285717</v>
      </c>
      <c r="D62" s="123">
        <v>2.9000000000000001E-2</v>
      </c>
      <c r="E62" s="124">
        <f>D62*C62</f>
        <v>121.41875357142858</v>
      </c>
      <c r="F62" s="125"/>
      <c r="G62" s="122"/>
    </row>
    <row r="63" spans="2:7" ht="25.5" x14ac:dyDescent="0.25">
      <c r="B63" s="138" t="s">
        <v>120</v>
      </c>
      <c r="C63" s="94">
        <f>(E24+E25+E26+E27)*0.9825</f>
        <v>0</v>
      </c>
      <c r="D63" s="123">
        <v>9.7000000000000003E-2</v>
      </c>
      <c r="E63" s="124">
        <f>D63*C63</f>
        <v>0</v>
      </c>
      <c r="F63" s="125"/>
      <c r="G63" s="122"/>
    </row>
    <row r="64" spans="2:7" x14ac:dyDescent="0.25">
      <c r="B64" s="371" t="s">
        <v>251</v>
      </c>
      <c r="C64" s="123"/>
      <c r="D64" s="123"/>
      <c r="E64" s="124"/>
      <c r="F64" s="125"/>
      <c r="G64" s="135">
        <f>-I124</f>
        <v>0</v>
      </c>
    </row>
    <row r="65" spans="2:7" x14ac:dyDescent="0.25">
      <c r="B65" s="138"/>
      <c r="C65" s="139"/>
      <c r="D65" s="123"/>
      <c r="E65" s="124"/>
      <c r="F65" s="125"/>
      <c r="G65" s="122"/>
    </row>
    <row r="66" spans="2:7" ht="15.75" thickBot="1" x14ac:dyDescent="0.3">
      <c r="B66" s="140"/>
      <c r="C66" s="141">
        <f>IF(AND(J4=151.67,J6&lt;20),C24+C25,0)</f>
        <v>0</v>
      </c>
      <c r="D66" s="142"/>
      <c r="E66" s="143"/>
      <c r="F66" s="144"/>
      <c r="G66" s="145"/>
    </row>
    <row r="67" spans="2:7" ht="15.75" thickBot="1" x14ac:dyDescent="0.3">
      <c r="B67" s="146" t="s">
        <v>124</v>
      </c>
      <c r="C67" s="147"/>
      <c r="D67" s="148"/>
      <c r="E67" s="149">
        <f>SUM(E41:E66)</f>
        <v>882.75095495391724</v>
      </c>
      <c r="F67" s="150"/>
      <c r="G67" s="151">
        <f>SUM(G41:G66)</f>
        <v>1557.3787889400921</v>
      </c>
    </row>
    <row r="68" spans="2:7" x14ac:dyDescent="0.25">
      <c r="B68" s="152"/>
      <c r="C68" s="153"/>
      <c r="D68" s="154"/>
      <c r="E68" s="155"/>
      <c r="F68" s="156"/>
      <c r="G68" s="157"/>
    </row>
    <row r="69" spans="2:7" x14ac:dyDescent="0.25">
      <c r="B69" s="118" t="s">
        <v>125</v>
      </c>
      <c r="C69" s="124"/>
      <c r="D69" s="158"/>
      <c r="E69" s="159"/>
      <c r="F69" s="160"/>
      <c r="G69" s="161"/>
    </row>
    <row r="70" spans="2:7" x14ac:dyDescent="0.25">
      <c r="B70" s="118" t="s">
        <v>126</v>
      </c>
      <c r="C70" s="124"/>
      <c r="D70" s="158"/>
      <c r="E70" s="159"/>
      <c r="F70" s="160"/>
      <c r="G70" s="161"/>
    </row>
    <row r="71" spans="2:7" x14ac:dyDescent="0.25">
      <c r="B71" s="118" t="s">
        <v>127</v>
      </c>
      <c r="C71" s="124"/>
      <c r="D71" s="158"/>
      <c r="E71" s="124"/>
      <c r="F71" s="160"/>
      <c r="G71" s="161"/>
    </row>
    <row r="72" spans="2:7" ht="15.75" customHeight="1" x14ac:dyDescent="0.25">
      <c r="B72" s="162" t="s">
        <v>128</v>
      </c>
      <c r="C72" s="124"/>
      <c r="D72" s="158"/>
      <c r="E72" s="163"/>
      <c r="F72" s="160"/>
      <c r="G72" s="161"/>
    </row>
    <row r="73" spans="2:7" x14ac:dyDescent="0.25">
      <c r="B73" s="164" t="s">
        <v>249</v>
      </c>
      <c r="C73" s="356">
        <v>62</v>
      </c>
      <c r="D73" s="361">
        <v>0.5</v>
      </c>
      <c r="E73" s="166">
        <f>C73*D73</f>
        <v>31</v>
      </c>
      <c r="F73" s="167"/>
      <c r="G73" s="161"/>
    </row>
    <row r="74" spans="2:7" x14ac:dyDescent="0.25">
      <c r="B74" s="168" t="s">
        <v>222</v>
      </c>
      <c r="C74" s="124"/>
      <c r="D74" s="158"/>
      <c r="E74" s="169"/>
      <c r="F74" s="160"/>
      <c r="G74" s="161"/>
    </row>
    <row r="75" spans="2:7" ht="15.75" thickBot="1" x14ac:dyDescent="0.3">
      <c r="B75" s="140"/>
      <c r="C75" s="143"/>
      <c r="D75" s="170"/>
      <c r="E75" s="171"/>
      <c r="F75" s="172"/>
      <c r="G75" s="145"/>
    </row>
    <row r="76" spans="2:7" ht="15.75" thickBot="1" x14ac:dyDescent="0.3">
      <c r="B76" s="173" t="s">
        <v>130</v>
      </c>
      <c r="C76" s="147"/>
      <c r="D76" s="148"/>
      <c r="E76" s="149"/>
      <c r="F76" s="150"/>
      <c r="G76" s="174">
        <f>E37-E67+E69+E70+E71+E72+E73+E74+E75</f>
        <v>3409.6776164746543</v>
      </c>
    </row>
    <row r="77" spans="2:7" ht="28.5" x14ac:dyDescent="0.25">
      <c r="B77" s="175" t="s">
        <v>131</v>
      </c>
      <c r="C77" s="176"/>
      <c r="D77" s="177"/>
      <c r="E77" s="178"/>
      <c r="F77" s="179"/>
      <c r="G77" s="180">
        <f>E110</f>
        <v>63.058489285714288</v>
      </c>
    </row>
    <row r="78" spans="2:7" x14ac:dyDescent="0.25">
      <c r="B78" s="372" t="s">
        <v>132</v>
      </c>
      <c r="C78" s="372" t="s">
        <v>133</v>
      </c>
      <c r="D78" s="372" t="s">
        <v>96</v>
      </c>
      <c r="E78" s="373" t="s">
        <v>134</v>
      </c>
      <c r="F78" s="373"/>
      <c r="G78" s="374" t="s">
        <v>252</v>
      </c>
    </row>
    <row r="79" spans="2:7" x14ac:dyDescent="0.25">
      <c r="B79" s="375" t="s">
        <v>253</v>
      </c>
      <c r="C79" s="376"/>
      <c r="D79" s="378">
        <f>E37+G44+E62-E67</f>
        <v>3500.0963700460825</v>
      </c>
      <c r="E79" s="378"/>
      <c r="F79" s="379"/>
      <c r="G79" s="380"/>
    </row>
    <row r="80" spans="2:7" x14ac:dyDescent="0.25">
      <c r="B80" s="375" t="s">
        <v>254</v>
      </c>
      <c r="C80" s="381">
        <f>D79</f>
        <v>3500.0963700460825</v>
      </c>
      <c r="D80" s="382">
        <v>4.2000000000000003E-2</v>
      </c>
      <c r="E80" s="378">
        <f>D80*C80</f>
        <v>147.00404754193548</v>
      </c>
      <c r="F80" s="379"/>
      <c r="G80" s="380"/>
    </row>
    <row r="81" spans="2:7" x14ac:dyDescent="0.25">
      <c r="B81" s="375" t="s">
        <v>255</v>
      </c>
      <c r="C81" s="376"/>
      <c r="D81" s="378"/>
      <c r="E81" s="377"/>
      <c r="F81" s="379"/>
      <c r="G81" s="380"/>
    </row>
    <row r="82" spans="2:7" x14ac:dyDescent="0.25">
      <c r="B82" s="375"/>
      <c r="C82" s="376"/>
      <c r="D82" s="377"/>
      <c r="E82" s="377"/>
      <c r="F82" s="379"/>
      <c r="G82" s="383"/>
    </row>
    <row r="83" spans="2:7" x14ac:dyDescent="0.25">
      <c r="B83" s="384" t="s">
        <v>256</v>
      </c>
      <c r="C83" s="377"/>
      <c r="D83" s="377"/>
      <c r="E83" s="378">
        <f>G76-E80</f>
        <v>3262.6735689327188</v>
      </c>
      <c r="F83" s="379"/>
      <c r="G83" s="380"/>
    </row>
    <row r="84" spans="2:7" x14ac:dyDescent="0.25">
      <c r="B84" s="375" t="s">
        <v>257</v>
      </c>
      <c r="C84" s="377"/>
      <c r="D84" s="377"/>
      <c r="E84" s="378">
        <f>E118</f>
        <v>332.39142857142855</v>
      </c>
      <c r="F84" s="379"/>
      <c r="G84" s="380"/>
    </row>
    <row r="85" spans="2:7" x14ac:dyDescent="0.25">
      <c r="B85" s="375" t="s">
        <v>258</v>
      </c>
      <c r="C85" s="385"/>
      <c r="D85" s="377"/>
      <c r="E85" s="378">
        <f>G67+E37</f>
        <v>5818.8073603686635</v>
      </c>
      <c r="F85" s="379"/>
      <c r="G85" s="380"/>
    </row>
    <row r="86" spans="2:7" ht="15.75" thickBot="1" x14ac:dyDescent="0.3">
      <c r="B86" s="386" t="s">
        <v>137</v>
      </c>
      <c r="C86" s="184"/>
      <c r="D86" s="184"/>
      <c r="E86" s="184"/>
      <c r="F86" s="387"/>
      <c r="G86" s="388"/>
    </row>
    <row r="87" spans="2:7" ht="15.75" thickBot="1" x14ac:dyDescent="0.3">
      <c r="B87" s="182" t="s">
        <v>137</v>
      </c>
      <c r="C87" s="183"/>
      <c r="D87" s="183"/>
      <c r="E87" s="184"/>
      <c r="F87" s="184"/>
      <c r="G87" s="185"/>
    </row>
    <row r="90" spans="2:7" s="186" customFormat="1" ht="15.75" thickBot="1" x14ac:dyDescent="0.3">
      <c r="B90" s="539" t="s">
        <v>116</v>
      </c>
      <c r="C90" s="540"/>
      <c r="D90" s="8"/>
      <c r="E90" s="8"/>
    </row>
    <row r="91" spans="2:7" s="186" customFormat="1" x14ac:dyDescent="0.25">
      <c r="B91" s="187"/>
      <c r="C91" s="188"/>
      <c r="D91" s="541">
        <f>+E37</f>
        <v>4261.4285714285716</v>
      </c>
      <c r="E91" s="189"/>
    </row>
    <row r="92" spans="2:7" s="186" customFormat="1" x14ac:dyDescent="0.25">
      <c r="B92" s="190" t="s">
        <v>138</v>
      </c>
      <c r="C92" s="191">
        <f>IF(J6&gt;=11,J8,0)</f>
        <v>0</v>
      </c>
      <c r="D92" s="542"/>
      <c r="E92" s="192">
        <f>C92*$D$91</f>
        <v>0</v>
      </c>
    </row>
    <row r="93" spans="2:7" s="186" customFormat="1" x14ac:dyDescent="0.25">
      <c r="B93" s="190" t="s">
        <v>139</v>
      </c>
      <c r="C93" s="191">
        <f>IF(J6&lt;50,0%,0.5%)</f>
        <v>0</v>
      </c>
      <c r="D93" s="542"/>
      <c r="E93" s="192">
        <f t="shared" ref="E93:E98" si="4">C93*$D$91</f>
        <v>0</v>
      </c>
    </row>
    <row r="94" spans="2:7" s="186" customFormat="1" x14ac:dyDescent="0.25">
      <c r="B94" s="190" t="s">
        <v>140</v>
      </c>
      <c r="C94" s="191">
        <v>1.6000000000000001E-4</v>
      </c>
      <c r="D94" s="542"/>
      <c r="E94" s="192">
        <f t="shared" si="4"/>
        <v>0.68182857142857145</v>
      </c>
    </row>
    <row r="95" spans="2:7" s="186" customFormat="1" x14ac:dyDescent="0.25">
      <c r="B95" s="190" t="s">
        <v>141</v>
      </c>
      <c r="C95" s="191">
        <v>3.0000000000000001E-3</v>
      </c>
      <c r="D95" s="542"/>
      <c r="E95" s="192">
        <f t="shared" si="4"/>
        <v>12.784285714285716</v>
      </c>
    </row>
    <row r="96" spans="2:7" s="186" customFormat="1" x14ac:dyDescent="0.25">
      <c r="B96" s="190" t="s">
        <v>142</v>
      </c>
      <c r="C96" s="191">
        <v>6.7999999999999996E-3</v>
      </c>
      <c r="D96" s="542"/>
      <c r="E96" s="192">
        <f t="shared" si="4"/>
        <v>28.977714285714285</v>
      </c>
    </row>
    <row r="97" spans="2:5" s="186" customFormat="1" x14ac:dyDescent="0.25">
      <c r="B97" s="190" t="s">
        <v>143</v>
      </c>
      <c r="C97" s="191">
        <f>IF(J6&lt;11,0.55%,1%)</f>
        <v>5.5000000000000005E-3</v>
      </c>
      <c r="D97" s="542"/>
      <c r="E97" s="192">
        <f t="shared" si="4"/>
        <v>23.437857142857148</v>
      </c>
    </row>
    <row r="98" spans="2:5" s="186" customFormat="1" x14ac:dyDescent="0.25">
      <c r="B98" s="190"/>
      <c r="C98" s="191">
        <f>IF(J6&lt;=50,0,0.45%)</f>
        <v>0</v>
      </c>
      <c r="D98" s="542"/>
      <c r="E98" s="192">
        <f t="shared" si="4"/>
        <v>0</v>
      </c>
    </row>
    <row r="99" spans="2:5" s="186" customFormat="1" x14ac:dyDescent="0.25">
      <c r="B99" s="20"/>
      <c r="C99" s="21"/>
      <c r="D99" s="21"/>
      <c r="E99" s="22"/>
    </row>
    <row r="100" spans="2:5" s="186" customFormat="1" x14ac:dyDescent="0.25">
      <c r="B100" s="20" t="s">
        <v>144</v>
      </c>
      <c r="C100" s="193">
        <f>IF(J6&gt;=11,+G42+G43+G44,0)</f>
        <v>0</v>
      </c>
      <c r="D100" s="194">
        <v>0.08</v>
      </c>
      <c r="E100" s="195">
        <f>D100*C100</f>
        <v>0</v>
      </c>
    </row>
    <row r="101" spans="2:5" s="186" customFormat="1" ht="15.75" thickBot="1" x14ac:dyDescent="0.3">
      <c r="B101" s="37" t="s">
        <v>145</v>
      </c>
      <c r="C101" s="196">
        <f>IF(J6&lt;50,J17,0)</f>
        <v>3311.2258064516136</v>
      </c>
      <c r="D101" s="197">
        <v>1E-3</v>
      </c>
      <c r="E101" s="198">
        <f>D101*C101</f>
        <v>3.3112258064516138</v>
      </c>
    </row>
    <row r="102" spans="2:5" s="186" customFormat="1" ht="15.75" thickBot="1" x14ac:dyDescent="0.3">
      <c r="B102" s="8"/>
      <c r="C102" s="8"/>
      <c r="D102" s="8"/>
      <c r="E102" s="8"/>
    </row>
    <row r="103" spans="2:5" s="186" customFormat="1" ht="15.75" thickBot="1" x14ac:dyDescent="0.3">
      <c r="B103" s="199" t="s">
        <v>146</v>
      </c>
      <c r="C103" s="200"/>
      <c r="D103" s="200"/>
      <c r="E103" s="201">
        <f>SUM(E92:E101)</f>
        <v>69.192911520737326</v>
      </c>
    </row>
    <row r="104" spans="2:5" s="186" customFormat="1" ht="15.75" thickBot="1" x14ac:dyDescent="0.3">
      <c r="B104" s="8"/>
      <c r="C104" s="8"/>
      <c r="D104" s="8"/>
      <c r="E104" s="8"/>
    </row>
    <row r="105" spans="2:5" s="186" customFormat="1" thickBot="1" x14ac:dyDescent="0.3">
      <c r="B105" s="529" t="s">
        <v>147</v>
      </c>
      <c r="C105" s="530"/>
      <c r="D105" s="530"/>
      <c r="E105" s="531"/>
    </row>
    <row r="106" spans="2:5" s="186" customFormat="1" x14ac:dyDescent="0.25">
      <c r="B106" s="202" t="s">
        <v>148</v>
      </c>
      <c r="C106" s="203">
        <f>E37</f>
        <v>4261.4285714285716</v>
      </c>
      <c r="D106" s="204">
        <v>2.4E-2</v>
      </c>
      <c r="E106" s="205">
        <f>D106*C106</f>
        <v>102.27428571428572</v>
      </c>
    </row>
    <row r="107" spans="2:5" s="186" customFormat="1" x14ac:dyDescent="0.25">
      <c r="B107" s="206" t="s">
        <v>17</v>
      </c>
      <c r="C107" s="203">
        <f>C106</f>
        <v>4261.4285714285716</v>
      </c>
      <c r="D107" s="207">
        <v>7.4999999999999997E-3</v>
      </c>
      <c r="E107" s="208">
        <f t="shared" ref="E107:E108" si="5">D107*C107</f>
        <v>31.960714285714285</v>
      </c>
    </row>
    <row r="108" spans="2:5" s="186" customFormat="1" x14ac:dyDescent="0.25">
      <c r="B108" s="206" t="s">
        <v>149</v>
      </c>
      <c r="C108" s="203">
        <f>C61+C63</f>
        <v>4186.8535714285717</v>
      </c>
      <c r="D108" s="207">
        <v>-1.7000000000000001E-2</v>
      </c>
      <c r="E108" s="208">
        <f t="shared" si="5"/>
        <v>-71.176510714285726</v>
      </c>
    </row>
    <row r="109" spans="2:5" s="186" customFormat="1" x14ac:dyDescent="0.25">
      <c r="B109" s="181"/>
      <c r="C109" s="209"/>
      <c r="D109" s="210"/>
      <c r="E109" s="211"/>
    </row>
    <row r="110" spans="2:5" s="186" customFormat="1" ht="15.75" thickBot="1" x14ac:dyDescent="0.3">
      <c r="B110" s="212" t="s">
        <v>150</v>
      </c>
      <c r="C110" s="213"/>
      <c r="D110" s="214"/>
      <c r="E110" s="215">
        <f>SUM(E106:E109)</f>
        <v>63.058489285714288</v>
      </c>
    </row>
    <row r="111" spans="2:5" s="186" customFormat="1" ht="12.75" x14ac:dyDescent="0.25"/>
    <row r="112" spans="2:5" s="186" customFormat="1" ht="13.5" thickBot="1" x14ac:dyDescent="0.3"/>
    <row r="113" spans="2:9" s="186" customFormat="1" thickBot="1" x14ac:dyDescent="0.3">
      <c r="B113" s="529" t="s">
        <v>151</v>
      </c>
      <c r="C113" s="530"/>
      <c r="D113" s="530"/>
      <c r="E113" s="531"/>
    </row>
    <row r="114" spans="2:9" s="186" customFormat="1" ht="15.75" customHeight="1" x14ac:dyDescent="0.25">
      <c r="B114" s="216" t="s">
        <v>152</v>
      </c>
      <c r="C114" s="217"/>
      <c r="D114" s="217"/>
      <c r="E114" s="218">
        <f>I124</f>
        <v>0</v>
      </c>
    </row>
    <row r="115" spans="2:9" s="186" customFormat="1" ht="15.75" customHeight="1" x14ac:dyDescent="0.25">
      <c r="B115" s="219" t="s">
        <v>153</v>
      </c>
      <c r="C115" s="220">
        <f>C66</f>
        <v>0</v>
      </c>
      <c r="D115" s="221">
        <v>1.5</v>
      </c>
      <c r="E115" s="222">
        <f>D115*C115</f>
        <v>0</v>
      </c>
    </row>
    <row r="116" spans="2:9" s="186" customFormat="1" ht="15.75" customHeight="1" x14ac:dyDescent="0.25">
      <c r="B116" s="219" t="s">
        <v>154</v>
      </c>
      <c r="C116" s="223">
        <f>C41</f>
        <v>4261.4285714285716</v>
      </c>
      <c r="D116" s="207">
        <v>1.7999999999999999E-2</v>
      </c>
      <c r="E116" s="222">
        <f>D116*C116</f>
        <v>76.705714285714279</v>
      </c>
    </row>
    <row r="117" spans="2:9" s="186" customFormat="1" ht="15.75" customHeight="1" x14ac:dyDescent="0.25">
      <c r="B117" s="219" t="s">
        <v>155</v>
      </c>
      <c r="C117" s="223">
        <f>C116</f>
        <v>4261.4285714285716</v>
      </c>
      <c r="D117" s="207">
        <v>0.06</v>
      </c>
      <c r="E117" s="222">
        <f>D117*C117</f>
        <v>255.68571428571428</v>
      </c>
    </row>
    <row r="118" spans="2:9" s="186" customFormat="1" ht="15.75" customHeight="1" thickBot="1" x14ac:dyDescent="0.3">
      <c r="B118" s="224" t="s">
        <v>156</v>
      </c>
      <c r="C118" s="225"/>
      <c r="D118" s="225"/>
      <c r="E118" s="226">
        <f>E114+E115+E116+E117</f>
        <v>332.39142857142855</v>
      </c>
    </row>
    <row r="121" spans="2:9" ht="15.75" hidden="1" thickBot="1" x14ac:dyDescent="0.3">
      <c r="B121" s="227" t="s">
        <v>157</v>
      </c>
      <c r="C121" s="228">
        <f>J19</f>
        <v>0.31909999999999999</v>
      </c>
      <c r="D121" s="229"/>
      <c r="E121" s="229"/>
      <c r="F121" s="229"/>
      <c r="G121" s="229"/>
      <c r="H121" s="229"/>
      <c r="I121" s="229"/>
    </row>
    <row r="122" spans="2:9" hidden="1" x14ac:dyDescent="0.25">
      <c r="B122" s="229"/>
      <c r="C122" s="229"/>
      <c r="D122" s="229"/>
      <c r="E122" s="229"/>
      <c r="F122" s="229"/>
      <c r="G122" s="229"/>
      <c r="H122" s="229"/>
      <c r="I122" s="229"/>
    </row>
    <row r="123" spans="2:9" ht="30" hidden="1" x14ac:dyDescent="0.25">
      <c r="B123" s="3" t="s">
        <v>158</v>
      </c>
      <c r="C123" s="230" t="s">
        <v>159</v>
      </c>
      <c r="D123" s="230" t="s">
        <v>160</v>
      </c>
      <c r="E123" s="231" t="s">
        <v>161</v>
      </c>
      <c r="F123" s="232" t="s">
        <v>162</v>
      </c>
      <c r="G123" s="232" t="s">
        <v>163</v>
      </c>
      <c r="H123" s="232" t="s">
        <v>164</v>
      </c>
      <c r="I123" s="233" t="s">
        <v>165</v>
      </c>
    </row>
    <row r="124" spans="2:9" ht="15.75" hidden="1" thickBot="1" x14ac:dyDescent="0.3">
      <c r="B124" s="76" t="s">
        <v>166</v>
      </c>
      <c r="C124" s="234"/>
      <c r="D124" s="235">
        <f>C124</f>
        <v>0</v>
      </c>
      <c r="E124" s="236">
        <v>1603.12</v>
      </c>
      <c r="F124" s="234">
        <f>+E124</f>
        <v>1603.12</v>
      </c>
      <c r="G124" s="237" t="e">
        <f>ROUND((C121/0.6)*((1.6*F124/D124)-1),4)</f>
        <v>#DIV/0!</v>
      </c>
      <c r="H124" s="235" t="e">
        <f>IF(G124&gt;0,G124*D124,0)</f>
        <v>#DIV/0!</v>
      </c>
      <c r="I124" s="238">
        <v>0</v>
      </c>
    </row>
    <row r="125" spans="2:9" hidden="1" x14ac:dyDescent="0.25"/>
    <row r="126" spans="2:9" hidden="1" x14ac:dyDescent="0.25"/>
    <row r="127" spans="2:9" ht="18.75" hidden="1" x14ac:dyDescent="0.25">
      <c r="B127" s="532" t="s">
        <v>167</v>
      </c>
      <c r="C127" s="535"/>
      <c r="D127" s="535"/>
      <c r="E127" s="535"/>
    </row>
    <row r="128" spans="2:9" hidden="1" x14ac:dyDescent="0.25"/>
    <row r="129" spans="2:6" hidden="1" x14ac:dyDescent="0.25">
      <c r="B129" s="239" t="s">
        <v>168</v>
      </c>
      <c r="C129" s="240" t="s">
        <v>169</v>
      </c>
      <c r="D129" s="241" t="s">
        <v>170</v>
      </c>
      <c r="E129" s="241" t="s">
        <v>171</v>
      </c>
      <c r="F129" s="242" t="s">
        <v>172</v>
      </c>
    </row>
    <row r="130" spans="2:6" hidden="1" x14ac:dyDescent="0.25">
      <c r="B130" s="243" t="s">
        <v>173</v>
      </c>
      <c r="C130" s="2"/>
      <c r="D130" s="244">
        <f>C130-25</f>
        <v>-25</v>
      </c>
      <c r="E130" s="244">
        <f>IF(D130&lt;2.8,D130,2.8)</f>
        <v>-25</v>
      </c>
      <c r="F130" s="6">
        <f>IF(D130&gt;2.8,D130-2.8,0)</f>
        <v>0</v>
      </c>
    </row>
    <row r="131" spans="2:6" hidden="1" x14ac:dyDescent="0.25">
      <c r="B131" s="243" t="s">
        <v>174</v>
      </c>
      <c r="C131" s="2"/>
      <c r="D131" s="244">
        <f>C131-25</f>
        <v>-25</v>
      </c>
      <c r="E131" s="244">
        <f t="shared" ref="E131:E133" si="6">IF(D131&lt;2.8,D131,2.8)</f>
        <v>-25</v>
      </c>
      <c r="F131" s="6">
        <f t="shared" ref="F131:F133" si="7">IF(D131&gt;2.8,D131-2.8,0)</f>
        <v>0</v>
      </c>
    </row>
    <row r="132" spans="2:6" hidden="1" x14ac:dyDescent="0.25">
      <c r="B132" s="243" t="s">
        <v>175</v>
      </c>
      <c r="C132" s="2"/>
      <c r="D132" s="244">
        <f t="shared" ref="D132:D133" si="8">C132-25</f>
        <v>-25</v>
      </c>
      <c r="E132" s="244">
        <f t="shared" si="6"/>
        <v>-25</v>
      </c>
      <c r="F132" s="6">
        <f t="shared" si="7"/>
        <v>0</v>
      </c>
    </row>
    <row r="133" spans="2:6" hidden="1" x14ac:dyDescent="0.25">
      <c r="B133" s="243" t="s">
        <v>176</v>
      </c>
      <c r="C133" s="2"/>
      <c r="D133" s="244">
        <f t="shared" si="8"/>
        <v>-25</v>
      </c>
      <c r="E133" s="245">
        <f t="shared" si="6"/>
        <v>-25</v>
      </c>
      <c r="F133" s="246">
        <f t="shared" si="7"/>
        <v>0</v>
      </c>
    </row>
    <row r="134" spans="2:6" ht="15.75" hidden="1" thickBot="1" x14ac:dyDescent="0.3">
      <c r="B134" s="247" t="s">
        <v>177</v>
      </c>
      <c r="C134" s="2"/>
      <c r="D134" s="536" t="s">
        <v>178</v>
      </c>
      <c r="E134" s="536"/>
      <c r="F134" s="537"/>
    </row>
    <row r="135" spans="2:6" ht="15.75" hidden="1" thickBot="1" x14ac:dyDescent="0.3">
      <c r="B135" s="248" t="s">
        <v>179</v>
      </c>
      <c r="C135" s="249"/>
      <c r="D135" s="249">
        <f>SUM(D130:D133)</f>
        <v>-100</v>
      </c>
      <c r="E135" s="249">
        <f>SUM(E130:E133)</f>
        <v>-100</v>
      </c>
      <c r="F135" s="250">
        <f>SUM(F130:F133)</f>
        <v>0</v>
      </c>
    </row>
    <row r="136" spans="2:6" hidden="1" x14ac:dyDescent="0.25"/>
    <row r="137" spans="2:6" ht="18.75" customHeight="1" x14ac:dyDescent="0.25">
      <c r="B137" s="7"/>
      <c r="C137" s="251"/>
      <c r="D137" s="252"/>
      <c r="E137" s="7"/>
      <c r="F137" s="7"/>
    </row>
    <row r="138" spans="2:6" ht="18.75" hidden="1" x14ac:dyDescent="0.25">
      <c r="B138" s="532" t="s">
        <v>9</v>
      </c>
      <c r="C138" s="535"/>
      <c r="D138" s="535"/>
      <c r="E138" s="535"/>
    </row>
    <row r="139" spans="2:6" ht="15.75" hidden="1" thickBot="1" x14ac:dyDescent="0.3"/>
    <row r="140" spans="2:6" hidden="1" x14ac:dyDescent="0.25">
      <c r="B140" s="543" t="s">
        <v>10</v>
      </c>
      <c r="C140" s="544"/>
      <c r="D140" s="544"/>
      <c r="E140" s="545"/>
    </row>
    <row r="141" spans="2:6" hidden="1" x14ac:dyDescent="0.25">
      <c r="B141" s="253" t="s">
        <v>11</v>
      </c>
      <c r="C141" s="254"/>
      <c r="D141" s="254"/>
      <c r="E141" s="268">
        <v>3000</v>
      </c>
    </row>
    <row r="142" spans="2:6" hidden="1" x14ac:dyDescent="0.25">
      <c r="B142" s="253" t="s">
        <v>12</v>
      </c>
      <c r="C142" s="254"/>
      <c r="D142" s="254"/>
      <c r="E142" s="255">
        <v>28</v>
      </c>
    </row>
    <row r="143" spans="2:6" hidden="1" x14ac:dyDescent="0.25">
      <c r="B143" s="253" t="s">
        <v>13</v>
      </c>
      <c r="C143" s="254"/>
      <c r="D143" s="254"/>
      <c r="E143" s="272">
        <f>+E141/E142</f>
        <v>107.14285714285714</v>
      </c>
    </row>
    <row r="144" spans="2:6" ht="15.75" hidden="1" thickBot="1" x14ac:dyDescent="0.3">
      <c r="B144" s="253" t="s">
        <v>14</v>
      </c>
      <c r="C144" s="254"/>
      <c r="D144" s="254"/>
      <c r="E144" s="269">
        <v>21</v>
      </c>
    </row>
    <row r="145" spans="2:5" ht="16.5" hidden="1" thickTop="1" thickBot="1" x14ac:dyDescent="0.3">
      <c r="B145" s="256" t="s">
        <v>15</v>
      </c>
      <c r="C145" s="257"/>
      <c r="D145" s="258"/>
      <c r="E145" s="273">
        <f>E143*E144</f>
        <v>2250</v>
      </c>
    </row>
    <row r="146" spans="2:5" ht="15.75" hidden="1" thickBot="1" x14ac:dyDescent="0.3">
      <c r="B146" s="259"/>
      <c r="C146" s="259"/>
      <c r="D146" s="259"/>
      <c r="E146" s="259"/>
    </row>
    <row r="147" spans="2:5" ht="15.75" hidden="1" thickBot="1" x14ac:dyDescent="0.3">
      <c r="B147" s="529" t="s">
        <v>16</v>
      </c>
      <c r="C147" s="530"/>
      <c r="D147" s="530"/>
      <c r="E147" s="531"/>
    </row>
    <row r="148" spans="2:5" hidden="1" x14ac:dyDescent="0.25">
      <c r="B148" s="260" t="s">
        <v>17</v>
      </c>
      <c r="C148" s="261"/>
      <c r="D148" s="262" t="s">
        <v>18</v>
      </c>
      <c r="E148" s="263" t="s">
        <v>19</v>
      </c>
    </row>
    <row r="149" spans="2:5" hidden="1" x14ac:dyDescent="0.25">
      <c r="B149" s="206" t="s">
        <v>20</v>
      </c>
      <c r="C149" s="270">
        <v>44197</v>
      </c>
      <c r="D149" s="271">
        <v>5850</v>
      </c>
      <c r="E149" s="274">
        <f>1.8*1603.12</f>
        <v>2885.616</v>
      </c>
    </row>
    <row r="150" spans="2:5" hidden="1" x14ac:dyDescent="0.25">
      <c r="B150" s="206" t="s">
        <v>21</v>
      </c>
      <c r="C150" s="270">
        <v>44531</v>
      </c>
      <c r="D150" s="271">
        <v>3000</v>
      </c>
      <c r="E150" s="274">
        <f t="shared" ref="E150:E151" si="9">1.8*1603.12</f>
        <v>2885.616</v>
      </c>
    </row>
    <row r="151" spans="2:5" hidden="1" x14ac:dyDescent="0.25">
      <c r="B151" s="206" t="s">
        <v>22</v>
      </c>
      <c r="C151" s="270">
        <v>44501</v>
      </c>
      <c r="D151" s="271">
        <v>2900</v>
      </c>
      <c r="E151" s="274">
        <f t="shared" si="9"/>
        <v>2885.616</v>
      </c>
    </row>
    <row r="152" spans="2:5" hidden="1" x14ac:dyDescent="0.25">
      <c r="B152" s="206" t="s">
        <v>23</v>
      </c>
      <c r="C152" s="264"/>
      <c r="D152" s="264"/>
      <c r="E152" s="208">
        <f>SUM(E149:E151)</f>
        <v>8656.848</v>
      </c>
    </row>
    <row r="153" spans="2:5" hidden="1" x14ac:dyDescent="0.25">
      <c r="B153" s="206" t="s">
        <v>24</v>
      </c>
      <c r="C153" s="264"/>
      <c r="D153" s="264"/>
      <c r="E153" s="208">
        <f>E152/91.25*0.5</f>
        <v>47.434783561643833</v>
      </c>
    </row>
    <row r="154" spans="2:5" hidden="1" x14ac:dyDescent="0.25">
      <c r="B154" s="206" t="s">
        <v>180</v>
      </c>
      <c r="C154" s="264"/>
      <c r="D154" s="276" t="s">
        <v>181</v>
      </c>
      <c r="E154" s="265">
        <f>E144-3</f>
        <v>18</v>
      </c>
    </row>
    <row r="155" spans="2:5" hidden="1" x14ac:dyDescent="0.25">
      <c r="B155" s="206" t="s">
        <v>25</v>
      </c>
      <c r="C155" s="264"/>
      <c r="D155" s="264"/>
      <c r="E155" s="280">
        <f>E154*E153</f>
        <v>853.82610410958898</v>
      </c>
    </row>
    <row r="156" spans="2:5" hidden="1" x14ac:dyDescent="0.25">
      <c r="B156" s="206" t="s">
        <v>26</v>
      </c>
      <c r="C156" s="264"/>
      <c r="D156" s="264"/>
      <c r="E156" s="208">
        <f>E155*6.7%</f>
        <v>57.206348975342465</v>
      </c>
    </row>
    <row r="157" spans="2:5" ht="15.75" hidden="1" thickBot="1" x14ac:dyDescent="0.3">
      <c r="B157" s="266" t="s">
        <v>27</v>
      </c>
      <c r="C157" s="267"/>
      <c r="D157" s="267"/>
      <c r="E157" s="275">
        <f>E155-E156</f>
        <v>796.61975513424647</v>
      </c>
    </row>
    <row r="158" spans="2:5" ht="15.75" hidden="1" thickBot="1" x14ac:dyDescent="0.3"/>
    <row r="159" spans="2:5" hidden="1" x14ac:dyDescent="0.25">
      <c r="B159" s="543" t="s">
        <v>28</v>
      </c>
      <c r="C159" s="544"/>
      <c r="D159" s="544"/>
      <c r="E159" s="545"/>
    </row>
    <row r="160" spans="2:5" hidden="1" x14ac:dyDescent="0.25">
      <c r="B160" s="253" t="s">
        <v>29</v>
      </c>
      <c r="C160" s="254"/>
      <c r="D160" s="254"/>
      <c r="E160" s="277">
        <f>E144-7</f>
        <v>14</v>
      </c>
    </row>
    <row r="161" spans="2:5" ht="15.75" hidden="1" thickBot="1" x14ac:dyDescent="0.3">
      <c r="B161" s="253" t="s">
        <v>30</v>
      </c>
      <c r="C161" s="254"/>
      <c r="D161" s="254"/>
      <c r="E161" s="255">
        <f>E143*0.9</f>
        <v>96.428571428571431</v>
      </c>
    </row>
    <row r="162" spans="2:5" ht="16.5" hidden="1" thickTop="1" thickBot="1" x14ac:dyDescent="0.3">
      <c r="B162" s="253" t="s">
        <v>31</v>
      </c>
      <c r="C162" s="254"/>
      <c r="D162" s="254"/>
      <c r="E162" s="273">
        <f>E160*E161</f>
        <v>1350</v>
      </c>
    </row>
    <row r="163" spans="2:5" ht="16.5" hidden="1" thickTop="1" thickBot="1" x14ac:dyDescent="0.3">
      <c r="B163" s="206" t="s">
        <v>32</v>
      </c>
      <c r="C163" s="254"/>
      <c r="D163" s="254"/>
      <c r="E163" s="278">
        <f>E153</f>
        <v>47.434783561643833</v>
      </c>
    </row>
    <row r="164" spans="2:5" ht="16.5" hidden="1" thickTop="1" thickBot="1" x14ac:dyDescent="0.3">
      <c r="B164" s="256" t="s">
        <v>33</v>
      </c>
      <c r="C164" s="281">
        <f>E160</f>
        <v>14</v>
      </c>
      <c r="D164" s="279">
        <f>E163</f>
        <v>47.434783561643833</v>
      </c>
      <c r="E164" s="273">
        <f>D164*C164</f>
        <v>664.08696986301368</v>
      </c>
    </row>
    <row r="165" spans="2:5" hidden="1" x14ac:dyDescent="0.25"/>
  </sheetData>
  <mergeCells count="12">
    <mergeCell ref="C17:D17"/>
    <mergeCell ref="F17:G17"/>
    <mergeCell ref="B159:E159"/>
    <mergeCell ref="B90:C90"/>
    <mergeCell ref="D91:D98"/>
    <mergeCell ref="B105:E105"/>
    <mergeCell ref="B113:E113"/>
    <mergeCell ref="B127:E127"/>
    <mergeCell ref="D134:F134"/>
    <mergeCell ref="B138:E138"/>
    <mergeCell ref="B140:E140"/>
    <mergeCell ref="B147:E14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283BE-0055-40E6-B2A8-CEFD5F7470EA}">
  <dimension ref="A2:I35"/>
  <sheetViews>
    <sheetView topLeftCell="A3" workbookViewId="0">
      <selection activeCell="G18" sqref="G18"/>
    </sheetView>
  </sheetViews>
  <sheetFormatPr baseColWidth="10" defaultRowHeight="15" x14ac:dyDescent="0.25"/>
  <cols>
    <col min="1" max="1" width="34" style="229" bestFit="1" customWidth="1"/>
    <col min="2" max="2" width="10.140625" style="229" bestFit="1" customWidth="1"/>
    <col min="3" max="3" width="14.42578125" style="229" customWidth="1"/>
    <col min="4" max="4" width="15.42578125" style="229" customWidth="1"/>
    <col min="5" max="6" width="11.42578125" style="229"/>
    <col min="7" max="7" width="12.42578125" style="229" customWidth="1"/>
    <col min="8" max="8" width="11.42578125" style="229"/>
    <col min="9" max="9" width="13.7109375" style="229" customWidth="1"/>
    <col min="10" max="16384" width="11.42578125" style="229"/>
  </cols>
  <sheetData>
    <row r="2" spans="1:9" ht="18.75" x14ac:dyDescent="0.25">
      <c r="A2" s="532" t="s">
        <v>9</v>
      </c>
      <c r="B2" s="535"/>
      <c r="C2" s="535"/>
      <c r="D2" s="535"/>
    </row>
    <row r="3" spans="1:9" ht="15.75" thickBot="1" x14ac:dyDescent="0.3">
      <c r="A3" s="8"/>
      <c r="B3" s="8"/>
      <c r="C3" s="8"/>
      <c r="D3" s="8"/>
    </row>
    <row r="4" spans="1:9" x14ac:dyDescent="0.25">
      <c r="A4" s="543" t="s">
        <v>10</v>
      </c>
      <c r="B4" s="544"/>
      <c r="C4" s="544"/>
      <c r="D4" s="545"/>
    </row>
    <row r="5" spans="1:9" x14ac:dyDescent="0.25">
      <c r="A5" s="253" t="s">
        <v>11</v>
      </c>
      <c r="B5" s="254"/>
      <c r="C5" s="254"/>
      <c r="D5" s="268">
        <v>2500</v>
      </c>
    </row>
    <row r="6" spans="1:9" x14ac:dyDescent="0.25">
      <c r="A6" s="253" t="s">
        <v>280</v>
      </c>
      <c r="B6" s="254"/>
      <c r="C6" s="254"/>
      <c r="D6" s="255">
        <v>21</v>
      </c>
    </row>
    <row r="7" spans="1:9" x14ac:dyDescent="0.25">
      <c r="A7" s="253" t="s">
        <v>13</v>
      </c>
      <c r="B7" s="254"/>
      <c r="C7" s="254"/>
      <c r="D7" s="272">
        <f>+D5/D6</f>
        <v>119.04761904761905</v>
      </c>
    </row>
    <row r="8" spans="1:9" ht="15.75" thickBot="1" x14ac:dyDescent="0.3">
      <c r="A8" s="253" t="s">
        <v>14</v>
      </c>
      <c r="B8" s="254"/>
      <c r="C8" s="254"/>
      <c r="D8" s="269">
        <v>10</v>
      </c>
    </row>
    <row r="9" spans="1:9" ht="16.5" thickTop="1" thickBot="1" x14ac:dyDescent="0.3">
      <c r="A9" s="256" t="s">
        <v>15</v>
      </c>
      <c r="B9" s="257"/>
      <c r="C9" s="258"/>
      <c r="D9" s="273">
        <f>D7*D8</f>
        <v>1190.4761904761906</v>
      </c>
    </row>
    <row r="10" spans="1:9" ht="15.75" thickBot="1" x14ac:dyDescent="0.3">
      <c r="A10" s="259"/>
      <c r="B10" s="259"/>
      <c r="C10" s="259"/>
      <c r="D10" s="259"/>
    </row>
    <row r="11" spans="1:9" ht="15.75" thickBot="1" x14ac:dyDescent="0.3">
      <c r="A11" s="529" t="s">
        <v>307</v>
      </c>
      <c r="B11" s="530"/>
      <c r="C11" s="530"/>
      <c r="D11" s="531"/>
      <c r="I11" s="461"/>
    </row>
    <row r="12" spans="1:9" ht="28.5" x14ac:dyDescent="0.25">
      <c r="A12" s="453"/>
      <c r="B12" s="454" t="s">
        <v>306</v>
      </c>
      <c r="C12" s="454" t="s">
        <v>250</v>
      </c>
      <c r="D12" s="455" t="s">
        <v>18</v>
      </c>
      <c r="I12" s="461"/>
    </row>
    <row r="13" spans="1:9" x14ac:dyDescent="0.25">
      <c r="A13" s="253" t="s">
        <v>303</v>
      </c>
      <c r="B13" s="456">
        <v>2500</v>
      </c>
      <c r="C13" s="456">
        <v>1250</v>
      </c>
      <c r="D13" s="457">
        <f>SUM(B13:C13)</f>
        <v>3750</v>
      </c>
      <c r="I13" s="461"/>
    </row>
    <row r="14" spans="1:9" x14ac:dyDescent="0.25">
      <c r="A14" s="253" t="s">
        <v>304</v>
      </c>
      <c r="B14" s="456">
        <v>2500</v>
      </c>
      <c r="C14" s="456">
        <v>1050</v>
      </c>
      <c r="D14" s="457">
        <f>SUM(B14:C14)</f>
        <v>3550</v>
      </c>
      <c r="I14" s="461"/>
    </row>
    <row r="15" spans="1:9" ht="15.75" thickBot="1" x14ac:dyDescent="0.3">
      <c r="A15" s="256" t="s">
        <v>305</v>
      </c>
      <c r="B15" s="458">
        <v>2500</v>
      </c>
      <c r="C15" s="458">
        <v>2200</v>
      </c>
      <c r="D15" s="459">
        <f>SUM(B15:C15)</f>
        <v>4700</v>
      </c>
      <c r="I15" s="461"/>
    </row>
    <row r="16" spans="1:9" ht="30" x14ac:dyDescent="0.25">
      <c r="A16" s="259"/>
      <c r="B16" s="259"/>
      <c r="C16" s="259"/>
      <c r="D16" s="259"/>
      <c r="F16" s="3"/>
      <c r="G16" s="429"/>
      <c r="H16" s="230" t="s">
        <v>283</v>
      </c>
      <c r="I16" s="233" t="s">
        <v>284</v>
      </c>
    </row>
    <row r="17" spans="1:9" ht="15.75" thickBot="1" x14ac:dyDescent="0.3">
      <c r="A17" s="259"/>
      <c r="B17" s="259"/>
      <c r="C17" s="259"/>
      <c r="D17" s="259"/>
      <c r="F17" s="4"/>
      <c r="G17" s="306"/>
      <c r="H17" s="306"/>
      <c r="I17" s="462"/>
    </row>
    <row r="18" spans="1:9" ht="15.75" thickBot="1" x14ac:dyDescent="0.3">
      <c r="A18" s="529" t="s">
        <v>16</v>
      </c>
      <c r="B18" s="530"/>
      <c r="C18" s="530"/>
      <c r="D18" s="531"/>
      <c r="F18" s="4" t="s">
        <v>282</v>
      </c>
      <c r="G18" s="306"/>
      <c r="H18" s="33">
        <v>0</v>
      </c>
      <c r="I18" s="389">
        <v>0</v>
      </c>
    </row>
    <row r="19" spans="1:9" ht="15.75" thickBot="1" x14ac:dyDescent="0.3">
      <c r="A19" s="260" t="s">
        <v>17</v>
      </c>
      <c r="B19" s="261"/>
      <c r="C19" s="262" t="s">
        <v>18</v>
      </c>
      <c r="D19" s="263" t="s">
        <v>19</v>
      </c>
      <c r="F19" s="76" t="s">
        <v>285</v>
      </c>
      <c r="G19" s="237"/>
      <c r="H19" s="337">
        <v>11</v>
      </c>
      <c r="I19" s="463">
        <v>7</v>
      </c>
    </row>
    <row r="20" spans="1:9" x14ac:dyDescent="0.25">
      <c r="A20" s="206" t="s">
        <v>20</v>
      </c>
      <c r="B20" s="270"/>
      <c r="C20" s="271">
        <f>D13</f>
        <v>3750</v>
      </c>
      <c r="D20" s="274">
        <f>1.8*1709.28</f>
        <v>3076.7040000000002</v>
      </c>
    </row>
    <row r="21" spans="1:9" x14ac:dyDescent="0.25">
      <c r="A21" s="206" t="s">
        <v>21</v>
      </c>
      <c r="B21" s="270"/>
      <c r="C21" s="271">
        <f t="shared" ref="C21:C22" si="0">D14</f>
        <v>3550</v>
      </c>
      <c r="D21" s="274">
        <f t="shared" ref="D21:D22" si="1">1.8*1709.28</f>
        <v>3076.7040000000002</v>
      </c>
    </row>
    <row r="22" spans="1:9" x14ac:dyDescent="0.25">
      <c r="A22" s="206" t="s">
        <v>22</v>
      </c>
      <c r="B22" s="270"/>
      <c r="C22" s="271">
        <f t="shared" si="0"/>
        <v>4700</v>
      </c>
      <c r="D22" s="274">
        <f t="shared" si="1"/>
        <v>3076.7040000000002</v>
      </c>
    </row>
    <row r="23" spans="1:9" x14ac:dyDescent="0.25">
      <c r="A23" s="206" t="s">
        <v>23</v>
      </c>
      <c r="B23" s="264"/>
      <c r="C23" s="264"/>
      <c r="D23" s="208">
        <f>SUM(D20:D22)</f>
        <v>9230.112000000001</v>
      </c>
    </row>
    <row r="24" spans="1:9" x14ac:dyDescent="0.25">
      <c r="A24" s="206" t="s">
        <v>24</v>
      </c>
      <c r="B24" s="264"/>
      <c r="C24" s="264"/>
      <c r="D24" s="208">
        <f>D23/91.25*0.5</f>
        <v>50.57595616438357</v>
      </c>
    </row>
    <row r="25" spans="1:9" x14ac:dyDescent="0.25">
      <c r="A25" s="206" t="s">
        <v>180</v>
      </c>
      <c r="B25" s="264"/>
      <c r="C25" s="316" t="s">
        <v>281</v>
      </c>
      <c r="D25" s="265">
        <f>14-3</f>
        <v>11</v>
      </c>
    </row>
    <row r="26" spans="1:9" x14ac:dyDescent="0.25">
      <c r="A26" s="206" t="s">
        <v>25</v>
      </c>
      <c r="B26" s="264"/>
      <c r="C26" s="264"/>
      <c r="D26" s="280">
        <f>D25*D24</f>
        <v>556.33551780821927</v>
      </c>
    </row>
    <row r="27" spans="1:9" x14ac:dyDescent="0.25">
      <c r="A27" s="206" t="s">
        <v>26</v>
      </c>
      <c r="B27" s="264"/>
      <c r="C27" s="264"/>
      <c r="D27" s="208">
        <f>D26*6.7%</f>
        <v>37.274479693150695</v>
      </c>
    </row>
    <row r="28" spans="1:9" ht="15.75" thickBot="1" x14ac:dyDescent="0.3">
      <c r="A28" s="266" t="s">
        <v>27</v>
      </c>
      <c r="B28" s="267"/>
      <c r="C28" s="267"/>
      <c r="D28" s="275">
        <f>D26-D27</f>
        <v>519.06103811506853</v>
      </c>
    </row>
    <row r="29" spans="1:9" ht="15.75" thickBot="1" x14ac:dyDescent="0.3">
      <c r="A29" s="8"/>
      <c r="B29" s="8"/>
      <c r="C29" s="8"/>
      <c r="D29" s="8"/>
    </row>
    <row r="30" spans="1:9" x14ac:dyDescent="0.25">
      <c r="A30" s="543" t="s">
        <v>28</v>
      </c>
      <c r="B30" s="544"/>
      <c r="C30" s="544"/>
      <c r="D30" s="545"/>
    </row>
    <row r="31" spans="1:9" x14ac:dyDescent="0.25">
      <c r="A31" s="253" t="s">
        <v>29</v>
      </c>
      <c r="B31" s="254"/>
      <c r="C31" s="315"/>
      <c r="D31" s="277">
        <f>I19</f>
        <v>7</v>
      </c>
    </row>
    <row r="32" spans="1:9" ht="15.75" thickBot="1" x14ac:dyDescent="0.3">
      <c r="A32" s="253" t="s">
        <v>30</v>
      </c>
      <c r="B32" s="428">
        <f>D7</f>
        <v>119.04761904761905</v>
      </c>
      <c r="C32" s="460">
        <v>0.9</v>
      </c>
      <c r="D32" s="255">
        <f>C32*B32</f>
        <v>107.14285714285715</v>
      </c>
    </row>
    <row r="33" spans="1:4" ht="16.5" thickTop="1" thickBot="1" x14ac:dyDescent="0.3">
      <c r="A33" s="253" t="s">
        <v>31</v>
      </c>
      <c r="B33" s="254"/>
      <c r="C33" s="254"/>
      <c r="D33" s="273">
        <f>D31*D32</f>
        <v>750.00000000000011</v>
      </c>
    </row>
    <row r="34" spans="1:4" ht="15.75" thickTop="1" x14ac:dyDescent="0.25"/>
    <row r="35" spans="1:4" ht="23.25" customHeight="1" x14ac:dyDescent="0.25"/>
  </sheetData>
  <mergeCells count="5">
    <mergeCell ref="A2:D2"/>
    <mergeCell ref="A4:D4"/>
    <mergeCell ref="A18:D18"/>
    <mergeCell ref="A30:D30"/>
    <mergeCell ref="A11:D1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REGUL DUMONT</vt:lpstr>
      <vt:lpstr>Bulletin DUMONT</vt:lpstr>
      <vt:lpstr>REGUL LAMBERT</vt:lpstr>
      <vt:lpstr>Bulletin LAMBERT</vt:lpstr>
      <vt:lpstr>REGUL SALVI</vt:lpstr>
      <vt:lpstr>Bulletin SALVI</vt:lpstr>
      <vt:lpstr>REGUL SMITH</vt:lpstr>
      <vt:lpstr>Bulletin SMITH</vt:lpstr>
      <vt:lpstr>ARRET WINKERT</vt:lpstr>
      <vt:lpstr>REGUL WINCKERT</vt:lpstr>
      <vt:lpstr>Bulletin WINCKERT</vt:lpstr>
      <vt:lpstr>FULL Pér de rupture convent</vt:lpstr>
      <vt:lpstr>FULLER Autres calculs</vt:lpstr>
      <vt:lpstr>Bulletin FULLER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ARKHOS</dc:creator>
  <cp:lastModifiedBy>ARKHOS</cp:lastModifiedBy>
  <dcterms:created xsi:type="dcterms:W3CDTF">2019-05-13T15:16:04Z</dcterms:created>
  <dcterms:modified xsi:type="dcterms:W3CDTF">2023-07-09T18:19:25Z</dcterms:modified>
</cp:coreProperties>
</file>