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4 PREPARATION A L'EXAMEN\2-ESSENCE DE VIE\"/>
    </mc:Choice>
  </mc:AlternateContent>
  <xr:revisionPtr revIDLastSave="0" documentId="8_{7DC57C73-28D0-4C05-AC13-F72CE8CB7E36}" xr6:coauthVersionLast="47" xr6:coauthVersionMax="47" xr10:uidLastSave="{00000000-0000-0000-0000-000000000000}"/>
  <bookViews>
    <workbookView xWindow="23880" yWindow="-120" windowWidth="25440" windowHeight="15390" tabRatio="944" firstSheet="3" activeTab="11" xr2:uid="{00000000-000D-0000-FFFF-FFFF00000000}"/>
  </bookViews>
  <sheets>
    <sheet name="CALCULS DIVERS" sheetId="25" r:id="rId1"/>
    <sheet name="REGUL DUMONT" sheetId="14" r:id="rId2"/>
    <sheet name="Bulletin DUMONT" sheetId="13" r:id="rId3"/>
    <sheet name="REGUL LAMBERT" sheetId="21" r:id="rId4"/>
    <sheet name="Bulletin LAMBERT" sheetId="16" r:id="rId5"/>
    <sheet name="REGUL SALVI" sheetId="19" r:id="rId6"/>
    <sheet name="Bulletin SALVI" sheetId="18" r:id="rId7"/>
    <sheet name="REGUL SMITH" sheetId="22" r:id="rId8"/>
    <sheet name="Bulletin SMITH" sheetId="20" r:id="rId9"/>
    <sheet name="ARRET WINKERT" sheetId="15" r:id="rId10"/>
    <sheet name="REGUL WINCKERT" sheetId="23" r:id="rId11"/>
    <sheet name="Bulletin WINCKERT" sheetId="24" r:id="rId12"/>
    <sheet name="Calcul maladie WINCKERT" sheetId="17" r:id="rId13"/>
    <sheet name="Feuil1" sheetId="11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24" l="1"/>
  <c r="B29" i="23"/>
  <c r="C29" i="23" s="1"/>
  <c r="E29" i="23"/>
  <c r="F29" i="23" s="1"/>
  <c r="G29" i="23" s="1"/>
  <c r="B30" i="23"/>
  <c r="D30" i="23"/>
  <c r="E30" i="23"/>
  <c r="F30" i="23"/>
  <c r="B31" i="23"/>
  <c r="D31" i="23" s="1"/>
  <c r="E31" i="23"/>
  <c r="F31" i="23" s="1"/>
  <c r="B32" i="23"/>
  <c r="D32" i="23"/>
  <c r="E32" i="23"/>
  <c r="F32" i="23"/>
  <c r="E33" i="23"/>
  <c r="F33" i="23" s="1"/>
  <c r="F18" i="23"/>
  <c r="E22" i="23"/>
  <c r="D54" i="23"/>
  <c r="D11" i="23"/>
  <c r="C32" i="24"/>
  <c r="D7" i="17"/>
  <c r="D9" i="17" s="1"/>
  <c r="F18" i="22"/>
  <c r="E19" i="22"/>
  <c r="E20" i="22"/>
  <c r="E21" i="22"/>
  <c r="E22" i="22"/>
  <c r="E18" i="22"/>
  <c r="E186" i="18"/>
  <c r="E184" i="18"/>
  <c r="E183" i="18"/>
  <c r="J60" i="16"/>
  <c r="C28" i="16"/>
  <c r="C65" i="16"/>
  <c r="C63" i="16"/>
  <c r="E81" i="13"/>
  <c r="G44" i="24"/>
  <c r="E44" i="24"/>
  <c r="G44" i="18"/>
  <c r="E44" i="18"/>
  <c r="E44" i="20"/>
  <c r="G44" i="16"/>
  <c r="E44" i="16"/>
  <c r="G44" i="13"/>
  <c r="E44" i="13"/>
  <c r="C36" i="24"/>
  <c r="C36" i="20"/>
  <c r="D21" i="25"/>
  <c r="D20" i="25"/>
  <c r="C21" i="25"/>
  <c r="C20" i="25"/>
  <c r="C15" i="25"/>
  <c r="C14" i="25"/>
  <c r="B15" i="25"/>
  <c r="B14" i="25"/>
  <c r="B13" i="25"/>
  <c r="B12" i="25"/>
  <c r="F6" i="25"/>
  <c r="G6" i="25"/>
  <c r="F7" i="25"/>
  <c r="G7" i="25"/>
  <c r="E5" i="25"/>
  <c r="D5" i="25"/>
  <c r="C5" i="25"/>
  <c r="B5" i="25"/>
  <c r="G5" i="25"/>
  <c r="F5" i="25"/>
  <c r="F4" i="25"/>
  <c r="G4" i="25"/>
  <c r="C4" i="25"/>
  <c r="B4" i="25"/>
  <c r="G3" i="25"/>
  <c r="F3" i="25"/>
  <c r="E3" i="25"/>
  <c r="D3" i="25"/>
  <c r="C3" i="25"/>
  <c r="B3" i="25"/>
  <c r="D28" i="16"/>
  <c r="D24" i="16"/>
  <c r="D23" i="16"/>
  <c r="G53" i="13"/>
  <c r="C53" i="13"/>
  <c r="G41" i="13"/>
  <c r="C41" i="13"/>
  <c r="C51" i="13"/>
  <c r="E20" i="14"/>
  <c r="E21" i="14"/>
  <c r="E32" i="14" s="1"/>
  <c r="E22" i="14"/>
  <c r="E33" i="14" s="1"/>
  <c r="E19" i="14"/>
  <c r="E18" i="14"/>
  <c r="J14" i="14"/>
  <c r="E30" i="14"/>
  <c r="E31" i="14"/>
  <c r="E29" i="14"/>
  <c r="E33" i="22"/>
  <c r="D11" i="19"/>
  <c r="M12" i="21"/>
  <c r="E10" i="21"/>
  <c r="C115" i="16"/>
  <c r="D32" i="24" l="1"/>
  <c r="E32" i="24" s="1"/>
  <c r="G30" i="23"/>
  <c r="G31" i="23" s="1"/>
  <c r="G32" i="23" s="1"/>
  <c r="G33" i="23" s="1"/>
  <c r="C30" i="23"/>
  <c r="H29" i="23"/>
  <c r="I29" i="23" s="1"/>
  <c r="J29" i="23" s="1"/>
  <c r="D29" i="23"/>
  <c r="D54" i="22"/>
  <c r="K29" i="23" l="1"/>
  <c r="H30" i="23"/>
  <c r="I30" i="23" s="1"/>
  <c r="J30" i="23" s="1"/>
  <c r="K30" i="23" s="1"/>
  <c r="C31" i="23"/>
  <c r="E161" i="24"/>
  <c r="E162" i="24" s="1"/>
  <c r="E160" i="24"/>
  <c r="C164" i="24" s="1"/>
  <c r="E154" i="24"/>
  <c r="E155" i="24" s="1"/>
  <c r="E156" i="24" s="1"/>
  <c r="E152" i="24"/>
  <c r="E153" i="24" s="1"/>
  <c r="E163" i="24" s="1"/>
  <c r="D164" i="24" s="1"/>
  <c r="E164" i="24" s="1"/>
  <c r="E151" i="24"/>
  <c r="E150" i="24"/>
  <c r="E149" i="24"/>
  <c r="E145" i="24"/>
  <c r="E143" i="24"/>
  <c r="D133" i="24"/>
  <c r="E133" i="24" s="1"/>
  <c r="F132" i="24"/>
  <c r="D132" i="24"/>
  <c r="E132" i="24" s="1"/>
  <c r="D131" i="24"/>
  <c r="F131" i="24" s="1"/>
  <c r="D130" i="24"/>
  <c r="F124" i="24"/>
  <c r="D124" i="24"/>
  <c r="C121" i="24"/>
  <c r="E114" i="24"/>
  <c r="C100" i="24"/>
  <c r="E100" i="24" s="1"/>
  <c r="C98" i="24"/>
  <c r="C97" i="24"/>
  <c r="C93" i="24"/>
  <c r="C92" i="24"/>
  <c r="E73" i="24"/>
  <c r="G64" i="24"/>
  <c r="F45" i="24"/>
  <c r="F42" i="24"/>
  <c r="D36" i="24"/>
  <c r="D27" i="24"/>
  <c r="C27" i="24"/>
  <c r="D26" i="24"/>
  <c r="C26" i="24"/>
  <c r="E26" i="24" s="1"/>
  <c r="D25" i="24"/>
  <c r="E25" i="24" s="1"/>
  <c r="C25" i="24"/>
  <c r="D24" i="24"/>
  <c r="C24" i="24"/>
  <c r="C66" i="24" s="1"/>
  <c r="E20" i="24"/>
  <c r="D22" i="24" s="1"/>
  <c r="E22" i="24" s="1"/>
  <c r="E50" i="23"/>
  <c r="E51" i="23" s="1"/>
  <c r="E52" i="23" s="1"/>
  <c r="D40" i="23"/>
  <c r="E39" i="23"/>
  <c r="C39" i="23"/>
  <c r="B53" i="23"/>
  <c r="F22" i="23"/>
  <c r="F21" i="23"/>
  <c r="D21" i="23"/>
  <c r="F20" i="23"/>
  <c r="D20" i="23"/>
  <c r="B52" i="23"/>
  <c r="F19" i="23"/>
  <c r="D19" i="23"/>
  <c r="G18" i="23"/>
  <c r="E7" i="23"/>
  <c r="E8" i="23" s="1"/>
  <c r="E9" i="23" s="1"/>
  <c r="E10" i="23" s="1"/>
  <c r="E11" i="23" s="1"/>
  <c r="C7" i="23"/>
  <c r="E73" i="20"/>
  <c r="D11" i="22"/>
  <c r="E50" i="22"/>
  <c r="E51" i="22" s="1"/>
  <c r="D40" i="22"/>
  <c r="E40" i="22" s="1"/>
  <c r="E39" i="22"/>
  <c r="F39" i="22" s="1"/>
  <c r="C39" i="22"/>
  <c r="C40" i="22" s="1"/>
  <c r="C41" i="22" s="1"/>
  <c r="C42" i="22" s="1"/>
  <c r="C43" i="22" s="1"/>
  <c r="F33" i="22"/>
  <c r="F32" i="22"/>
  <c r="F31" i="22"/>
  <c r="F30" i="22"/>
  <c r="F29" i="22"/>
  <c r="G29" i="22" s="1"/>
  <c r="F22" i="22"/>
  <c r="F21" i="22"/>
  <c r="B21" i="22"/>
  <c r="D21" i="22" s="1"/>
  <c r="F20" i="22"/>
  <c r="B20" i="22"/>
  <c r="D20" i="22" s="1"/>
  <c r="F19" i="22"/>
  <c r="B19" i="22"/>
  <c r="B30" i="22" s="1"/>
  <c r="G18" i="22"/>
  <c r="B18" i="22"/>
  <c r="B29" i="22" s="1"/>
  <c r="E7" i="22"/>
  <c r="E8" i="22" s="1"/>
  <c r="E9" i="22" s="1"/>
  <c r="E10" i="22" s="1"/>
  <c r="E11" i="22" s="1"/>
  <c r="C7" i="22"/>
  <c r="F7" i="22" s="1"/>
  <c r="G7" i="22" s="1"/>
  <c r="H7" i="22" s="1"/>
  <c r="C9" i="19"/>
  <c r="C10" i="19"/>
  <c r="E7" i="19"/>
  <c r="C7" i="19"/>
  <c r="C8" i="19" s="1"/>
  <c r="E40" i="23" l="1"/>
  <c r="E41" i="23" s="1"/>
  <c r="E42" i="23" s="1"/>
  <c r="C32" i="23"/>
  <c r="H31" i="23"/>
  <c r="I31" i="23" s="1"/>
  <c r="J31" i="23" s="1"/>
  <c r="K31" i="23" s="1"/>
  <c r="F7" i="23"/>
  <c r="G7" i="23" s="1"/>
  <c r="H7" i="23" s="1"/>
  <c r="E8" i="19"/>
  <c r="F8" i="19" s="1"/>
  <c r="G8" i="19" s="1"/>
  <c r="F7" i="19"/>
  <c r="G7" i="19" s="1"/>
  <c r="H7" i="19" s="1"/>
  <c r="G19" i="23"/>
  <c r="G20" i="23" s="1"/>
  <c r="G21" i="23" s="1"/>
  <c r="G22" i="23" s="1"/>
  <c r="G19" i="22"/>
  <c r="G20" i="22" s="1"/>
  <c r="G21" i="22" s="1"/>
  <c r="G22" i="22" s="1"/>
  <c r="G30" i="22"/>
  <c r="G31" i="22" s="1"/>
  <c r="G32" i="22" s="1"/>
  <c r="G33" i="22" s="1"/>
  <c r="E24" i="24"/>
  <c r="F133" i="24"/>
  <c r="E131" i="24"/>
  <c r="G124" i="24"/>
  <c r="H124" i="24" s="1"/>
  <c r="E36" i="24"/>
  <c r="B51" i="23"/>
  <c r="E53" i="23"/>
  <c r="C8" i="23"/>
  <c r="F39" i="23"/>
  <c r="C40" i="23"/>
  <c r="C41" i="23" s="1"/>
  <c r="C42" i="23" s="1"/>
  <c r="C43" i="23" s="1"/>
  <c r="E43" i="23"/>
  <c r="F43" i="23" s="1"/>
  <c r="D18" i="23"/>
  <c r="C18" i="23"/>
  <c r="G66" i="24"/>
  <c r="C115" i="24"/>
  <c r="E115" i="24" s="1"/>
  <c r="E27" i="24"/>
  <c r="C65" i="24" s="1"/>
  <c r="E65" i="24" s="1"/>
  <c r="F130" i="24"/>
  <c r="E130" i="24"/>
  <c r="D135" i="24"/>
  <c r="E157" i="24"/>
  <c r="D19" i="22"/>
  <c r="B31" i="22"/>
  <c r="B52" i="22" s="1"/>
  <c r="C29" i="22"/>
  <c r="D29" i="22"/>
  <c r="C18" i="22"/>
  <c r="C19" i="22" s="1"/>
  <c r="C8" i="22"/>
  <c r="F8" i="22" s="1"/>
  <c r="G8" i="22" s="1"/>
  <c r="H8" i="22" s="1"/>
  <c r="D18" i="22"/>
  <c r="H29" i="22"/>
  <c r="I29" i="22" s="1"/>
  <c r="J29" i="22" s="1"/>
  <c r="K29" i="22" s="1"/>
  <c r="C30" i="22"/>
  <c r="G39" i="22"/>
  <c r="H39" i="22" s="1"/>
  <c r="I39" i="22"/>
  <c r="E41" i="22"/>
  <c r="F40" i="22"/>
  <c r="D30" i="22"/>
  <c r="B51" i="22"/>
  <c r="E52" i="22"/>
  <c r="B32" i="22"/>
  <c r="D31" i="22"/>
  <c r="B50" i="22"/>
  <c r="C50" i="22" s="1"/>
  <c r="H32" i="23" l="1"/>
  <c r="I32" i="23" s="1"/>
  <c r="J32" i="23" s="1"/>
  <c r="K32" i="23" s="1"/>
  <c r="F40" i="23"/>
  <c r="H19" i="22"/>
  <c r="I19" i="22" s="1"/>
  <c r="E9" i="19"/>
  <c r="H8" i="19"/>
  <c r="F9" i="19"/>
  <c r="G9" i="19" s="1"/>
  <c r="H9" i="19" s="1"/>
  <c r="E10" i="19"/>
  <c r="E135" i="24"/>
  <c r="F135" i="24"/>
  <c r="B50" i="23"/>
  <c r="C50" i="23" s="1"/>
  <c r="I40" i="23"/>
  <c r="G40" i="23"/>
  <c r="G43" i="23"/>
  <c r="I43" i="23"/>
  <c r="C63" i="24"/>
  <c r="E63" i="24" s="1"/>
  <c r="C9" i="23"/>
  <c r="F8" i="23"/>
  <c r="G8" i="23" s="1"/>
  <c r="H8" i="23" s="1"/>
  <c r="E54" i="23"/>
  <c r="F41" i="23"/>
  <c r="C19" i="23"/>
  <c r="H18" i="23"/>
  <c r="I18" i="23" s="1"/>
  <c r="J18" i="23" s="1"/>
  <c r="K18" i="23" s="1"/>
  <c r="I39" i="23"/>
  <c r="G39" i="23"/>
  <c r="H39" i="23" s="1"/>
  <c r="F42" i="23"/>
  <c r="H18" i="22"/>
  <c r="I18" i="22" s="1"/>
  <c r="J18" i="22" s="1"/>
  <c r="K18" i="22" s="1"/>
  <c r="C20" i="22"/>
  <c r="C9" i="22"/>
  <c r="F9" i="22" s="1"/>
  <c r="G9" i="22" s="1"/>
  <c r="H9" i="22" s="1"/>
  <c r="G50" i="22"/>
  <c r="H50" i="22" s="1"/>
  <c r="C51" i="22"/>
  <c r="E42" i="22"/>
  <c r="F41" i="22"/>
  <c r="H20" i="22"/>
  <c r="I20" i="22" s="1"/>
  <c r="J20" i="22" s="1"/>
  <c r="K20" i="22" s="1"/>
  <c r="C21" i="22"/>
  <c r="E53" i="22"/>
  <c r="F50" i="22"/>
  <c r="I40" i="22"/>
  <c r="G40" i="22"/>
  <c r="H40" i="22" s="1"/>
  <c r="D32" i="22"/>
  <c r="B53" i="22"/>
  <c r="C31" i="22"/>
  <c r="H30" i="22"/>
  <c r="I30" i="22" s="1"/>
  <c r="J30" i="22" s="1"/>
  <c r="K30" i="22" s="1"/>
  <c r="E11" i="19" l="1"/>
  <c r="F10" i="19"/>
  <c r="G10" i="19" s="1"/>
  <c r="H10" i="19" s="1"/>
  <c r="I41" i="23"/>
  <c r="G41" i="23"/>
  <c r="H41" i="23" s="1"/>
  <c r="C51" i="23"/>
  <c r="G50" i="23"/>
  <c r="H50" i="23" s="1"/>
  <c r="F50" i="23"/>
  <c r="H40" i="23"/>
  <c r="C10" i="23"/>
  <c r="F9" i="23"/>
  <c r="G9" i="23" s="1"/>
  <c r="H9" i="23" s="1"/>
  <c r="G42" i="23"/>
  <c r="H43" i="23" s="1"/>
  <c r="I42" i="23"/>
  <c r="C20" i="23"/>
  <c r="H19" i="23"/>
  <c r="I19" i="23" s="1"/>
  <c r="J19" i="23" s="1"/>
  <c r="K19" i="23" s="1"/>
  <c r="J19" i="22"/>
  <c r="K19" i="22" s="1"/>
  <c r="C10" i="22"/>
  <c r="G41" i="22"/>
  <c r="H41" i="22" s="1"/>
  <c r="I41" i="22"/>
  <c r="C32" i="22"/>
  <c r="H31" i="22"/>
  <c r="I31" i="22" s="1"/>
  <c r="J31" i="22" s="1"/>
  <c r="K31" i="22" s="1"/>
  <c r="E43" i="22"/>
  <c r="F43" i="22" s="1"/>
  <c r="F42" i="22"/>
  <c r="F10" i="22"/>
  <c r="G10" i="22" s="1"/>
  <c r="H10" i="22" s="1"/>
  <c r="C52" i="22"/>
  <c r="G51" i="22"/>
  <c r="H51" i="22" s="1"/>
  <c r="F51" i="22"/>
  <c r="H21" i="22"/>
  <c r="I21" i="22" s="1"/>
  <c r="J21" i="22" s="1"/>
  <c r="K21" i="22" s="1"/>
  <c r="E54" i="22"/>
  <c r="G51" i="23" l="1"/>
  <c r="H51" i="23" s="1"/>
  <c r="C52" i="23"/>
  <c r="F51" i="23"/>
  <c r="H20" i="23"/>
  <c r="I20" i="23" s="1"/>
  <c r="J20" i="23" s="1"/>
  <c r="K20" i="23" s="1"/>
  <c r="C21" i="23"/>
  <c r="F10" i="23"/>
  <c r="G10" i="23" s="1"/>
  <c r="H10" i="23" s="1"/>
  <c r="G56" i="24"/>
  <c r="E56" i="24"/>
  <c r="H42" i="23"/>
  <c r="H32" i="22"/>
  <c r="I32" i="22" s="1"/>
  <c r="J32" i="22" s="1"/>
  <c r="K32" i="22" s="1"/>
  <c r="I42" i="22"/>
  <c r="G42" i="22"/>
  <c r="H42" i="22" s="1"/>
  <c r="G52" i="22"/>
  <c r="H52" i="22" s="1"/>
  <c r="C53" i="22"/>
  <c r="F52" i="22"/>
  <c r="G43" i="22"/>
  <c r="H43" i="22" s="1"/>
  <c r="I43" i="22"/>
  <c r="H21" i="23" l="1"/>
  <c r="I21" i="23" s="1"/>
  <c r="J21" i="23" s="1"/>
  <c r="K21" i="23" s="1"/>
  <c r="G52" i="23"/>
  <c r="H52" i="23" s="1"/>
  <c r="C53" i="23"/>
  <c r="F52" i="23"/>
  <c r="G53" i="22"/>
  <c r="H53" i="22" s="1"/>
  <c r="F53" i="22"/>
  <c r="G53" i="23" l="1"/>
  <c r="H53" i="23" s="1"/>
  <c r="F53" i="23"/>
  <c r="D72" i="18" l="1"/>
  <c r="E72" i="18" s="1"/>
  <c r="E179" i="18"/>
  <c r="E181" i="18" s="1"/>
  <c r="E182" i="18" s="1"/>
  <c r="E171" i="18"/>
  <c r="E21" i="21"/>
  <c r="E38" i="21"/>
  <c r="D28" i="21"/>
  <c r="E28" i="21" s="1"/>
  <c r="C28" i="21"/>
  <c r="C29" i="21" s="1"/>
  <c r="C30" i="21" s="1"/>
  <c r="C31" i="21" s="1"/>
  <c r="E27" i="21"/>
  <c r="F27" i="21" s="1"/>
  <c r="C27" i="21"/>
  <c r="F21" i="21"/>
  <c r="F20" i="21"/>
  <c r="F19" i="21"/>
  <c r="F18" i="21"/>
  <c r="F17" i="21"/>
  <c r="G17" i="21" s="1"/>
  <c r="G18" i="21" s="1"/>
  <c r="G19" i="21" s="1"/>
  <c r="G20" i="21" s="1"/>
  <c r="G21" i="21" s="1"/>
  <c r="F10" i="21"/>
  <c r="F9" i="21"/>
  <c r="B20" i="21"/>
  <c r="F8" i="21"/>
  <c r="D8" i="21"/>
  <c r="B19" i="21"/>
  <c r="B40" i="21" s="1"/>
  <c r="F7" i="21"/>
  <c r="D7" i="21"/>
  <c r="B18" i="21"/>
  <c r="F6" i="21"/>
  <c r="G6" i="21" s="1"/>
  <c r="D6" i="21"/>
  <c r="D139" i="16"/>
  <c r="G139" i="16" s="1"/>
  <c r="D72" i="16"/>
  <c r="E72" i="16" s="1"/>
  <c r="C23" i="16"/>
  <c r="E52" i="14"/>
  <c r="E53" i="14"/>
  <c r="E54" i="14"/>
  <c r="F30" i="14"/>
  <c r="F31" i="14"/>
  <c r="F32" i="14"/>
  <c r="F33" i="14"/>
  <c r="F20" i="14"/>
  <c r="F21" i="14"/>
  <c r="F22" i="14"/>
  <c r="D22" i="14"/>
  <c r="B20" i="14"/>
  <c r="D20" i="14" s="1"/>
  <c r="B21" i="14"/>
  <c r="D21" i="14" s="1"/>
  <c r="B22" i="14"/>
  <c r="B33" i="14" s="1"/>
  <c r="D33" i="14" s="1"/>
  <c r="B18" i="14"/>
  <c r="B29" i="14" s="1"/>
  <c r="B50" i="14" s="1"/>
  <c r="C50" i="14" s="1"/>
  <c r="D11" i="14"/>
  <c r="E160" i="20"/>
  <c r="E154" i="20"/>
  <c r="E151" i="20"/>
  <c r="E150" i="20"/>
  <c r="E149" i="20"/>
  <c r="E152" i="20" s="1"/>
  <c r="E153" i="20" s="1"/>
  <c r="E163" i="20" s="1"/>
  <c r="D164" i="20" s="1"/>
  <c r="E143" i="20"/>
  <c r="E145" i="20" s="1"/>
  <c r="D133" i="20"/>
  <c r="F133" i="20" s="1"/>
  <c r="D132" i="20"/>
  <c r="F132" i="20" s="1"/>
  <c r="D131" i="20"/>
  <c r="E131" i="20" s="1"/>
  <c r="D130" i="20"/>
  <c r="F124" i="20"/>
  <c r="G124" i="20" s="1"/>
  <c r="H124" i="20" s="1"/>
  <c r="D124" i="20"/>
  <c r="C121" i="20"/>
  <c r="E114" i="20"/>
  <c r="C98" i="20"/>
  <c r="C97" i="20"/>
  <c r="C93" i="20"/>
  <c r="C92" i="20"/>
  <c r="G64" i="20"/>
  <c r="F45" i="20"/>
  <c r="F42" i="20"/>
  <c r="E36" i="20"/>
  <c r="D27" i="20"/>
  <c r="D26" i="20"/>
  <c r="E26" i="20" s="1"/>
  <c r="C26" i="20"/>
  <c r="D25" i="20"/>
  <c r="D24" i="20"/>
  <c r="C24" i="20"/>
  <c r="E20" i="20"/>
  <c r="E155" i="18"/>
  <c r="E163" i="18"/>
  <c r="D164" i="18" s="1"/>
  <c r="E145" i="18"/>
  <c r="D133" i="18"/>
  <c r="F133" i="18" s="1"/>
  <c r="D132" i="18"/>
  <c r="F132" i="18" s="1"/>
  <c r="D131" i="18"/>
  <c r="E131" i="18" s="1"/>
  <c r="D130" i="18"/>
  <c r="D135" i="18" s="1"/>
  <c r="F124" i="18"/>
  <c r="D124" i="18"/>
  <c r="C98" i="18"/>
  <c r="C97" i="18"/>
  <c r="C93" i="18"/>
  <c r="C92" i="18"/>
  <c r="F45" i="18"/>
  <c r="F42" i="18"/>
  <c r="D36" i="18"/>
  <c r="E36" i="18" s="1"/>
  <c r="C36" i="18"/>
  <c r="D27" i="18"/>
  <c r="D26" i="18"/>
  <c r="C26" i="18"/>
  <c r="D25" i="18"/>
  <c r="D24" i="18"/>
  <c r="C24" i="18"/>
  <c r="C22" i="18"/>
  <c r="E20" i="18"/>
  <c r="E173" i="16"/>
  <c r="D174" i="16" s="1"/>
  <c r="E155" i="16"/>
  <c r="E32" i="16" s="1"/>
  <c r="D133" i="16"/>
  <c r="F133" i="16" s="1"/>
  <c r="D132" i="16"/>
  <c r="F132" i="16" s="1"/>
  <c r="D131" i="16"/>
  <c r="E131" i="16" s="1"/>
  <c r="D130" i="16"/>
  <c r="F124" i="16"/>
  <c r="D124" i="16"/>
  <c r="C121" i="16"/>
  <c r="E114" i="16"/>
  <c r="C98" i="16"/>
  <c r="C97" i="16"/>
  <c r="C93" i="16"/>
  <c r="C92" i="16"/>
  <c r="G64" i="16"/>
  <c r="F45" i="16"/>
  <c r="F42" i="16"/>
  <c r="D36" i="16"/>
  <c r="D27" i="16"/>
  <c r="D26" i="16"/>
  <c r="C26" i="16"/>
  <c r="D25" i="16"/>
  <c r="C24" i="16"/>
  <c r="E20" i="16"/>
  <c r="D22" i="16" s="1"/>
  <c r="E22" i="16" s="1"/>
  <c r="E37" i="24" l="1"/>
  <c r="D29" i="18"/>
  <c r="E29" i="18" s="1"/>
  <c r="E173" i="18"/>
  <c r="F131" i="18"/>
  <c r="B54" i="14"/>
  <c r="D135" i="20"/>
  <c r="F131" i="20"/>
  <c r="D22" i="20"/>
  <c r="E22" i="20" s="1"/>
  <c r="E130" i="20"/>
  <c r="F130" i="20"/>
  <c r="F135" i="20" s="1"/>
  <c r="E130" i="18"/>
  <c r="E174" i="18"/>
  <c r="F130" i="18"/>
  <c r="D22" i="18"/>
  <c r="E22" i="18" s="1"/>
  <c r="E24" i="20"/>
  <c r="E26" i="18"/>
  <c r="E24" i="18"/>
  <c r="G7" i="21"/>
  <c r="G8" i="21" s="1"/>
  <c r="G9" i="21" s="1"/>
  <c r="G10" i="21" s="1"/>
  <c r="D20" i="21"/>
  <c r="B41" i="21"/>
  <c r="E29" i="21"/>
  <c r="F28" i="21"/>
  <c r="D18" i="21"/>
  <c r="B39" i="21"/>
  <c r="G27" i="21"/>
  <c r="H27" i="21" s="1"/>
  <c r="I27" i="21"/>
  <c r="C6" i="21"/>
  <c r="D9" i="21"/>
  <c r="B17" i="21"/>
  <c r="D19" i="21"/>
  <c r="E39" i="21"/>
  <c r="F131" i="16"/>
  <c r="D135" i="16"/>
  <c r="E130" i="16"/>
  <c r="F130" i="16"/>
  <c r="E28" i="16"/>
  <c r="E23" i="16"/>
  <c r="E24" i="16"/>
  <c r="E36" i="16"/>
  <c r="G124" i="16"/>
  <c r="H124" i="16" s="1"/>
  <c r="E26" i="16"/>
  <c r="B32" i="14"/>
  <c r="B31" i="14"/>
  <c r="E155" i="20"/>
  <c r="E133" i="20"/>
  <c r="C164" i="20"/>
  <c r="E164" i="20" s="1"/>
  <c r="E132" i="20"/>
  <c r="E161" i="20"/>
  <c r="E162" i="20" s="1"/>
  <c r="E156" i="18"/>
  <c r="E157" i="18" s="1"/>
  <c r="E133" i="18"/>
  <c r="C164" i="18"/>
  <c r="E164" i="18" s="1"/>
  <c r="E132" i="18"/>
  <c r="E161" i="18"/>
  <c r="E162" i="18" s="1"/>
  <c r="E165" i="16"/>
  <c r="E133" i="16"/>
  <c r="E132" i="16"/>
  <c r="E171" i="16"/>
  <c r="E172" i="16" s="1"/>
  <c r="E34" i="16" s="1"/>
  <c r="C174" i="16"/>
  <c r="E174" i="16" s="1"/>
  <c r="E33" i="16" s="1"/>
  <c r="D91" i="24" l="1"/>
  <c r="C106" i="24"/>
  <c r="C53" i="24"/>
  <c r="G53" i="24" s="1"/>
  <c r="C48" i="24"/>
  <c r="C41" i="24"/>
  <c r="C55" i="24"/>
  <c r="G55" i="24" s="1"/>
  <c r="B11" i="23"/>
  <c r="C51" i="24"/>
  <c r="F135" i="18"/>
  <c r="E135" i="20"/>
  <c r="E135" i="18"/>
  <c r="E30" i="18"/>
  <c r="F135" i="16"/>
  <c r="K43" i="20"/>
  <c r="K44" i="20" s="1"/>
  <c r="K45" i="20" s="1"/>
  <c r="K46" i="20" s="1"/>
  <c r="E30" i="21"/>
  <c r="F29" i="21"/>
  <c r="I28" i="21"/>
  <c r="G28" i="21"/>
  <c r="H28" i="21" s="1"/>
  <c r="C17" i="21"/>
  <c r="B38" i="21"/>
  <c r="C38" i="21" s="1"/>
  <c r="D17" i="21"/>
  <c r="E40" i="21"/>
  <c r="C7" i="21"/>
  <c r="H6" i="21"/>
  <c r="I6" i="21" s="1"/>
  <c r="J6" i="21" s="1"/>
  <c r="K6" i="21" s="1"/>
  <c r="E135" i="16"/>
  <c r="D32" i="14"/>
  <c r="B53" i="14"/>
  <c r="D31" i="14"/>
  <c r="B52" i="14"/>
  <c r="E156" i="20"/>
  <c r="E157" i="20"/>
  <c r="C25" i="20"/>
  <c r="C27" i="20"/>
  <c r="E27" i="20" s="1"/>
  <c r="C25" i="18"/>
  <c r="C27" i="18"/>
  <c r="E27" i="18" s="1"/>
  <c r="C25" i="16"/>
  <c r="C66" i="16" s="1"/>
  <c r="C27" i="16"/>
  <c r="E27" i="16" s="1"/>
  <c r="E166" i="16"/>
  <c r="E167" i="16" s="1"/>
  <c r="G48" i="24" l="1"/>
  <c r="E48" i="24"/>
  <c r="E51" i="24"/>
  <c r="G51" i="24"/>
  <c r="B22" i="23"/>
  <c r="B33" i="23" s="1"/>
  <c r="C11" i="23"/>
  <c r="F11" i="23" s="1"/>
  <c r="G11" i="23" s="1"/>
  <c r="J17" i="24" s="1"/>
  <c r="C107" i="24"/>
  <c r="E107" i="24" s="1"/>
  <c r="E106" i="24"/>
  <c r="C116" i="24"/>
  <c r="G41" i="24"/>
  <c r="E94" i="24"/>
  <c r="E97" i="24"/>
  <c r="E96" i="24"/>
  <c r="E92" i="24"/>
  <c r="E95" i="24"/>
  <c r="E93" i="24"/>
  <c r="E98" i="24"/>
  <c r="E25" i="20"/>
  <c r="C63" i="20" s="1"/>
  <c r="E63" i="20" s="1"/>
  <c r="C66" i="20"/>
  <c r="E25" i="18"/>
  <c r="C66" i="18"/>
  <c r="G29" i="21"/>
  <c r="H29" i="21" s="1"/>
  <c r="I29" i="21"/>
  <c r="H7" i="21"/>
  <c r="I7" i="21" s="1"/>
  <c r="J7" i="21" s="1"/>
  <c r="K7" i="21" s="1"/>
  <c r="C8" i="21"/>
  <c r="C39" i="21"/>
  <c r="G38" i="21"/>
  <c r="H38" i="21" s="1"/>
  <c r="F38" i="21"/>
  <c r="E41" i="21"/>
  <c r="H17" i="21"/>
  <c r="I17" i="21" s="1"/>
  <c r="J17" i="21" s="1"/>
  <c r="K17" i="21" s="1"/>
  <c r="C18" i="21"/>
  <c r="F30" i="21"/>
  <c r="E31" i="21"/>
  <c r="F31" i="21" s="1"/>
  <c r="E25" i="16"/>
  <c r="E37" i="20"/>
  <c r="D33" i="23" l="1"/>
  <c r="C33" i="23"/>
  <c r="H33" i="23" s="1"/>
  <c r="I33" i="23" s="1"/>
  <c r="J33" i="23" s="1"/>
  <c r="C101" i="24"/>
  <c r="E101" i="24" s="1"/>
  <c r="E103" i="24" s="1"/>
  <c r="G57" i="24" s="1"/>
  <c r="C42" i="24"/>
  <c r="G42" i="24" s="1"/>
  <c r="C49" i="24"/>
  <c r="C47" i="24"/>
  <c r="E116" i="24"/>
  <c r="C117" i="24"/>
  <c r="E117" i="24" s="1"/>
  <c r="D22" i="23"/>
  <c r="C22" i="23"/>
  <c r="H22" i="23" s="1"/>
  <c r="I22" i="23" s="1"/>
  <c r="J22" i="23" s="1"/>
  <c r="H11" i="23"/>
  <c r="J18" i="24" s="1"/>
  <c r="B11" i="22"/>
  <c r="C51" i="20"/>
  <c r="C106" i="20"/>
  <c r="E37" i="16"/>
  <c r="C55" i="20"/>
  <c r="G55" i="20" s="1"/>
  <c r="K34" i="20"/>
  <c r="C115" i="20"/>
  <c r="E115" i="20" s="1"/>
  <c r="E37" i="18"/>
  <c r="C116" i="18" s="1"/>
  <c r="C63" i="18"/>
  <c r="E63" i="18" s="1"/>
  <c r="C115" i="18"/>
  <c r="E115" i="18" s="1"/>
  <c r="I30" i="21"/>
  <c r="G30" i="21"/>
  <c r="H30" i="21" s="1"/>
  <c r="H8" i="21"/>
  <c r="I8" i="21" s="1"/>
  <c r="J8" i="21" s="1"/>
  <c r="K8" i="21" s="1"/>
  <c r="C9" i="21"/>
  <c r="C19" i="21"/>
  <c r="H18" i="21"/>
  <c r="I18" i="21" s="1"/>
  <c r="J18" i="21" s="1"/>
  <c r="K18" i="21" s="1"/>
  <c r="G31" i="21"/>
  <c r="H31" i="21" s="1"/>
  <c r="I31" i="21"/>
  <c r="E42" i="21"/>
  <c r="C40" i="21"/>
  <c r="G39" i="21"/>
  <c r="H39" i="21" s="1"/>
  <c r="F39" i="21"/>
  <c r="E63" i="16"/>
  <c r="E115" i="16"/>
  <c r="G66" i="16"/>
  <c r="D91" i="20"/>
  <c r="C41" i="20"/>
  <c r="C56" i="20"/>
  <c r="C53" i="20"/>
  <c r="G53" i="20" s="1"/>
  <c r="C48" i="20"/>
  <c r="K33" i="23" l="1"/>
  <c r="K22" i="23"/>
  <c r="E47" i="24"/>
  <c r="G47" i="24"/>
  <c r="G49" i="24"/>
  <c r="E49" i="24"/>
  <c r="C50" i="24"/>
  <c r="C43" i="24"/>
  <c r="G43" i="24" s="1"/>
  <c r="C61" i="24" s="1"/>
  <c r="E118" i="24"/>
  <c r="E84" i="24" s="1"/>
  <c r="B54" i="23"/>
  <c r="C54" i="23" s="1"/>
  <c r="C45" i="24"/>
  <c r="G45" i="24" s="1"/>
  <c r="C117" i="18"/>
  <c r="E117" i="18" s="1"/>
  <c r="E116" i="18"/>
  <c r="C56" i="16"/>
  <c r="B10" i="21"/>
  <c r="D10" i="21" s="1"/>
  <c r="C116" i="16"/>
  <c r="C107" i="16"/>
  <c r="D91" i="16"/>
  <c r="E95" i="16" s="1"/>
  <c r="C48" i="16"/>
  <c r="G48" i="16" s="1"/>
  <c r="C107" i="20"/>
  <c r="E107" i="20" s="1"/>
  <c r="E106" i="20"/>
  <c r="C116" i="20"/>
  <c r="G41" i="20"/>
  <c r="B22" i="22"/>
  <c r="C11" i="22"/>
  <c r="F11" i="22" s="1"/>
  <c r="G11" i="22" s="1"/>
  <c r="J17" i="20" s="1"/>
  <c r="C101" i="20" s="1"/>
  <c r="E101" i="20" s="1"/>
  <c r="C41" i="16"/>
  <c r="C53" i="16"/>
  <c r="C55" i="16"/>
  <c r="G55" i="16" s="1"/>
  <c r="B11" i="19"/>
  <c r="C11" i="19" s="1"/>
  <c r="F11" i="19" s="1"/>
  <c r="G11" i="19" s="1"/>
  <c r="H11" i="19" s="1"/>
  <c r="G64" i="18" s="1"/>
  <c r="E114" i="18" s="1"/>
  <c r="E118" i="18" s="1"/>
  <c r="E84" i="18" s="1"/>
  <c r="C106" i="18"/>
  <c r="C55" i="18"/>
  <c r="G55" i="18" s="1"/>
  <c r="C53" i="18"/>
  <c r="G53" i="18" s="1"/>
  <c r="C41" i="18"/>
  <c r="C121" i="18"/>
  <c r="G124" i="18" s="1"/>
  <c r="H124" i="18" s="1"/>
  <c r="J17" i="18"/>
  <c r="C101" i="18" s="1"/>
  <c r="E101" i="18" s="1"/>
  <c r="C56" i="18"/>
  <c r="E56" i="18" s="1"/>
  <c r="F41" i="18"/>
  <c r="C48" i="18"/>
  <c r="G48" i="18" s="1"/>
  <c r="D91" i="18"/>
  <c r="E96" i="18" s="1"/>
  <c r="C41" i="21"/>
  <c r="G40" i="21"/>
  <c r="H40" i="21" s="1"/>
  <c r="F40" i="21"/>
  <c r="H9" i="21"/>
  <c r="I9" i="21" s="1"/>
  <c r="J9" i="21" s="1"/>
  <c r="K9" i="21" s="1"/>
  <c r="C20" i="21"/>
  <c r="H19" i="21"/>
  <c r="I19" i="21" s="1"/>
  <c r="J19" i="21" s="1"/>
  <c r="K19" i="21" s="1"/>
  <c r="G44" i="20"/>
  <c r="K38" i="20" s="1"/>
  <c r="G48" i="20"/>
  <c r="E48" i="20"/>
  <c r="G56" i="20"/>
  <c r="E56" i="20"/>
  <c r="E94" i="20"/>
  <c r="E95" i="20"/>
  <c r="E96" i="20"/>
  <c r="E92" i="20"/>
  <c r="E97" i="20"/>
  <c r="E98" i="20"/>
  <c r="E93" i="20"/>
  <c r="E56" i="16"/>
  <c r="G56" i="16"/>
  <c r="E94" i="16"/>
  <c r="E97" i="16"/>
  <c r="G54" i="23" l="1"/>
  <c r="H54" i="23" s="1"/>
  <c r="F54" i="23"/>
  <c r="C62" i="24"/>
  <c r="E62" i="24" s="1"/>
  <c r="C108" i="24"/>
  <c r="E108" i="24" s="1"/>
  <c r="E110" i="24" s="1"/>
  <c r="G77" i="24" s="1"/>
  <c r="E61" i="24"/>
  <c r="E50" i="24"/>
  <c r="G50" i="24"/>
  <c r="G67" i="24" s="1"/>
  <c r="E85" i="24" s="1"/>
  <c r="E98" i="16"/>
  <c r="E96" i="16"/>
  <c r="C10" i="21"/>
  <c r="H10" i="21" s="1"/>
  <c r="I10" i="21" s="1"/>
  <c r="J10" i="21" s="1"/>
  <c r="K10" i="21" s="1"/>
  <c r="G41" i="16" s="1"/>
  <c r="B21" i="21"/>
  <c r="D21" i="21" s="1"/>
  <c r="E92" i="16"/>
  <c r="E48" i="16"/>
  <c r="E93" i="16"/>
  <c r="C106" i="16"/>
  <c r="E106" i="16" s="1"/>
  <c r="E107" i="16"/>
  <c r="C117" i="16"/>
  <c r="E117" i="16" s="1"/>
  <c r="E116" i="16"/>
  <c r="H11" i="22"/>
  <c r="J18" i="20" s="1"/>
  <c r="C117" i="20"/>
  <c r="E117" i="20" s="1"/>
  <c r="E116" i="20"/>
  <c r="D22" i="22"/>
  <c r="B33" i="22"/>
  <c r="C22" i="22"/>
  <c r="H22" i="22" s="1"/>
  <c r="I22" i="22" s="1"/>
  <c r="J22" i="22" s="1"/>
  <c r="K22" i="22" s="1"/>
  <c r="G41" i="18"/>
  <c r="E93" i="18"/>
  <c r="C107" i="18"/>
  <c r="E107" i="18" s="1"/>
  <c r="E106" i="18"/>
  <c r="G56" i="18"/>
  <c r="E48" i="18"/>
  <c r="E92" i="18"/>
  <c r="E95" i="18"/>
  <c r="E98" i="18"/>
  <c r="E94" i="18"/>
  <c r="E97" i="18"/>
  <c r="H20" i="21"/>
  <c r="I20" i="21" s="1"/>
  <c r="J20" i="21" s="1"/>
  <c r="K20" i="21" s="1"/>
  <c r="G41" i="21"/>
  <c r="H41" i="21" s="1"/>
  <c r="F41" i="21"/>
  <c r="E67" i="24" l="1"/>
  <c r="C80" i="24" s="1"/>
  <c r="E80" i="24" s="1"/>
  <c r="C21" i="21"/>
  <c r="H21" i="21" s="1"/>
  <c r="I21" i="21" s="1"/>
  <c r="B42" i="21"/>
  <c r="C42" i="21" s="1"/>
  <c r="F42" i="21" s="1"/>
  <c r="E118" i="20"/>
  <c r="E84" i="20" s="1"/>
  <c r="E118" i="16"/>
  <c r="E84" i="16" s="1"/>
  <c r="B54" i="22"/>
  <c r="C54" i="22" s="1"/>
  <c r="D33" i="22"/>
  <c r="C33" i="22"/>
  <c r="H33" i="22" s="1"/>
  <c r="I33" i="22" s="1"/>
  <c r="J33" i="22" s="1"/>
  <c r="K33" i="22" s="1"/>
  <c r="C45" i="18"/>
  <c r="G45" i="18" s="1"/>
  <c r="C47" i="18"/>
  <c r="C42" i="18"/>
  <c r="G42" i="18" s="1"/>
  <c r="C49" i="18"/>
  <c r="C45" i="20"/>
  <c r="G45" i="20" s="1"/>
  <c r="C49" i="20"/>
  <c r="C42" i="20"/>
  <c r="G42" i="20" s="1"/>
  <c r="C47" i="20"/>
  <c r="C50" i="20"/>
  <c r="C43" i="20"/>
  <c r="G43" i="20" s="1"/>
  <c r="C50" i="18"/>
  <c r="C43" i="18"/>
  <c r="G43" i="18" s="1"/>
  <c r="G42" i="21"/>
  <c r="H42" i="21" s="1"/>
  <c r="C51" i="16" s="1"/>
  <c r="J21" i="21"/>
  <c r="K21" i="21" s="1"/>
  <c r="G76" i="24" l="1"/>
  <c r="E83" i="24" s="1"/>
  <c r="G54" i="22"/>
  <c r="H54" i="22" s="1"/>
  <c r="F54" i="22"/>
  <c r="G47" i="20"/>
  <c r="E47" i="20"/>
  <c r="E47" i="18"/>
  <c r="G47" i="18"/>
  <c r="E49" i="18"/>
  <c r="G49" i="18"/>
  <c r="K37" i="20"/>
  <c r="C100" i="20"/>
  <c r="E100" i="20" s="1"/>
  <c r="E103" i="20" s="1"/>
  <c r="G57" i="20" s="1"/>
  <c r="C61" i="20"/>
  <c r="C100" i="18"/>
  <c r="E100" i="18" s="1"/>
  <c r="E103" i="18" s="1"/>
  <c r="G57" i="18" s="1"/>
  <c r="C61" i="18"/>
  <c r="G49" i="20"/>
  <c r="E49" i="20"/>
  <c r="E51" i="20"/>
  <c r="G51" i="20"/>
  <c r="E50" i="18"/>
  <c r="G50" i="18"/>
  <c r="E50" i="20"/>
  <c r="G50" i="20"/>
  <c r="G51" i="18"/>
  <c r="E51" i="18"/>
  <c r="G67" i="20" l="1"/>
  <c r="E85" i="20" s="1"/>
  <c r="C62" i="18"/>
  <c r="E62" i="18" s="1"/>
  <c r="C108" i="18"/>
  <c r="E108" i="18" s="1"/>
  <c r="E110" i="18" s="1"/>
  <c r="G77" i="18" s="1"/>
  <c r="E61" i="18"/>
  <c r="G67" i="18"/>
  <c r="E85" i="18" s="1"/>
  <c r="C62" i="20"/>
  <c r="E62" i="20" s="1"/>
  <c r="C108" i="20"/>
  <c r="E108" i="20" s="1"/>
  <c r="E110" i="20" s="1"/>
  <c r="G77" i="20" s="1"/>
  <c r="E61" i="20"/>
  <c r="E67" i="18" l="1"/>
  <c r="E67" i="20"/>
  <c r="K36" i="20"/>
  <c r="D25" i="15"/>
  <c r="D24" i="15"/>
  <c r="D18" i="15"/>
  <c r="D15" i="15"/>
  <c r="D14" i="15"/>
  <c r="D13" i="15"/>
  <c r="D16" i="15" s="1"/>
  <c r="D17" i="15" s="1"/>
  <c r="D27" i="15" s="1"/>
  <c r="C28" i="15" s="1"/>
  <c r="D7" i="15"/>
  <c r="D9" i="15" s="1"/>
  <c r="F19" i="14"/>
  <c r="C18" i="14"/>
  <c r="E150" i="13"/>
  <c r="E151" i="13" s="1"/>
  <c r="E161" i="13" s="1"/>
  <c r="D162" i="13" s="1"/>
  <c r="E141" i="13"/>
  <c r="E143" i="13" s="1"/>
  <c r="E32" i="13" s="1"/>
  <c r="E50" i="14"/>
  <c r="E51" i="14" s="1"/>
  <c r="D40" i="14"/>
  <c r="E39" i="14"/>
  <c r="C39" i="14"/>
  <c r="C40" i="14" s="1"/>
  <c r="C41" i="14" s="1"/>
  <c r="C42" i="14" s="1"/>
  <c r="C43" i="14" s="1"/>
  <c r="F29" i="14"/>
  <c r="G29" i="14" s="1"/>
  <c r="F18" i="14"/>
  <c r="G18" i="14" s="1"/>
  <c r="E7" i="14"/>
  <c r="C7" i="14"/>
  <c r="K35" i="20" l="1"/>
  <c r="D79" i="20"/>
  <c r="C80" i="20" s="1"/>
  <c r="E80" i="20" s="1"/>
  <c r="G76" i="18"/>
  <c r="E79" i="18"/>
  <c r="C80" i="18" s="1"/>
  <c r="E80" i="18" s="1"/>
  <c r="G76" i="20"/>
  <c r="K39" i="20"/>
  <c r="K47" i="20" s="1"/>
  <c r="E153" i="13"/>
  <c r="D19" i="15"/>
  <c r="B28" i="15"/>
  <c r="D28" i="15" s="1"/>
  <c r="D26" i="15"/>
  <c r="G30" i="14"/>
  <c r="G31" i="14" s="1"/>
  <c r="G32" i="14" s="1"/>
  <c r="G33" i="14" s="1"/>
  <c r="C29" i="14"/>
  <c r="E40" i="14"/>
  <c r="E41" i="14" s="1"/>
  <c r="E42" i="14" s="1"/>
  <c r="F7" i="14"/>
  <c r="G7" i="14" s="1"/>
  <c r="H7" i="14" s="1"/>
  <c r="F39" i="14"/>
  <c r="I39" i="14" s="1"/>
  <c r="G19" i="14"/>
  <c r="G20" i="14" s="1"/>
  <c r="G21" i="14" s="1"/>
  <c r="G22" i="14" s="1"/>
  <c r="D18" i="14"/>
  <c r="E8" i="14"/>
  <c r="E9" i="14" s="1"/>
  <c r="E10" i="14" s="1"/>
  <c r="E11" i="14" s="1"/>
  <c r="E154" i="13"/>
  <c r="E155" i="13" s="1"/>
  <c r="E159" i="13"/>
  <c r="E160" i="13" s="1"/>
  <c r="E34" i="13" s="1"/>
  <c r="C162" i="13"/>
  <c r="E162" i="13" s="1"/>
  <c r="E33" i="13" s="1"/>
  <c r="H18" i="14"/>
  <c r="I18" i="14" s="1"/>
  <c r="J18" i="14" s="1"/>
  <c r="E83" i="20" l="1"/>
  <c r="K18" i="14"/>
  <c r="D20" i="15"/>
  <c r="D21" i="15"/>
  <c r="F40" i="14"/>
  <c r="G40" i="14" s="1"/>
  <c r="F41" i="14"/>
  <c r="G41" i="14" s="1"/>
  <c r="D29" i="14"/>
  <c r="G39" i="14"/>
  <c r="H39" i="14" s="1"/>
  <c r="H29" i="14"/>
  <c r="I29" i="14" s="1"/>
  <c r="J29" i="14" s="1"/>
  <c r="E43" i="14"/>
  <c r="F43" i="14" s="1"/>
  <c r="F42" i="14"/>
  <c r="K29" i="14" l="1"/>
  <c r="I41" i="14"/>
  <c r="I40" i="14"/>
  <c r="G50" i="14"/>
  <c r="H50" i="14" s="1"/>
  <c r="F50" i="14"/>
  <c r="H40" i="14"/>
  <c r="G42" i="14"/>
  <c r="H42" i="14" s="1"/>
  <c r="I42" i="14"/>
  <c r="I43" i="14"/>
  <c r="G43" i="14"/>
  <c r="H41" i="14"/>
  <c r="H43" i="14" l="1"/>
  <c r="D131" i="13" l="1"/>
  <c r="E131" i="13" s="1"/>
  <c r="D130" i="13"/>
  <c r="F130" i="13" s="1"/>
  <c r="D129" i="13"/>
  <c r="F129" i="13" s="1"/>
  <c r="D128" i="13"/>
  <c r="F128" i="13" s="1"/>
  <c r="F122" i="13"/>
  <c r="C119" i="13"/>
  <c r="E115" i="13"/>
  <c r="E114" i="13"/>
  <c r="C96" i="13"/>
  <c r="F45" i="13"/>
  <c r="F42" i="13"/>
  <c r="D36" i="13"/>
  <c r="C26" i="13"/>
  <c r="D25" i="13"/>
  <c r="D24" i="13"/>
  <c r="E24" i="13" s="1"/>
  <c r="C24" i="13"/>
  <c r="C22" i="13"/>
  <c r="E20" i="13"/>
  <c r="D22" i="13" s="1"/>
  <c r="E22" i="13" s="1"/>
  <c r="C90" i="13"/>
  <c r="E36" i="13" l="1"/>
  <c r="E130" i="13"/>
  <c r="F131" i="13"/>
  <c r="F133" i="13" s="1"/>
  <c r="D27" i="13"/>
  <c r="D26" i="13"/>
  <c r="E26" i="13" s="1"/>
  <c r="C91" i="13"/>
  <c r="E129" i="13"/>
  <c r="D133" i="13"/>
  <c r="C95" i="13"/>
  <c r="E128" i="13"/>
  <c r="E133" i="13" l="1"/>
  <c r="E113" i="13"/>
  <c r="C25" i="13"/>
  <c r="E25" i="13" s="1"/>
  <c r="C27" i="13"/>
  <c r="E27" i="13" s="1"/>
  <c r="E37" i="13" l="1"/>
  <c r="C63" i="13"/>
  <c r="E63" i="13" s="1"/>
  <c r="C55" i="13" l="1"/>
  <c r="D122" i="13"/>
  <c r="G122" i="13" s="1"/>
  <c r="H122" i="13" s="1"/>
  <c r="C56" i="13"/>
  <c r="D89" i="13"/>
  <c r="C48" i="13"/>
  <c r="G55" i="13" l="1"/>
  <c r="C8" i="14"/>
  <c r="C9" i="14" s="1"/>
  <c r="B19" i="14"/>
  <c r="G56" i="13"/>
  <c r="E56" i="13"/>
  <c r="E112" i="13"/>
  <c r="E116" i="13" s="1"/>
  <c r="G64" i="13"/>
  <c r="G48" i="13"/>
  <c r="E48" i="13"/>
  <c r="E92" i="13"/>
  <c r="E93" i="13"/>
  <c r="E94" i="13"/>
  <c r="E96" i="13"/>
  <c r="E90" i="13"/>
  <c r="E95" i="13"/>
  <c r="E91" i="13"/>
  <c r="C105" i="13" l="1"/>
  <c r="E105" i="13" s="1"/>
  <c r="E104" i="13"/>
  <c r="D19" i="14"/>
  <c r="B30" i="14"/>
  <c r="C30" i="14" s="1"/>
  <c r="F8" i="14"/>
  <c r="G8" i="14" s="1"/>
  <c r="C10" i="14"/>
  <c r="F9" i="14"/>
  <c r="C19" i="14"/>
  <c r="B51" i="14" l="1"/>
  <c r="C51" i="14" s="1"/>
  <c r="D30" i="14"/>
  <c r="C31" i="14"/>
  <c r="H30" i="14"/>
  <c r="I30" i="14" s="1"/>
  <c r="J30" i="14" s="1"/>
  <c r="K30" i="14" s="1"/>
  <c r="G53" i="16" s="1"/>
  <c r="G9" i="14"/>
  <c r="H9" i="14" s="1"/>
  <c r="H19" i="14"/>
  <c r="I19" i="14" s="1"/>
  <c r="J19" i="14" s="1"/>
  <c r="K19" i="14" s="1"/>
  <c r="C20" i="14"/>
  <c r="H8" i="14"/>
  <c r="C11" i="14"/>
  <c r="F11" i="14" s="1"/>
  <c r="F10" i="14"/>
  <c r="G10" i="14" s="1"/>
  <c r="H10" i="14" s="1"/>
  <c r="C52" i="14" l="1"/>
  <c r="G51" i="14"/>
  <c r="H51" i="14" s="1"/>
  <c r="F51" i="14"/>
  <c r="H31" i="14"/>
  <c r="I31" i="14" s="1"/>
  <c r="J31" i="14" s="1"/>
  <c r="K31" i="14" s="1"/>
  <c r="C32" i="14"/>
  <c r="C21" i="14"/>
  <c r="H20" i="14"/>
  <c r="I20" i="14" s="1"/>
  <c r="J20" i="14" s="1"/>
  <c r="K20" i="14" s="1"/>
  <c r="G11" i="14"/>
  <c r="J18" i="16" s="1"/>
  <c r="C47" i="16" s="1"/>
  <c r="C49" i="16" l="1"/>
  <c r="C101" i="16"/>
  <c r="E101" i="16" s="1"/>
  <c r="J19" i="16"/>
  <c r="C42" i="16"/>
  <c r="G42" i="16" s="1"/>
  <c r="H11" i="14"/>
  <c r="J18" i="13" s="1"/>
  <c r="J17" i="13"/>
  <c r="C53" i="14"/>
  <c r="F52" i="14"/>
  <c r="G52" i="14"/>
  <c r="H52" i="14" s="1"/>
  <c r="C33" i="14"/>
  <c r="H33" i="14" s="1"/>
  <c r="I33" i="14" s="1"/>
  <c r="H32" i="14"/>
  <c r="I32" i="14" s="1"/>
  <c r="J32" i="14" s="1"/>
  <c r="K32" i="14" s="1"/>
  <c r="C100" i="16"/>
  <c r="E100" i="16" s="1"/>
  <c r="E49" i="16"/>
  <c r="G49" i="16"/>
  <c r="G47" i="16"/>
  <c r="E47" i="16"/>
  <c r="C22" i="14"/>
  <c r="H22" i="14" s="1"/>
  <c r="I22" i="14" s="1"/>
  <c r="H21" i="14"/>
  <c r="I21" i="14" s="1"/>
  <c r="J21" i="14" s="1"/>
  <c r="K21" i="14" s="1"/>
  <c r="E103" i="16" l="1"/>
  <c r="G57" i="16" s="1"/>
  <c r="C50" i="16"/>
  <c r="C45" i="16"/>
  <c r="G45" i="16" s="1"/>
  <c r="C43" i="16"/>
  <c r="G43" i="16" s="1"/>
  <c r="C61" i="16" s="1"/>
  <c r="C108" i="16" s="1"/>
  <c r="E108" i="16" s="1"/>
  <c r="E110" i="16" s="1"/>
  <c r="G77" i="16" s="1"/>
  <c r="J22" i="14"/>
  <c r="K22" i="14" s="1"/>
  <c r="C50" i="13"/>
  <c r="C43" i="13"/>
  <c r="G43" i="13" s="1"/>
  <c r="C99" i="13"/>
  <c r="E99" i="13" s="1"/>
  <c r="C47" i="13"/>
  <c r="C45" i="13"/>
  <c r="G45" i="13" s="1"/>
  <c r="C42" i="13"/>
  <c r="G42" i="13" s="1"/>
  <c r="C49" i="13"/>
  <c r="G51" i="13"/>
  <c r="E51" i="13"/>
  <c r="C54" i="14"/>
  <c r="F53" i="14"/>
  <c r="G53" i="14"/>
  <c r="H53" i="14" s="1"/>
  <c r="G51" i="16"/>
  <c r="E51" i="16"/>
  <c r="J33" i="14"/>
  <c r="K33" i="14" s="1"/>
  <c r="E61" i="16" l="1"/>
  <c r="C62" i="16"/>
  <c r="E62" i="16" s="1"/>
  <c r="G50" i="16"/>
  <c r="G67" i="16" s="1"/>
  <c r="E85" i="16" s="1"/>
  <c r="E50" i="16"/>
  <c r="F54" i="14"/>
  <c r="G54" i="14"/>
  <c r="H54" i="14" s="1"/>
  <c r="C98" i="13"/>
  <c r="E98" i="13" s="1"/>
  <c r="E101" i="13" s="1"/>
  <c r="G57" i="13" s="1"/>
  <c r="C61" i="13"/>
  <c r="G49" i="13"/>
  <c r="E49" i="13"/>
  <c r="E50" i="13"/>
  <c r="G50" i="13"/>
  <c r="G47" i="13"/>
  <c r="E47" i="13"/>
  <c r="J61" i="16" l="1"/>
  <c r="D65" i="16" s="1"/>
  <c r="E65" i="16" s="1"/>
  <c r="E67" i="16" s="1"/>
  <c r="G76" i="16" s="1"/>
  <c r="I51" i="16"/>
  <c r="G65" i="13"/>
  <c r="E83" i="13" s="1"/>
  <c r="C106" i="13"/>
  <c r="E106" i="13" s="1"/>
  <c r="C62" i="13"/>
  <c r="E62" i="13" s="1"/>
  <c r="E61" i="13"/>
  <c r="I85" i="16"/>
  <c r="E79" i="16" l="1"/>
  <c r="C80" i="16" s="1"/>
  <c r="E80" i="16" s="1"/>
  <c r="E83" i="16" s="1"/>
  <c r="E65" i="13"/>
  <c r="G74" i="13" s="1"/>
  <c r="E77" i="13" l="1"/>
  <c r="C78" i="13" s="1"/>
  <c r="E78" i="13" s="1"/>
</calcChain>
</file>

<file path=xl/sharedStrings.xml><?xml version="1.0" encoding="utf-8"?>
<sst xmlns="http://schemas.openxmlformats.org/spreadsheetml/2006/main" count="1432" uniqueCount="298">
  <si>
    <t>Durée hebdomadaire</t>
  </si>
  <si>
    <t>Mutuelle salariale</t>
  </si>
  <si>
    <t>Mutuelle patronale</t>
  </si>
  <si>
    <t>jeudi</t>
  </si>
  <si>
    <t>vendredi</t>
  </si>
  <si>
    <t>lundi</t>
  </si>
  <si>
    <t>mardi</t>
  </si>
  <si>
    <t>mercredi</t>
  </si>
  <si>
    <t>Effectif</t>
  </si>
  <si>
    <t>ARRET DE TRAVAIL MALADIE</t>
  </si>
  <si>
    <t>Retenues sur salaires</t>
  </si>
  <si>
    <t>Salaire de base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</si>
  <si>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</si>
  <si>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</si>
  <si>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</si>
  <si>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</si>
  <si>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</si>
  <si>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Maladie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</si>
  <si>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</si>
  <si>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</si>
  <si>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</si>
  <si>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</si>
  <si>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</si>
  <si>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</si>
  <si>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</si>
  <si>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</si>
  <si>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</si>
  <si>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</si>
  <si>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Maintien de salaire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</si>
  <si>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</si>
  <si>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</si>
  <si>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</si>
  <si>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</si>
  <si>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</si>
  <si>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</si>
  <si>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</si>
  <si>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</si>
  <si>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</si>
  <si>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</si>
  <si>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</si>
  <si>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</si>
  <si>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</si>
  <si>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</si>
  <si>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</si>
  <si>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</si>
  <si>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</si>
  <si>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Code postal :</t>
  </si>
  <si>
    <t>Taux accident du travail</t>
  </si>
  <si>
    <t>Ville :</t>
  </si>
  <si>
    <t>CP/ Ville</t>
  </si>
  <si>
    <t>Taux de versement de mobilité</t>
  </si>
  <si>
    <t>Le versement de mobilité ne peut pas être appliqué car l'effectif est inférieur à 11 salariés.</t>
  </si>
  <si>
    <t>N° SIRET :</t>
  </si>
  <si>
    <t>Emploi :</t>
  </si>
  <si>
    <t>Gérant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</si>
  <si>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</si>
  <si>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</si>
  <si>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</si>
  <si>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</si>
  <si>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</si>
  <si>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</si>
  <si>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</si>
  <si>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</si>
  <si>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</si>
  <si>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</si>
  <si>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</si>
  <si>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</si>
  <si>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</si>
  <si>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</si>
  <si>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</si>
  <si>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</si>
  <si>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</si>
  <si>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</si>
  <si>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</si>
  <si>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</si>
  <si>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</si>
  <si>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</si>
  <si>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</si>
  <si>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</si>
  <si>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</si>
  <si>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prélèvement à la source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</si>
  <si>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</si>
  <si>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</si>
  <si>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</si>
  <si>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</si>
  <si>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</si>
  <si>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Taux de la prime d'ancienneté</t>
  </si>
  <si>
    <t>Salaire minimum de la catégorie du salarié SMIC</t>
  </si>
  <si>
    <t>Retenues pour congés payés</t>
  </si>
  <si>
    <t>Indemnité pour congés payés</t>
  </si>
  <si>
    <t>Retenue absence arrêt de travail</t>
  </si>
  <si>
    <t xml:space="preserve">IJSS 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</si>
  <si>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</si>
  <si>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</si>
  <si>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</si>
  <si>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</si>
  <si>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</si>
  <si>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</si>
  <si>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</si>
  <si>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</si>
  <si>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</si>
  <si>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</si>
  <si>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</si>
  <si>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</si>
  <si>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</si>
  <si>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</si>
  <si>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</si>
  <si>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</si>
  <si>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</si>
  <si>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</si>
  <si>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</si>
  <si>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</si>
  <si>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</si>
  <si>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</si>
  <si>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</si>
  <si>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</si>
  <si>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</si>
  <si>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</si>
  <si>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</si>
  <si>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</si>
  <si>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</si>
  <si>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</si>
  <si>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</si>
  <si>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</si>
  <si>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</si>
  <si>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</si>
  <si>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</si>
  <si>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</si>
  <si>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</si>
  <si>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Frais de déplacement professionnel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</si>
  <si>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</si>
  <si>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</si>
  <si>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</si>
  <si>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</si>
  <si>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</si>
  <si>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NET FISCAL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</si>
  <si>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</si>
  <si>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</si>
  <si>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</si>
  <si>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</si>
  <si>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</si>
  <si>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</si>
  <si>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</si>
  <si>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Apprentissage : 0,68%</t>
  </si>
  <si>
    <t>Formation : 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</si>
  <si>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</si>
  <si>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</si>
  <si>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</si>
  <si>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</si>
  <si>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</si>
  <si>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</si>
  <si>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</si>
  <si>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</si>
  <si>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</si>
  <si>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</si>
  <si>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</si>
  <si>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</si>
  <si>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</si>
  <si>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</si>
  <si>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</si>
  <si>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</si>
  <si>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</si>
  <si>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</si>
  <si>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</si>
  <si>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</si>
  <si>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</si>
  <si>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</si>
  <si>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</si>
  <si>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</si>
  <si>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</si>
  <si>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</si>
  <si>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</si>
  <si>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</si>
  <si>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</si>
  <si>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</si>
  <si>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</si>
  <si>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</si>
  <si>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</si>
  <si>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</si>
  <si>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</si>
  <si>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Total</t>
  </si>
  <si>
    <t>Nombre de jours d'arret pris en charge</t>
  </si>
  <si>
    <t>21-3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</si>
  <si>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</si>
  <si>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</si>
  <si>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</si>
  <si>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</si>
  <si>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</si>
  <si>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</si>
  <si>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</si>
  <si>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</si>
  <si>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</si>
  <si>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</si>
  <si>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</si>
  <si>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</si>
  <si>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</si>
  <si>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</si>
  <si>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</si>
  <si>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</si>
  <si>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</si>
  <si>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</si>
  <si>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</si>
  <si>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</si>
  <si>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</si>
  <si>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</si>
  <si>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</si>
  <si>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</si>
  <si>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</si>
  <si>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</si>
  <si>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</si>
  <si>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</si>
  <si>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</si>
  <si>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Remarque</t>
  </si>
  <si>
    <t>Regularisation mensuelle progressive de la cotisation CET</t>
  </si>
  <si>
    <t>CET à payer</t>
  </si>
  <si>
    <t>CET 
cumulées</t>
  </si>
  <si>
    <t>Jours rémunérés</t>
  </si>
  <si>
    <t>28-7</t>
  </si>
  <si>
    <t>21-7</t>
  </si>
  <si>
    <t>IJSS nettes</t>
  </si>
  <si>
    <t>REVENU FISCAL</t>
  </si>
  <si>
    <t>Retenues salariales</t>
  </si>
  <si>
    <t>CSG 2,90%</t>
  </si>
  <si>
    <t>Prévoyance patronale</t>
  </si>
  <si>
    <t>IJSS</t>
  </si>
  <si>
    <t>IJSS brutes</t>
  </si>
  <si>
    <t>CSG à 3,80%</t>
  </si>
  <si>
    <t>NET</t>
  </si>
  <si>
    <t>IJSS 50%</t>
  </si>
  <si>
    <t>1211,20*50%</t>
  </si>
  <si>
    <t>CADRE</t>
  </si>
  <si>
    <t>Salaire minimum de la catégorie du salarié</t>
  </si>
  <si>
    <t>Assiette CET 
du mois</t>
  </si>
  <si>
    <t>prime ancienneté = 4 000 * 6%</t>
  </si>
  <si>
    <t>prime ancienneté = 4 000 * 7%</t>
  </si>
  <si>
    <t>Heures supplémentaires</t>
  </si>
  <si>
    <t>DUREE</t>
  </si>
  <si>
    <t>HS110%</t>
  </si>
  <si>
    <t>HS125%</t>
  </si>
  <si>
    <t>HS150%</t>
  </si>
  <si>
    <t>11 au 15</t>
  </si>
  <si>
    <t>HS</t>
  </si>
  <si>
    <t>Heures bonifiées à 25%</t>
  </si>
  <si>
    <t>Samedi 30</t>
  </si>
  <si>
    <t>Heures supplémentaires à 110%</t>
  </si>
  <si>
    <t>Bonification du samedi</t>
  </si>
  <si>
    <t>Cotisations salariales</t>
  </si>
  <si>
    <t>Moyenne cotisations / salaires</t>
  </si>
  <si>
    <t>ce taux est inférieur à 11,31%</t>
  </si>
  <si>
    <t>1/26</t>
  </si>
  <si>
    <t>Nombre de jours pris</t>
  </si>
  <si>
    <t>Indemnité de congé</t>
  </si>
  <si>
    <t>Indemnité payés sur les 4 semaines de congés en juillet et aout</t>
  </si>
  <si>
    <t>CONGES PAYES</t>
  </si>
  <si>
    <t>Régle du dicième</t>
  </si>
  <si>
    <t>Salaire mensuel</t>
  </si>
  <si>
    <t>Prime de rendement</t>
  </si>
  <si>
    <t>Assiette</t>
  </si>
  <si>
    <t>1/10</t>
  </si>
  <si>
    <t>Indemnioté selon règle du dixième</t>
  </si>
  <si>
    <t>Le plus favorable</t>
  </si>
  <si>
    <t>31-3</t>
  </si>
  <si>
    <t>3428*28/31</t>
  </si>
  <si>
    <t>Abonnement transport</t>
  </si>
  <si>
    <t>Commissions</t>
  </si>
  <si>
    <t>1600*12</t>
  </si>
  <si>
    <t>Exonération, écrètement et allègements de cotisations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</si>
  <si>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</si>
  <si>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</si>
  <si>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</si>
  <si>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</si>
  <si>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</si>
  <si>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</si>
  <si>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</si>
  <si>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160,42*10,85</t>
  </si>
  <si>
    <t>REDUCTION  GENERALE DE COTISATIONS</t>
  </si>
  <si>
    <t>SMIC</t>
  </si>
  <si>
    <t>DUMONT</t>
  </si>
  <si>
    <t>LAMBERT</t>
  </si>
  <si>
    <t>SALVI</t>
  </si>
  <si>
    <t>SMITH</t>
  </si>
  <si>
    <t>WINCKERT</t>
  </si>
  <si>
    <t>SALARIALES</t>
  </si>
  <si>
    <t>PATRONALES</t>
  </si>
  <si>
    <t>MUTUELLES ADULTES</t>
  </si>
  <si>
    <t>MUTUELLES ENFANTS</t>
  </si>
  <si>
    <t>TOTAUX SALAR</t>
  </si>
  <si>
    <t>TOTAUX PATR</t>
  </si>
  <si>
    <t>Salaires minim</t>
  </si>
  <si>
    <t>repas</t>
  </si>
  <si>
    <t>taux</t>
  </si>
  <si>
    <t>Prime exceptionnelle</t>
  </si>
  <si>
    <t>Salaire de base d'avril</t>
  </si>
  <si>
    <t>Jours ouvrés en avril</t>
  </si>
  <si>
    <t>ARRET DE TRAVAIL</t>
  </si>
  <si>
    <t>Pas de maintien de salaire car durée de 7 jours</t>
  </si>
  <si>
    <t>3428*24/31</t>
  </si>
  <si>
    <t>10,85*116,67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</si>
</sst>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_-* #,##0\ &quot;€&quot;_-;\-* #,##0\ &quot;€&quot;_-;_-* &quot;-&quot;??\ &quot;€&quot;_-;_-@_-"/>
    <numFmt numFmtId="172" formatCode="#,##0.00\ [$€-40C];[Red]\-#,##0.00\ [$€-40C]"/>
    <numFmt numFmtId="173" formatCode="_-* #,##0.0000_-;\-* #,##0.0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474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2" xfId="0" applyFont="1" applyBorder="1" applyAlignment="1">
      <alignment horizontal="center"/>
    </xf>
    <xf numFmtId="0" fontId="0" fillId="0" borderId="6" xfId="0" applyBorder="1"/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7" fillId="0" borderId="0" xfId="0" applyFont="1" applyAlignment="1">
      <alignment vertical="center"/>
    </xf>
    <xf numFmtId="0" fontId="9" fillId="3" borderId="12" xfId="4" applyFont="1" applyFill="1" applyBorder="1" applyAlignment="1">
      <alignment horizontal="centerContinuous" vertical="center"/>
    </xf>
    <xf numFmtId="0" fontId="7" fillId="3" borderId="13" xfId="0" applyFont="1" applyFill="1" applyBorder="1" applyAlignment="1">
      <alignment horizontal="centerContinuous" vertical="center"/>
    </xf>
    <xf numFmtId="0" fontId="7" fillId="3" borderId="14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" vertical="center"/>
    </xf>
    <xf numFmtId="0" fontId="11" fillId="0" borderId="1" xfId="4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8" fillId="0" borderId="4" xfId="4" applyNumberForma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7" fillId="0" borderId="6" xfId="3" applyNumberFormat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0" fontId="13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8" fontId="7" fillId="0" borderId="6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7" fillId="0" borderId="5" xfId="0" applyNumberFormat="1" applyFont="1" applyBorder="1" applyAlignment="1">
      <alignment vertical="center"/>
    </xf>
    <xf numFmtId="14" fontId="7" fillId="0" borderId="6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4" borderId="19" xfId="4" applyFont="1" applyFill="1" applyBorder="1" applyAlignment="1">
      <alignment horizontal="center" vertical="center"/>
    </xf>
    <xf numFmtId="0" fontId="11" fillId="4" borderId="20" xfId="4" applyFont="1" applyFill="1" applyBorder="1" applyAlignment="1">
      <alignment horizontal="center" vertical="center"/>
    </xf>
    <xf numFmtId="44" fontId="12" fillId="0" borderId="6" xfId="1" applyFont="1" applyFill="1" applyBorder="1" applyAlignment="1">
      <alignment vertical="center"/>
    </xf>
    <xf numFmtId="0" fontId="9" fillId="3" borderId="19" xfId="4" applyFont="1" applyFill="1" applyBorder="1" applyAlignment="1">
      <alignment horizontal="centerContinuous" vertical="center"/>
    </xf>
    <xf numFmtId="0" fontId="7" fillId="3" borderId="20" xfId="0" applyFont="1" applyFill="1" applyBorder="1" applyAlignment="1">
      <alignment horizontal="centerContinuous" vertical="center"/>
    </xf>
    <xf numFmtId="0" fontId="7" fillId="3" borderId="21" xfId="0" applyFont="1" applyFill="1" applyBorder="1" applyAlignment="1">
      <alignment horizontal="centerContinuous" vertical="center"/>
    </xf>
    <xf numFmtId="44" fontId="12" fillId="0" borderId="6" xfId="0" applyNumberFormat="1" applyFont="1" applyBorder="1" applyAlignment="1">
      <alignment vertical="center"/>
    </xf>
    <xf numFmtId="0" fontId="11" fillId="0" borderId="22" xfId="4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2" fontId="7" fillId="0" borderId="2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horizontal="right" vertical="center"/>
    </xf>
    <xf numFmtId="0" fontId="7" fillId="6" borderId="24" xfId="0" applyFont="1" applyFill="1" applyBorder="1" applyAlignment="1">
      <alignment vertical="center"/>
    </xf>
    <xf numFmtId="44" fontId="7" fillId="6" borderId="3" xfId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horizontal="right" vertical="center"/>
    </xf>
    <xf numFmtId="44" fontId="7" fillId="0" borderId="26" xfId="1" applyFont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44" fontId="7" fillId="6" borderId="26" xfId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right" vertical="center"/>
    </xf>
    <xf numFmtId="9" fontId="7" fillId="0" borderId="6" xfId="0" applyNumberFormat="1" applyFont="1" applyBorder="1" applyAlignment="1">
      <alignment vertical="center"/>
    </xf>
    <xf numFmtId="44" fontId="7" fillId="0" borderId="5" xfId="1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44" fontId="7" fillId="6" borderId="6" xfId="0" applyNumberFormat="1" applyFont="1" applyFill="1" applyBorder="1" applyAlignment="1">
      <alignment vertical="center"/>
    </xf>
    <xf numFmtId="165" fontId="7" fillId="0" borderId="9" xfId="2" applyNumberFormat="1" applyFont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16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7" fontId="7" fillId="6" borderId="28" xfId="0" applyNumberFormat="1" applyFont="1" applyFill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167" fontId="7" fillId="6" borderId="30" xfId="0" applyNumberFormat="1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44" fontId="13" fillId="7" borderId="33" xfId="1" applyFont="1" applyFill="1" applyBorder="1" applyAlignment="1">
      <alignment horizontal="right" vertical="center" wrapText="1"/>
    </xf>
    <xf numFmtId="9" fontId="12" fillId="0" borderId="10" xfId="0" applyNumberFormat="1" applyFont="1" applyBorder="1" applyAlignment="1">
      <alignment vertical="center"/>
    </xf>
    <xf numFmtId="44" fontId="12" fillId="0" borderId="29" xfId="1" applyFont="1" applyBorder="1" applyAlignment="1">
      <alignment vertical="center"/>
    </xf>
    <xf numFmtId="9" fontId="12" fillId="6" borderId="34" xfId="0" applyNumberFormat="1" applyFont="1" applyFill="1" applyBorder="1" applyAlignment="1">
      <alignment vertical="center"/>
    </xf>
    <xf numFmtId="44" fontId="7" fillId="6" borderId="18" xfId="1" applyFont="1" applyFill="1" applyBorder="1" applyAlignment="1">
      <alignment vertical="center"/>
    </xf>
    <xf numFmtId="44" fontId="12" fillId="0" borderId="35" xfId="1" applyFont="1" applyBorder="1" applyAlignment="1">
      <alignment vertical="center"/>
    </xf>
    <xf numFmtId="44" fontId="13" fillId="7" borderId="36" xfId="1" applyFont="1" applyFill="1" applyBorder="1" applyAlignment="1">
      <alignment horizontal="right" vertical="center" wrapText="1"/>
    </xf>
    <xf numFmtId="9" fontId="12" fillId="0" borderId="36" xfId="0" applyNumberFormat="1" applyFont="1" applyBorder="1" applyAlignment="1">
      <alignment vertical="center"/>
    </xf>
    <xf numFmtId="44" fontId="12" fillId="0" borderId="37" xfId="1" applyFont="1" applyBorder="1" applyAlignment="1">
      <alignment vertical="center"/>
    </xf>
    <xf numFmtId="9" fontId="12" fillId="6" borderId="0" xfId="0" applyNumberFormat="1" applyFont="1" applyFill="1" applyAlignment="1">
      <alignment vertical="center"/>
    </xf>
    <xf numFmtId="44" fontId="7" fillId="6" borderId="38" xfId="1" applyFont="1" applyFill="1" applyBorder="1" applyAlignment="1">
      <alignment vertical="center"/>
    </xf>
    <xf numFmtId="44" fontId="12" fillId="0" borderId="22" xfId="1" applyFont="1" applyBorder="1" applyAlignment="1">
      <alignment vertical="center"/>
    </xf>
    <xf numFmtId="44" fontId="12" fillId="0" borderId="39" xfId="1" applyFont="1" applyBorder="1" applyAlignment="1">
      <alignment vertical="center"/>
    </xf>
    <xf numFmtId="0" fontId="18" fillId="7" borderId="40" xfId="0" applyFont="1" applyFill="1" applyBorder="1" applyAlignment="1">
      <alignment horizontal="left" vertical="center" wrapText="1" readingOrder="1"/>
    </xf>
    <xf numFmtId="0" fontId="7" fillId="0" borderId="3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44" fontId="7" fillId="2" borderId="42" xfId="1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3" fillId="7" borderId="44" xfId="0" applyFont="1" applyFill="1" applyBorder="1" applyAlignment="1">
      <alignment horizontal="right" vertical="center" wrapText="1"/>
    </xf>
    <xf numFmtId="0" fontId="19" fillId="7" borderId="44" xfId="0" applyFont="1" applyFill="1" applyBorder="1" applyAlignment="1">
      <alignment horizontal="left" vertical="center" wrapText="1" readingOrder="1"/>
    </xf>
    <xf numFmtId="0" fontId="19" fillId="7" borderId="45" xfId="0" applyFont="1" applyFill="1" applyBorder="1" applyAlignment="1">
      <alignment horizontal="left" vertical="center" wrapText="1" readingOrder="1"/>
    </xf>
    <xf numFmtId="44" fontId="19" fillId="7" borderId="46" xfId="0" applyNumberFormat="1" applyFont="1" applyFill="1" applyBorder="1" applyAlignment="1">
      <alignment horizontal="left" vertical="center" wrapText="1" readingOrder="1"/>
    </xf>
    <xf numFmtId="0" fontId="18" fillId="3" borderId="47" xfId="0" applyFont="1" applyFill="1" applyBorder="1" applyAlignment="1">
      <alignment horizontal="left" vertical="center" wrapText="1" readingOrder="1"/>
    </xf>
    <xf numFmtId="0" fontId="18" fillId="3" borderId="48" xfId="0" applyFont="1" applyFill="1" applyBorder="1" applyAlignment="1">
      <alignment horizontal="center" vertical="center" wrapText="1" readingOrder="1"/>
    </xf>
    <xf numFmtId="0" fontId="18" fillId="3" borderId="49" xfId="0" applyFont="1" applyFill="1" applyBorder="1" applyAlignment="1">
      <alignment horizontal="center" vertical="center" wrapText="1" readingOrder="1"/>
    </xf>
    <xf numFmtId="0" fontId="18" fillId="8" borderId="35" xfId="0" applyFont="1" applyFill="1" applyBorder="1" applyAlignment="1">
      <alignment horizontal="left" vertical="center" wrapText="1" readingOrder="1"/>
    </xf>
    <xf numFmtId="0" fontId="13" fillId="8" borderId="36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 readingOrder="1"/>
    </xf>
    <xf numFmtId="0" fontId="18" fillId="8" borderId="50" xfId="0" applyFont="1" applyFill="1" applyBorder="1" applyAlignment="1">
      <alignment horizontal="center" vertical="center" wrapText="1" readingOrder="1"/>
    </xf>
    <xf numFmtId="0" fontId="18" fillId="8" borderId="37" xfId="0" applyFont="1" applyFill="1" applyBorder="1" applyAlignment="1">
      <alignment horizontal="center" vertical="center" wrapText="1" readingOrder="1"/>
    </xf>
    <xf numFmtId="0" fontId="19" fillId="7" borderId="35" xfId="0" applyFont="1" applyFill="1" applyBorder="1" applyAlignment="1">
      <alignment horizontal="left" vertical="center" wrapText="1" readingOrder="1"/>
    </xf>
    <xf numFmtId="0" fontId="13" fillId="7" borderId="36" xfId="0" applyFont="1" applyFill="1" applyBorder="1" applyAlignment="1">
      <alignment vertical="center" wrapText="1"/>
    </xf>
    <xf numFmtId="44" fontId="13" fillId="7" borderId="36" xfId="1" applyFont="1" applyFill="1" applyBorder="1" applyAlignment="1">
      <alignment vertical="center" wrapText="1"/>
    </xf>
    <xf numFmtId="10" fontId="12" fillId="0" borderId="6" xfId="0" applyNumberFormat="1" applyFont="1" applyBorder="1" applyAlignment="1">
      <alignment vertical="center"/>
    </xf>
    <xf numFmtId="44" fontId="13" fillId="7" borderId="37" xfId="1" applyFont="1" applyFill="1" applyBorder="1" applyAlignment="1">
      <alignment horizontal="right" vertical="center" wrapText="1"/>
    </xf>
    <xf numFmtId="10" fontId="19" fillId="7" borderId="36" xfId="0" applyNumberFormat="1" applyFont="1" applyFill="1" applyBorder="1" applyAlignment="1">
      <alignment horizontal="center" vertical="center" wrapText="1" readingOrder="1"/>
    </xf>
    <xf numFmtId="44" fontId="19" fillId="7" borderId="36" xfId="1" applyFont="1" applyFill="1" applyBorder="1" applyAlignment="1">
      <alignment horizontal="right" vertical="center" wrapText="1" readingOrder="1"/>
    </xf>
    <xf numFmtId="168" fontId="19" fillId="7" borderId="50" xfId="1" applyNumberFormat="1" applyFont="1" applyFill="1" applyBorder="1" applyAlignment="1">
      <alignment horizontal="right" vertical="center" wrapText="1" readingOrder="1"/>
    </xf>
    <xf numFmtId="0" fontId="18" fillId="7" borderId="35" xfId="0" applyFont="1" applyFill="1" applyBorder="1" applyAlignment="1">
      <alignment horizontal="left" vertical="center" wrapText="1" readingOrder="1"/>
    </xf>
    <xf numFmtId="168" fontId="19" fillId="0" borderId="36" xfId="0" applyNumberFormat="1" applyFont="1" applyBorder="1" applyAlignment="1">
      <alignment horizontal="right" vertical="center" wrapText="1" readingOrder="1"/>
    </xf>
    <xf numFmtId="0" fontId="19" fillId="7" borderId="36" xfId="0" applyFont="1" applyFill="1" applyBorder="1" applyAlignment="1">
      <alignment horizontal="center" vertical="center" wrapText="1" readingOrder="1"/>
    </xf>
    <xf numFmtId="44" fontId="20" fillId="2" borderId="37" xfId="1" applyFont="1" applyFill="1" applyBorder="1" applyAlignment="1">
      <alignment horizontal="right" vertical="center" wrapText="1"/>
    </xf>
    <xf numFmtId="168" fontId="13" fillId="7" borderId="50" xfId="1" applyNumberFormat="1" applyFont="1" applyFill="1" applyBorder="1" applyAlignment="1">
      <alignment horizontal="right" vertical="center" wrapText="1"/>
    </xf>
    <xf numFmtId="10" fontId="13" fillId="7" borderId="50" xfId="1" applyNumberFormat="1" applyFont="1" applyFill="1" applyBorder="1" applyAlignment="1">
      <alignment horizontal="right" vertical="center" wrapText="1"/>
    </xf>
    <xf numFmtId="168" fontId="19" fillId="7" borderId="36" xfId="0" applyNumberFormat="1" applyFont="1" applyFill="1" applyBorder="1" applyAlignment="1">
      <alignment horizontal="center" vertical="center" wrapText="1" readingOrder="1"/>
    </xf>
    <xf numFmtId="44" fontId="13" fillId="2" borderId="36" xfId="1" applyFont="1" applyFill="1" applyBorder="1" applyAlignment="1">
      <alignment horizontal="right" vertical="center" wrapText="1"/>
    </xf>
    <xf numFmtId="44" fontId="13" fillId="2" borderId="37" xfId="1" applyFont="1" applyFill="1" applyBorder="1" applyAlignment="1">
      <alignment horizontal="right" vertical="center" wrapText="1"/>
    </xf>
    <xf numFmtId="8" fontId="13" fillId="7" borderId="37" xfId="1" applyNumberFormat="1" applyFont="1" applyFill="1" applyBorder="1" applyAlignment="1">
      <alignment horizontal="right" vertical="center" wrapText="1"/>
    </xf>
    <xf numFmtId="0" fontId="21" fillId="8" borderId="35" xfId="0" applyFont="1" applyFill="1" applyBorder="1" applyAlignment="1">
      <alignment horizontal="left" vertical="center" wrapText="1" readingOrder="1"/>
    </xf>
    <xf numFmtId="168" fontId="19" fillId="7" borderId="36" xfId="0" applyNumberFormat="1" applyFont="1" applyFill="1" applyBorder="1" applyAlignment="1">
      <alignment horizontal="right" vertical="center" wrapText="1" readingOrder="1"/>
    </xf>
    <xf numFmtId="0" fontId="21" fillId="7" borderId="35" xfId="0" applyFont="1" applyFill="1" applyBorder="1" applyAlignment="1">
      <alignment horizontal="left" vertical="center" wrapText="1" readingOrder="1"/>
    </xf>
    <xf numFmtId="44" fontId="7" fillId="0" borderId="0" xfId="1" applyFont="1" applyBorder="1" applyAlignment="1">
      <alignment vertical="center"/>
    </xf>
    <xf numFmtId="0" fontId="18" fillId="7" borderId="51" xfId="0" applyFont="1" applyFill="1" applyBorder="1" applyAlignment="1">
      <alignment horizontal="left" vertical="center" wrapText="1" readingOrder="1"/>
    </xf>
    <xf numFmtId="43" fontId="13" fillId="7" borderId="52" xfId="3" applyFont="1" applyFill="1" applyBorder="1" applyAlignment="1">
      <alignment horizontal="right" vertical="center" wrapText="1"/>
    </xf>
    <xf numFmtId="0" fontId="7" fillId="0" borderId="53" xfId="0" applyFont="1" applyBorder="1" applyAlignment="1">
      <alignment vertical="center"/>
    </xf>
    <xf numFmtId="44" fontId="19" fillId="7" borderId="52" xfId="1" applyFont="1" applyFill="1" applyBorder="1" applyAlignment="1">
      <alignment horizontal="right" vertical="center" wrapText="1" readingOrder="1"/>
    </xf>
    <xf numFmtId="44" fontId="19" fillId="7" borderId="54" xfId="1" applyFont="1" applyFill="1" applyBorder="1" applyAlignment="1">
      <alignment horizontal="right" vertical="center" wrapText="1" readingOrder="1"/>
    </xf>
    <xf numFmtId="44" fontId="13" fillId="7" borderId="55" xfId="1" applyFont="1" applyFill="1" applyBorder="1" applyAlignment="1">
      <alignment horizontal="right" vertical="center" wrapText="1"/>
    </xf>
    <xf numFmtId="0" fontId="18" fillId="7" borderId="43" xfId="0" applyFont="1" applyFill="1" applyBorder="1" applyAlignment="1">
      <alignment horizontal="left" vertical="center" wrapText="1" readingOrder="1"/>
    </xf>
    <xf numFmtId="44" fontId="19" fillId="7" borderId="44" xfId="1" applyFont="1" applyFill="1" applyBorder="1" applyAlignment="1">
      <alignment horizontal="right" vertical="center" wrapText="1" readingOrder="1"/>
    </xf>
    <xf numFmtId="0" fontId="18" fillId="7" borderId="44" xfId="0" applyFont="1" applyFill="1" applyBorder="1" applyAlignment="1">
      <alignment horizontal="center" vertical="center" wrapText="1" readingOrder="1"/>
    </xf>
    <xf numFmtId="44" fontId="18" fillId="7" borderId="44" xfId="1" applyFont="1" applyFill="1" applyBorder="1" applyAlignment="1">
      <alignment horizontal="right" vertical="center" wrapText="1" readingOrder="1"/>
    </xf>
    <xf numFmtId="44" fontId="18" fillId="7" borderId="45" xfId="1" applyFont="1" applyFill="1" applyBorder="1" applyAlignment="1">
      <alignment horizontal="right" vertical="center" wrapText="1" readingOrder="1"/>
    </xf>
    <xf numFmtId="44" fontId="18" fillId="7" borderId="46" xfId="1" applyFont="1" applyFill="1" applyBorder="1" applyAlignment="1">
      <alignment horizontal="right" vertical="center" wrapText="1" readingOrder="1"/>
    </xf>
    <xf numFmtId="0" fontId="18" fillId="7" borderId="47" xfId="0" applyFont="1" applyFill="1" applyBorder="1" applyAlignment="1">
      <alignment horizontal="left" vertical="center" wrapText="1" readingOrder="1"/>
    </xf>
    <xf numFmtId="44" fontId="19" fillId="7" borderId="48" xfId="1" applyFont="1" applyFill="1" applyBorder="1" applyAlignment="1">
      <alignment horizontal="right" vertical="center" wrapText="1" readingOrder="1"/>
    </xf>
    <xf numFmtId="0" fontId="18" fillId="7" borderId="48" xfId="0" applyFont="1" applyFill="1" applyBorder="1" applyAlignment="1">
      <alignment horizontal="center" vertical="center" wrapText="1" readingOrder="1"/>
    </xf>
    <xf numFmtId="44" fontId="18" fillId="7" borderId="48" xfId="1" applyFont="1" applyFill="1" applyBorder="1" applyAlignment="1">
      <alignment horizontal="right" vertical="center" wrapText="1" readingOrder="1"/>
    </xf>
    <xf numFmtId="44" fontId="18" fillId="7" borderId="56" xfId="1" applyFont="1" applyFill="1" applyBorder="1" applyAlignment="1">
      <alignment horizontal="right" vertical="center" wrapText="1" readingOrder="1"/>
    </xf>
    <xf numFmtId="44" fontId="18" fillId="7" borderId="57" xfId="1" applyFont="1" applyFill="1" applyBorder="1" applyAlignment="1">
      <alignment horizontal="right" vertical="center" wrapText="1" readingOrder="1"/>
    </xf>
    <xf numFmtId="0" fontId="18" fillId="7" borderId="36" xfId="0" applyFont="1" applyFill="1" applyBorder="1" applyAlignment="1">
      <alignment horizontal="center" vertical="center" wrapText="1" readingOrder="1"/>
    </xf>
    <xf numFmtId="44" fontId="18" fillId="7" borderId="36" xfId="1" applyFont="1" applyFill="1" applyBorder="1" applyAlignment="1">
      <alignment horizontal="right" vertical="center" wrapText="1" readingOrder="1"/>
    </xf>
    <xf numFmtId="44" fontId="18" fillId="7" borderId="50" xfId="1" applyFont="1" applyFill="1" applyBorder="1" applyAlignment="1">
      <alignment horizontal="right" vertical="center" wrapText="1" readingOrder="1"/>
    </xf>
    <xf numFmtId="44" fontId="18" fillId="7" borderId="39" xfId="1" applyFont="1" applyFill="1" applyBorder="1" applyAlignment="1">
      <alignment horizontal="right" vertical="center" wrapText="1" readingOrder="1"/>
    </xf>
    <xf numFmtId="0" fontId="19" fillId="7" borderId="40" xfId="0" applyFont="1" applyFill="1" applyBorder="1" applyAlignment="1">
      <alignment horizontal="left" vertical="center" wrapText="1" readingOrder="1"/>
    </xf>
    <xf numFmtId="44" fontId="18" fillId="7" borderId="33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50" xfId="0" applyFont="1" applyFill="1" applyBorder="1" applyAlignment="1">
      <alignment horizontal="center" vertical="center" wrapText="1" readingOrder="1"/>
    </xf>
    <xf numFmtId="6" fontId="7" fillId="0" borderId="5" xfId="0" applyNumberFormat="1" applyFont="1" applyBorder="1" applyAlignment="1">
      <alignment horizontal="right" vertical="center"/>
    </xf>
    <xf numFmtId="44" fontId="18" fillId="7" borderId="58" xfId="1" applyFont="1" applyFill="1" applyBorder="1" applyAlignment="1">
      <alignment horizontal="right" vertical="center" wrapText="1" readingOrder="1"/>
    </xf>
    <xf numFmtId="0" fontId="19" fillId="7" borderId="59" xfId="0" applyFont="1" applyFill="1" applyBorder="1" applyAlignment="1">
      <alignment horizontal="left" vertical="center" wrapText="1" readingOrder="1"/>
    </xf>
    <xf numFmtId="44" fontId="18" fillId="7" borderId="60" xfId="1" applyFont="1" applyFill="1" applyBorder="1" applyAlignment="1">
      <alignment horizontal="right" vertical="center" wrapText="1" readingOrder="1"/>
    </xf>
    <xf numFmtId="0" fontId="18" fillId="7" borderId="52" xfId="0" applyFont="1" applyFill="1" applyBorder="1" applyAlignment="1">
      <alignment horizontal="center" vertical="center" wrapText="1" readingOrder="1"/>
    </xf>
    <xf numFmtId="44" fontId="18" fillId="7" borderId="52" xfId="1" applyFont="1" applyFill="1" applyBorder="1" applyAlignment="1">
      <alignment horizontal="right" vertical="center" wrapText="1" readingOrder="1"/>
    </xf>
    <xf numFmtId="44" fontId="18" fillId="7" borderId="54" xfId="1" applyFont="1" applyFill="1" applyBorder="1" applyAlignment="1">
      <alignment horizontal="right" vertical="center" wrapText="1" readingOrder="1"/>
    </xf>
    <xf numFmtId="0" fontId="22" fillId="7" borderId="43" xfId="0" applyFont="1" applyFill="1" applyBorder="1" applyAlignment="1">
      <alignment horizontal="left" vertical="center" wrapText="1" readingOrder="1"/>
    </xf>
    <xf numFmtId="44" fontId="23" fillId="7" borderId="61" xfId="1" applyFont="1" applyFill="1" applyBorder="1" applyAlignment="1">
      <alignment horizontal="right" vertical="center" wrapText="1"/>
    </xf>
    <xf numFmtId="0" fontId="18" fillId="7" borderId="62" xfId="0" applyFont="1" applyFill="1" applyBorder="1" applyAlignment="1">
      <alignment horizontal="left" vertical="center" wrapText="1" readingOrder="1"/>
    </xf>
    <xf numFmtId="44" fontId="19" fillId="2" borderId="60" xfId="1" applyFont="1" applyFill="1" applyBorder="1" applyAlignment="1">
      <alignment horizontal="right" vertical="center" wrapText="1" readingOrder="1"/>
    </xf>
    <xf numFmtId="0" fontId="18" fillId="2" borderId="60" xfId="0" applyFont="1" applyFill="1" applyBorder="1" applyAlignment="1">
      <alignment horizontal="center" vertical="center" wrapText="1" readingOrder="1"/>
    </xf>
    <xf numFmtId="44" fontId="18" fillId="2" borderId="60" xfId="1" applyFont="1" applyFill="1" applyBorder="1" applyAlignment="1">
      <alignment horizontal="right" vertical="center" wrapText="1" readingOrder="1"/>
    </xf>
    <xf numFmtId="44" fontId="18" fillId="2" borderId="63" xfId="1" applyFont="1" applyFill="1" applyBorder="1" applyAlignment="1">
      <alignment horizontal="right" vertical="center" wrapText="1" readingOrder="1"/>
    </xf>
    <xf numFmtId="44" fontId="13" fillId="2" borderId="64" xfId="1" applyFont="1" applyFill="1" applyBorder="1" applyAlignment="1">
      <alignment horizontal="right" vertical="center" wrapText="1"/>
    </xf>
    <xf numFmtId="0" fontId="18" fillId="7" borderId="66" xfId="0" applyFont="1" applyFill="1" applyBorder="1" applyAlignment="1">
      <alignment horizontal="left" vertical="center" wrapText="1" readingOrder="1"/>
    </xf>
    <xf numFmtId="0" fontId="24" fillId="0" borderId="74" xfId="4" applyFont="1" applyBorder="1" applyAlignment="1">
      <alignment horizontal="left" vertical="center"/>
    </xf>
    <xf numFmtId="0" fontId="24" fillId="0" borderId="75" xfId="4" applyFont="1" applyBorder="1" applyAlignment="1">
      <alignment horizontal="center" vertical="center"/>
    </xf>
    <xf numFmtId="0" fontId="24" fillId="0" borderId="76" xfId="4" applyFont="1" applyBorder="1" applyAlignment="1">
      <alignment horizontal="center" vertical="center"/>
    </xf>
    <xf numFmtId="44" fontId="23" fillId="7" borderId="73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6" fillId="7" borderId="1" xfId="0" applyFont="1" applyFill="1" applyBorder="1" applyAlignment="1">
      <alignment vertical="center" wrapText="1"/>
    </xf>
    <xf numFmtId="169" fontId="26" fillId="7" borderId="2" xfId="2" applyNumberFormat="1" applyFont="1" applyFill="1" applyBorder="1" applyAlignment="1">
      <alignment horizontal="right" vertical="center"/>
    </xf>
    <xf numFmtId="8" fontId="27" fillId="7" borderId="3" xfId="0" applyNumberFormat="1" applyFont="1" applyFill="1" applyBorder="1" applyAlignment="1">
      <alignment horizontal="right" vertical="center"/>
    </xf>
    <xf numFmtId="0" fontId="26" fillId="7" borderId="4" xfId="0" applyFont="1" applyFill="1" applyBorder="1" applyAlignment="1">
      <alignment vertical="center" wrapText="1"/>
    </xf>
    <xf numFmtId="169" fontId="26" fillId="7" borderId="5" xfId="2" applyNumberFormat="1" applyFont="1" applyFill="1" applyBorder="1" applyAlignment="1">
      <alignment horizontal="right" vertical="center"/>
    </xf>
    <xf numFmtId="44" fontId="27" fillId="7" borderId="6" xfId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167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vertical="center"/>
    </xf>
    <xf numFmtId="167" fontId="7" fillId="0" borderId="9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44" fontId="22" fillId="2" borderId="21" xfId="0" applyNumberFormat="1" applyFont="1" applyFill="1" applyBorder="1" applyAlignment="1">
      <alignment vertical="center"/>
    </xf>
    <xf numFmtId="0" fontId="7" fillId="0" borderId="68" xfId="0" applyFont="1" applyBorder="1" applyAlignment="1">
      <alignment vertical="center"/>
    </xf>
    <xf numFmtId="44" fontId="7" fillId="0" borderId="36" xfId="0" applyNumberFormat="1" applyFont="1" applyBorder="1" applyAlignment="1">
      <alignment vertical="center"/>
    </xf>
    <xf numFmtId="10" fontId="7" fillId="0" borderId="70" xfId="0" applyNumberFormat="1" applyFont="1" applyBorder="1" applyAlignment="1">
      <alignment vertical="center"/>
    </xf>
    <xf numFmtId="44" fontId="7" fillId="0" borderId="69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36" xfId="0" applyNumberFormat="1" applyFont="1" applyBorder="1" applyAlignment="1">
      <alignment vertical="center"/>
    </xf>
    <xf numFmtId="44" fontId="7" fillId="0" borderId="71" xfId="0" applyNumberFormat="1" applyFont="1" applyBorder="1" applyAlignment="1">
      <alignment vertical="center"/>
    </xf>
    <xf numFmtId="167" fontId="19" fillId="7" borderId="36" xfId="0" applyNumberFormat="1" applyFont="1" applyFill="1" applyBorder="1" applyAlignment="1">
      <alignment horizontal="right" vertical="center" wrapText="1" readingOrder="1"/>
    </xf>
    <xf numFmtId="10" fontId="19" fillId="7" borderId="36" xfId="0" applyNumberFormat="1" applyFont="1" applyFill="1" applyBorder="1" applyAlignment="1">
      <alignment horizontal="right" vertical="center" wrapText="1" readingOrder="1"/>
    </xf>
    <xf numFmtId="8" fontId="19" fillId="7" borderId="36" xfId="0" applyNumberFormat="1" applyFont="1" applyFill="1" applyBorder="1" applyAlignment="1">
      <alignment horizontal="right" vertical="center" wrapText="1" readingOrder="1"/>
    </xf>
    <xf numFmtId="0" fontId="14" fillId="0" borderId="72" xfId="0" applyFont="1" applyBorder="1" applyAlignment="1">
      <alignment vertical="center"/>
    </xf>
    <xf numFmtId="44" fontId="7" fillId="0" borderId="76" xfId="0" applyNumberFormat="1" applyFont="1" applyBorder="1" applyAlignment="1">
      <alignment vertical="center"/>
    </xf>
    <xf numFmtId="170" fontId="7" fillId="0" borderId="76" xfId="0" applyNumberFormat="1" applyFont="1" applyBorder="1" applyAlignment="1">
      <alignment vertical="center"/>
    </xf>
    <xf numFmtId="44" fontId="22" fillId="2" borderId="73" xfId="1" applyFont="1" applyFill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44" fontId="12" fillId="0" borderId="69" xfId="1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43" fontId="12" fillId="0" borderId="36" xfId="0" applyNumberFormat="1" applyFont="1" applyBorder="1" applyAlignment="1">
      <alignment vertical="center"/>
    </xf>
    <xf numFmtId="8" fontId="7" fillId="0" borderId="36" xfId="0" applyNumberFormat="1" applyFont="1" applyBorder="1" applyAlignment="1">
      <alignment vertical="center"/>
    </xf>
    <xf numFmtId="44" fontId="12" fillId="0" borderId="71" xfId="1" applyFont="1" applyBorder="1" applyAlignment="1">
      <alignment vertical="center"/>
    </xf>
    <xf numFmtId="44" fontId="12" fillId="0" borderId="36" xfId="0" applyNumberFormat="1" applyFont="1" applyBorder="1" applyAlignment="1">
      <alignment vertical="center"/>
    </xf>
    <xf numFmtId="0" fontId="15" fillId="0" borderId="72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44" fontId="28" fillId="2" borderId="73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8" xfId="1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29" xfId="0" applyBorder="1"/>
    <xf numFmtId="0" fontId="0" fillId="0" borderId="22" xfId="0" applyBorder="1"/>
    <xf numFmtId="0" fontId="0" fillId="0" borderId="7" xfId="0" applyBorder="1"/>
    <xf numFmtId="0" fontId="2" fillId="0" borderId="80" xfId="0" applyFont="1" applyBorder="1"/>
    <xf numFmtId="0" fontId="2" fillId="0" borderId="81" xfId="0" applyFont="1" applyBorder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0" fontId="13" fillId="0" borderId="66" xfId="0" applyFont="1" applyBorder="1" applyAlignment="1">
      <alignment horizontal="left" vertical="center" wrapText="1" readingOrder="1"/>
    </xf>
    <xf numFmtId="0" fontId="23" fillId="0" borderId="36" xfId="0" applyFont="1" applyBorder="1" applyAlignment="1">
      <alignment horizontal="left" vertical="center" wrapText="1" readingOrder="1"/>
    </xf>
    <xf numFmtId="43" fontId="23" fillId="0" borderId="71" xfId="3" applyFont="1" applyFill="1" applyBorder="1" applyAlignment="1">
      <alignment horizontal="left" vertical="center" wrapText="1" readingOrder="1"/>
    </xf>
    <xf numFmtId="0" fontId="13" fillId="0" borderId="72" xfId="0" applyFont="1" applyBorder="1" applyAlignment="1">
      <alignment horizontal="left" vertical="center" wrapText="1" readingOrder="1"/>
    </xf>
    <xf numFmtId="0" fontId="23" fillId="0" borderId="76" xfId="0" applyFont="1" applyBorder="1" applyAlignment="1">
      <alignment horizontal="left" vertical="center" wrapText="1" readingOrder="1"/>
    </xf>
    <xf numFmtId="0" fontId="23" fillId="0" borderId="82" xfId="0" applyFont="1" applyBorder="1" applyAlignment="1">
      <alignment horizontal="left" vertical="center" wrapText="1" readingOrder="1"/>
    </xf>
    <xf numFmtId="0" fontId="22" fillId="0" borderId="0" xfId="0" applyFont="1" applyAlignment="1">
      <alignment horizontal="left" vertical="center" wrapText="1" readingOrder="1"/>
    </xf>
    <xf numFmtId="0" fontId="23" fillId="0" borderId="68" xfId="0" applyFont="1" applyBorder="1" applyAlignment="1">
      <alignment horizontal="left" vertical="center" wrapText="1" readingOrder="1"/>
    </xf>
    <xf numFmtId="0" fontId="7" fillId="0" borderId="70" xfId="0" applyFont="1" applyBorder="1" applyAlignment="1">
      <alignment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44" fontId="23" fillId="0" borderId="71" xfId="1" applyFont="1" applyBorder="1" applyAlignment="1">
      <alignment horizontal="left" vertical="center" wrapText="1" readingOrder="1"/>
    </xf>
    <xf numFmtId="0" fontId="23" fillId="0" borderId="65" xfId="0" applyFont="1" applyBorder="1" applyAlignment="1">
      <alignment horizontal="right" vertical="center" wrapText="1" readingOrder="1"/>
    </xf>
    <xf numFmtId="17" fontId="7" fillId="0" borderId="36" xfId="0" applyNumberFormat="1" applyFont="1" applyBorder="1" applyAlignment="1">
      <alignment vertical="center"/>
    </xf>
    <xf numFmtId="44" fontId="7" fillId="0" borderId="36" xfId="1" applyFont="1" applyBorder="1" applyAlignment="1">
      <alignment vertical="center"/>
    </xf>
    <xf numFmtId="44" fontId="23" fillId="0" borderId="71" xfId="1" applyFont="1" applyFill="1" applyBorder="1" applyAlignment="1">
      <alignment horizontal="left" vertical="center" wrapText="1" readingOrder="1"/>
    </xf>
    <xf numFmtId="44" fontId="23" fillId="2" borderId="83" xfId="1" applyFont="1" applyFill="1" applyBorder="1" applyAlignment="1">
      <alignment horizontal="left" vertical="center" wrapText="1" readingOrder="1"/>
    </xf>
    <xf numFmtId="44" fontId="7" fillId="0" borderId="71" xfId="1" applyFont="1" applyBorder="1" applyAlignment="1">
      <alignment vertical="center"/>
    </xf>
    <xf numFmtId="44" fontId="7" fillId="2" borderId="73" xfId="0" applyNumberFormat="1" applyFont="1" applyFill="1" applyBorder="1" applyAlignment="1">
      <alignment vertical="center"/>
    </xf>
    <xf numFmtId="16" fontId="7" fillId="0" borderId="36" xfId="0" quotePrefix="1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right" vertical="center" wrapText="1" readingOrder="1"/>
    </xf>
    <xf numFmtId="44" fontId="23" fillId="0" borderId="71" xfId="0" applyNumberFormat="1" applyFont="1" applyBorder="1" applyAlignment="1">
      <alignment horizontal="left" vertical="center" wrapText="1" readingOrder="1"/>
    </xf>
    <xf numFmtId="44" fontId="23" fillId="0" borderId="76" xfId="0" quotePrefix="1" applyNumberFormat="1" applyFont="1" applyBorder="1" applyAlignment="1">
      <alignment horizontal="left" vertical="center" wrapText="1" readingOrder="1"/>
    </xf>
    <xf numFmtId="44" fontId="14" fillId="2" borderId="71" xfId="0" applyNumberFormat="1" applyFont="1" applyFill="1" applyBorder="1" applyAlignment="1">
      <alignment vertical="center"/>
    </xf>
    <xf numFmtId="0" fontId="23" fillId="0" borderId="76" xfId="0" applyFont="1" applyBorder="1" applyAlignment="1">
      <alignment horizontal="right" vertical="center" wrapText="1" readingOrder="1"/>
    </xf>
    <xf numFmtId="0" fontId="3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left" vertical="center"/>
    </xf>
    <xf numFmtId="171" fontId="2" fillId="0" borderId="5" xfId="1" applyNumberFormat="1" applyFont="1" applyBorder="1" applyAlignment="1">
      <alignment vertical="center"/>
    </xf>
    <xf numFmtId="171" fontId="2" fillId="0" borderId="5" xfId="0" applyNumberFormat="1" applyFont="1" applyBorder="1" applyAlignment="1">
      <alignment vertical="center"/>
    </xf>
    <xf numFmtId="0" fontId="33" fillId="2" borderId="0" xfId="0" applyFont="1" applyFill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0" fillId="9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167" fontId="0" fillId="9" borderId="5" xfId="0" applyNumberFormat="1" applyFill="1" applyBorder="1" applyAlignment="1">
      <alignment horizontal="center" vertical="center"/>
    </xf>
    <xf numFmtId="167" fontId="0" fillId="2" borderId="6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8" fontId="2" fillId="2" borderId="5" xfId="0" applyNumberFormat="1" applyFont="1" applyFill="1" applyBorder="1" applyAlignment="1">
      <alignment vertical="center"/>
    </xf>
    <xf numFmtId="43" fontId="0" fillId="9" borderId="5" xfId="3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171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2" fontId="0" fillId="0" borderId="6" xfId="0" applyNumberFormat="1" applyBorder="1" applyAlignment="1">
      <alignment vertical="center"/>
    </xf>
    <xf numFmtId="2" fontId="0" fillId="9" borderId="5" xfId="0" applyNumberFormat="1" applyFill="1" applyBorder="1" applyAlignment="1">
      <alignment horizontal="center" vertical="center"/>
    </xf>
    <xf numFmtId="16" fontId="2" fillId="0" borderId="0" xfId="0" quotePrefix="1" applyNumberFormat="1" applyFont="1" applyAlignment="1">
      <alignment vertical="center"/>
    </xf>
    <xf numFmtId="0" fontId="23" fillId="0" borderId="36" xfId="0" quotePrefix="1" applyFont="1" applyBorder="1" applyAlignment="1">
      <alignment horizontal="center" vertical="center" wrapText="1" readingOrder="1"/>
    </xf>
    <xf numFmtId="16" fontId="14" fillId="0" borderId="36" xfId="0" quotePrefix="1" applyNumberFormat="1" applyFont="1" applyBorder="1" applyAlignment="1">
      <alignment horizontal="center" vertical="center"/>
    </xf>
    <xf numFmtId="9" fontId="23" fillId="0" borderId="36" xfId="0" applyNumberFormat="1" applyFont="1" applyBorder="1" applyAlignment="1">
      <alignment horizontal="left" vertical="center" wrapText="1" readingOrder="1"/>
    </xf>
    <xf numFmtId="44" fontId="7" fillId="0" borderId="0" xfId="0" applyNumberFormat="1" applyFont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44" fontId="22" fillId="2" borderId="37" xfId="1" applyFont="1" applyFill="1" applyBorder="1" applyAlignment="1">
      <alignment horizontal="right" vertical="center" wrapText="1"/>
    </xf>
    <xf numFmtId="44" fontId="23" fillId="7" borderId="37" xfId="1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44" fontId="22" fillId="2" borderId="6" xfId="0" applyNumberFormat="1" applyFont="1" applyFill="1" applyBorder="1" applyAlignment="1">
      <alignment vertical="center"/>
    </xf>
    <xf numFmtId="17" fontId="2" fillId="0" borderId="0" xfId="0" applyNumberFormat="1" applyFont="1" applyAlignment="1">
      <alignment horizontal="left" vertical="center"/>
    </xf>
    <xf numFmtId="171" fontId="2" fillId="0" borderId="0" xfId="1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167" fontId="0" fillId="9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2" fontId="0" fillId="9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17" fontId="2" fillId="0" borderId="7" xfId="0" applyNumberFormat="1" applyFont="1" applyBorder="1" applyAlignment="1">
      <alignment horizontal="left" vertical="center"/>
    </xf>
    <xf numFmtId="167" fontId="0" fillId="9" borderId="8" xfId="0" applyNumberFormat="1" applyFill="1" applyBorder="1" applyAlignment="1">
      <alignment vertical="center"/>
    </xf>
    <xf numFmtId="171" fontId="2" fillId="0" borderId="8" xfId="0" applyNumberFormat="1" applyFont="1" applyBorder="1" applyAlignment="1">
      <alignment vertical="center"/>
    </xf>
    <xf numFmtId="171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7" fontId="0" fillId="0" borderId="8" xfId="0" applyNumberFormat="1" applyBorder="1" applyAlignment="1">
      <alignment vertical="center"/>
    </xf>
    <xf numFmtId="172" fontId="0" fillId="0" borderId="9" xfId="0" applyNumberFormat="1" applyBorder="1" applyAlignment="1">
      <alignment vertical="center"/>
    </xf>
    <xf numFmtId="171" fontId="2" fillId="0" borderId="6" xfId="0" applyNumberFormat="1" applyFont="1" applyBorder="1" applyAlignment="1">
      <alignment vertical="center"/>
    </xf>
    <xf numFmtId="171" fontId="32" fillId="0" borderId="5" xfId="0" applyNumberFormat="1" applyFont="1" applyBorder="1" applyAlignment="1">
      <alignment vertical="center"/>
    </xf>
    <xf numFmtId="44" fontId="19" fillId="7" borderId="50" xfId="1" applyFont="1" applyFill="1" applyBorder="1" applyAlignment="1">
      <alignment horizontal="right" vertical="center" wrapText="1" readingOrder="1"/>
    </xf>
    <xf numFmtId="7" fontId="13" fillId="7" borderId="36" xfId="1" applyNumberFormat="1" applyFont="1" applyFill="1" applyBorder="1" applyAlignment="1">
      <alignment horizontal="right" vertical="center" wrapText="1"/>
    </xf>
    <xf numFmtId="171" fontId="2" fillId="0" borderId="8" xfId="1" applyNumberFormat="1" applyFont="1" applyBorder="1" applyAlignment="1">
      <alignment vertical="center"/>
    </xf>
    <xf numFmtId="171" fontId="32" fillId="0" borderId="8" xfId="0" applyNumberFormat="1" applyFont="1" applyBorder="1" applyAlignment="1">
      <alignment vertical="center"/>
    </xf>
    <xf numFmtId="171" fontId="2" fillId="2" borderId="8" xfId="0" applyNumberFormat="1" applyFont="1" applyFill="1" applyBorder="1" applyAlignment="1">
      <alignment vertical="center"/>
    </xf>
    <xf numFmtId="0" fontId="0" fillId="0" borderId="1" xfId="0" applyBorder="1"/>
    <xf numFmtId="43" fontId="0" fillId="0" borderId="8" xfId="3" applyFont="1" applyBorder="1"/>
    <xf numFmtId="43" fontId="0" fillId="0" borderId="9" xfId="3" applyFont="1" applyBorder="1"/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43" fontId="0" fillId="0" borderId="21" xfId="3" applyFont="1" applyBorder="1" applyAlignment="1">
      <alignment horizontal="center"/>
    </xf>
    <xf numFmtId="0" fontId="2" fillId="0" borderId="19" xfId="0" applyFont="1" applyBorder="1"/>
    <xf numFmtId="44" fontId="7" fillId="0" borderId="11" xfId="1" applyFont="1" applyBorder="1" applyAlignment="1">
      <alignment horizontal="right" vertical="center"/>
    </xf>
    <xf numFmtId="43" fontId="19" fillId="7" borderId="36" xfId="3" applyFont="1" applyFill="1" applyBorder="1" applyAlignment="1">
      <alignment horizontal="right" vertical="center" wrapText="1" readingOrder="1"/>
    </xf>
    <xf numFmtId="44" fontId="7" fillId="0" borderId="5" xfId="0" applyNumberFormat="1" applyFont="1" applyBorder="1" applyAlignment="1">
      <alignment vertical="center"/>
    </xf>
    <xf numFmtId="43" fontId="7" fillId="0" borderId="11" xfId="3" applyFont="1" applyBorder="1" applyAlignment="1">
      <alignment vertical="center"/>
    </xf>
    <xf numFmtId="43" fontId="7" fillId="0" borderId="5" xfId="3" applyFont="1" applyBorder="1" applyAlignment="1">
      <alignment vertical="center"/>
    </xf>
    <xf numFmtId="43" fontId="13" fillId="7" borderId="52" xfId="3" applyFont="1" applyFill="1" applyBorder="1" applyAlignment="1">
      <alignment horizontal="center" vertical="center" wrapText="1"/>
    </xf>
    <xf numFmtId="10" fontId="7" fillId="0" borderId="0" xfId="2" applyNumberFormat="1" applyFont="1" applyAlignment="1">
      <alignment vertical="center"/>
    </xf>
    <xf numFmtId="17" fontId="7" fillId="0" borderId="4" xfId="0" quotePrefix="1" applyNumberFormat="1" applyFont="1" applyBorder="1" applyAlignment="1">
      <alignment vertical="center"/>
    </xf>
    <xf numFmtId="44" fontId="7" fillId="0" borderId="9" xfId="1" applyFont="1" applyBorder="1" applyAlignment="1">
      <alignment vertical="center"/>
    </xf>
    <xf numFmtId="44" fontId="7" fillId="0" borderId="0" xfId="1" applyFont="1" applyAlignment="1">
      <alignment vertical="center"/>
    </xf>
    <xf numFmtId="0" fontId="7" fillId="0" borderId="4" xfId="0" quotePrefix="1" applyFont="1" applyBorder="1" applyAlignment="1">
      <alignment vertical="center"/>
    </xf>
    <xf numFmtId="44" fontId="7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4" fontId="0" fillId="9" borderId="5" xfId="1" applyFont="1" applyFill="1" applyBorder="1" applyAlignment="1">
      <alignment vertical="center"/>
    </xf>
    <xf numFmtId="173" fontId="12" fillId="0" borderId="6" xfId="3" applyNumberFormat="1" applyFont="1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9" fontId="18" fillId="7" borderId="50" xfId="0" applyNumberFormat="1" applyFont="1" applyFill="1" applyBorder="1" applyAlignment="1">
      <alignment horizontal="center" vertical="center" wrapText="1" readingOrder="1"/>
    </xf>
    <xf numFmtId="171" fontId="2" fillId="0" borderId="5" xfId="0" applyNumberFormat="1" applyFont="1" applyBorder="1" applyAlignment="1">
      <alignment horizontal="left" vertical="center" indent="1"/>
    </xf>
    <xf numFmtId="171" fontId="2" fillId="0" borderId="6" xfId="0" applyNumberFormat="1" applyFont="1" applyBorder="1" applyAlignment="1">
      <alignment horizontal="left" vertical="center" indent="1"/>
    </xf>
    <xf numFmtId="171" fontId="32" fillId="0" borderId="5" xfId="0" applyNumberFormat="1" applyFont="1" applyBorder="1" applyAlignment="1">
      <alignment horizontal="left" vertical="center" indent="1"/>
    </xf>
    <xf numFmtId="171" fontId="2" fillId="0" borderId="8" xfId="0" applyNumberFormat="1" applyFont="1" applyBorder="1" applyAlignment="1">
      <alignment horizontal="left" vertical="center" indent="1"/>
    </xf>
    <xf numFmtId="171" fontId="32" fillId="0" borderId="8" xfId="0" applyNumberFormat="1" applyFont="1" applyBorder="1" applyAlignment="1">
      <alignment horizontal="left" vertical="center" indent="1"/>
    </xf>
    <xf numFmtId="171" fontId="2" fillId="2" borderId="8" xfId="0" applyNumberFormat="1" applyFont="1" applyFill="1" applyBorder="1" applyAlignment="1">
      <alignment horizontal="left" vertical="center" indent="1"/>
    </xf>
    <xf numFmtId="171" fontId="2" fillId="2" borderId="9" xfId="0" applyNumberFormat="1" applyFont="1" applyFill="1" applyBorder="1" applyAlignment="1">
      <alignment horizontal="left" vertical="center" indent="1"/>
    </xf>
    <xf numFmtId="171" fontId="2" fillId="0" borderId="5" xfId="0" applyNumberFormat="1" applyFont="1" applyBorder="1" applyAlignment="1">
      <alignment horizontal="left" vertical="center"/>
    </xf>
    <xf numFmtId="169" fontId="7" fillId="0" borderId="0" xfId="2" applyNumberFormat="1" applyFont="1" applyAlignment="1">
      <alignment vertical="center"/>
    </xf>
    <xf numFmtId="0" fontId="0" fillId="0" borderId="9" xfId="0" applyBorder="1"/>
    <xf numFmtId="0" fontId="14" fillId="0" borderId="58" xfId="0" applyFont="1" applyBorder="1" applyAlignment="1">
      <alignment vertical="center"/>
    </xf>
    <xf numFmtId="44" fontId="18" fillId="0" borderId="36" xfId="1" applyFont="1" applyFill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readingOrder="1"/>
    </xf>
    <xf numFmtId="44" fontId="18" fillId="0" borderId="37" xfId="1" applyFont="1" applyFill="1" applyBorder="1" applyAlignment="1">
      <alignment horizontal="center" vertical="center" wrapText="1" readingOrder="1"/>
    </xf>
    <xf numFmtId="0" fontId="19" fillId="0" borderId="66" xfId="0" applyFont="1" applyBorder="1" applyAlignment="1">
      <alignment horizontal="left" vertical="center" wrapText="1" readingOrder="1"/>
    </xf>
    <xf numFmtId="0" fontId="19" fillId="0" borderId="36" xfId="0" applyFont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wrapText="1" readingOrder="1"/>
    </xf>
    <xf numFmtId="44" fontId="18" fillId="0" borderId="36" xfId="0" applyNumberFormat="1" applyFont="1" applyBorder="1" applyAlignment="1">
      <alignment horizontal="center" vertical="center" wrapText="1" readingOrder="1"/>
    </xf>
    <xf numFmtId="0" fontId="18" fillId="0" borderId="50" xfId="0" applyFont="1" applyBorder="1" applyAlignment="1">
      <alignment horizontal="center" vertical="center" wrapText="1" readingOrder="1"/>
    </xf>
    <xf numFmtId="44" fontId="13" fillId="0" borderId="37" xfId="0" applyNumberFormat="1" applyFont="1" applyBorder="1" applyAlignment="1">
      <alignment horizontal="center" vertical="center" wrapText="1"/>
    </xf>
    <xf numFmtId="44" fontId="19" fillId="0" borderId="36" xfId="0" applyNumberFormat="1" applyFont="1" applyBorder="1" applyAlignment="1">
      <alignment horizontal="center" vertical="center" wrapText="1" readingOrder="1"/>
    </xf>
    <xf numFmtId="10" fontId="18" fillId="0" borderId="36" xfId="0" applyNumberFormat="1" applyFont="1" applyBorder="1" applyAlignment="1">
      <alignment horizontal="center" vertical="center" wrapText="1" readingOrder="1"/>
    </xf>
    <xf numFmtId="0" fontId="18" fillId="0" borderId="37" xfId="0" applyFont="1" applyBorder="1" applyAlignment="1">
      <alignment horizontal="center" vertical="center" wrapText="1" readingOrder="1"/>
    </xf>
    <xf numFmtId="0" fontId="22" fillId="0" borderId="66" xfId="0" applyFont="1" applyBorder="1" applyAlignment="1">
      <alignment horizontal="left" vertical="center" wrapText="1" readingOrder="1"/>
    </xf>
    <xf numFmtId="0" fontId="14" fillId="0" borderId="36" xfId="0" applyFont="1" applyBorder="1" applyAlignment="1">
      <alignment horizontal="center" vertical="center" wrapText="1" readingOrder="1"/>
    </xf>
    <xf numFmtId="0" fontId="34" fillId="0" borderId="72" xfId="4" applyFont="1" applyBorder="1" applyAlignment="1">
      <alignment horizontal="center" vertical="center"/>
    </xf>
    <xf numFmtId="0" fontId="24" fillId="0" borderId="82" xfId="4" applyFont="1" applyBorder="1" applyAlignment="1">
      <alignment horizontal="center" vertical="center"/>
    </xf>
    <xf numFmtId="44" fontId="23" fillId="7" borderId="8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4" fillId="0" borderId="72" xfId="4" applyFont="1" applyBorder="1" applyAlignment="1">
      <alignment horizontal="left" vertical="center"/>
    </xf>
    <xf numFmtId="44" fontId="2" fillId="0" borderId="5" xfId="1" applyFont="1" applyBorder="1" applyAlignment="1">
      <alignment vertical="center"/>
    </xf>
    <xf numFmtId="43" fontId="0" fillId="9" borderId="5" xfId="3" applyFont="1" applyFill="1" applyBorder="1" applyAlignment="1">
      <alignment horizontal="center" vertical="center"/>
    </xf>
    <xf numFmtId="44" fontId="2" fillId="0" borderId="5" xfId="1" applyFont="1" applyBorder="1" applyAlignment="1">
      <alignment horizontal="left" vertical="center"/>
    </xf>
    <xf numFmtId="44" fontId="2" fillId="0" borderId="5" xfId="1" applyFont="1" applyBorder="1" applyAlignment="1">
      <alignment horizontal="left" vertical="center" indent="1"/>
    </xf>
    <xf numFmtId="44" fontId="2" fillId="0" borderId="8" xfId="1" applyFont="1" applyBorder="1" applyAlignment="1">
      <alignment horizontal="left" vertical="center" indent="1"/>
    </xf>
    <xf numFmtId="44" fontId="0" fillId="0" borderId="0" xfId="1" applyFont="1" applyAlignment="1">
      <alignment vertical="center"/>
    </xf>
    <xf numFmtId="44" fontId="0" fillId="9" borderId="5" xfId="0" applyNumberFormat="1" applyFill="1" applyBorder="1" applyAlignment="1">
      <alignment horizontal="center" vertical="center"/>
    </xf>
    <xf numFmtId="0" fontId="0" fillId="0" borderId="8" xfId="0" applyBorder="1"/>
    <xf numFmtId="44" fontId="0" fillId="0" borderId="1" xfId="1" applyFont="1" applyBorder="1"/>
    <xf numFmtId="44" fontId="2" fillId="0" borderId="2" xfId="1" applyFont="1" applyBorder="1" applyAlignment="1">
      <alignment horizontal="centerContinuous"/>
    </xf>
    <xf numFmtId="44" fontId="0" fillId="0" borderId="2" xfId="1" applyFont="1" applyBorder="1"/>
    <xf numFmtId="44" fontId="0" fillId="0" borderId="3" xfId="1" applyFont="1" applyBorder="1"/>
    <xf numFmtId="44" fontId="0" fillId="0" borderId="4" xfId="1" applyFont="1" applyBorder="1"/>
    <xf numFmtId="44" fontId="2" fillId="0" borderId="5" xfId="1" applyFont="1" applyBorder="1" applyAlignment="1">
      <alignment horizontal="center"/>
    </xf>
    <xf numFmtId="44" fontId="2" fillId="0" borderId="5" xfId="1" applyFont="1" applyBorder="1"/>
    <xf numFmtId="44" fontId="2" fillId="0" borderId="6" xfId="1" applyFont="1" applyBorder="1"/>
    <xf numFmtId="44" fontId="0" fillId="0" borderId="5" xfId="1" applyFont="1" applyBorder="1"/>
    <xf numFmtId="44" fontId="0" fillId="0" borderId="6" xfId="1" applyFont="1" applyBorder="1"/>
    <xf numFmtId="44" fontId="0" fillId="0" borderId="8" xfId="1" applyFont="1" applyBorder="1"/>
    <xf numFmtId="44" fontId="2" fillId="0" borderId="4" xfId="1" applyFont="1" applyBorder="1"/>
    <xf numFmtId="44" fontId="2" fillId="0" borderId="7" xfId="1" applyFont="1" applyBorder="1"/>
    <xf numFmtId="44" fontId="0" fillId="2" borderId="5" xfId="1" applyFont="1" applyFill="1" applyBorder="1"/>
    <xf numFmtId="44" fontId="0" fillId="2" borderId="6" xfId="1" applyFont="1" applyFill="1" applyBorder="1"/>
    <xf numFmtId="44" fontId="0" fillId="2" borderId="8" xfId="1" applyFont="1" applyFill="1" applyBorder="1"/>
    <xf numFmtId="44" fontId="0" fillId="2" borderId="9" xfId="1" applyFont="1" applyFill="1" applyBorder="1"/>
    <xf numFmtId="44" fontId="2" fillId="0" borderId="2" xfId="1" applyFont="1" applyBorder="1" applyAlignment="1">
      <alignment horizontal="center"/>
    </xf>
    <xf numFmtId="9" fontId="0" fillId="0" borderId="6" xfId="0" applyNumberFormat="1" applyBorder="1"/>
    <xf numFmtId="9" fontId="0" fillId="0" borderId="9" xfId="0" applyNumberFormat="1" applyBorder="1"/>
    <xf numFmtId="172" fontId="0" fillId="2" borderId="6" xfId="0" applyNumberFormat="1" applyFill="1" applyBorder="1" applyAlignment="1">
      <alignment vertical="center"/>
    </xf>
    <xf numFmtId="172" fontId="0" fillId="2" borderId="9" xfId="0" applyNumberFormat="1" applyFill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44" fontId="32" fillId="0" borderId="5" xfId="0" applyNumberFormat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8" xfId="0" applyNumberFormat="1" applyFont="1" applyBorder="1" applyAlignment="1">
      <alignment vertical="center"/>
    </xf>
    <xf numFmtId="44" fontId="32" fillId="0" borderId="8" xfId="0" applyNumberFormat="1" applyFont="1" applyBorder="1" applyAlignment="1">
      <alignment vertical="center"/>
    </xf>
    <xf numFmtId="44" fontId="2" fillId="2" borderId="8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1" fillId="5" borderId="20" xfId="4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2" fillId="2" borderId="68" xfId="0" applyFont="1" applyFill="1" applyBorder="1" applyAlignment="1">
      <alignment horizontal="left" vertical="center" wrapText="1" readingOrder="1"/>
    </xf>
    <xf numFmtId="0" fontId="22" fillId="2" borderId="70" xfId="0" applyFont="1" applyFill="1" applyBorder="1" applyAlignment="1">
      <alignment horizontal="left" vertical="center" wrapText="1" readingOrder="1"/>
    </xf>
    <xf numFmtId="0" fontId="22" fillId="2" borderId="69" xfId="0" applyFont="1" applyFill="1" applyBorder="1" applyAlignment="1">
      <alignment horizontal="left" vertical="center" wrapText="1" readingOrder="1"/>
    </xf>
    <xf numFmtId="0" fontId="25" fillId="2" borderId="67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6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2" fillId="2" borderId="77" xfId="0" applyFont="1" applyFill="1" applyBorder="1" applyAlignment="1">
      <alignment horizontal="left" vertical="center" wrapText="1" readingOrder="1"/>
    </xf>
    <xf numFmtId="0" fontId="22" fillId="2" borderId="78" xfId="0" applyFont="1" applyFill="1" applyBorder="1" applyAlignment="1">
      <alignment horizontal="left" vertical="center" wrapText="1" readingOrder="1"/>
    </xf>
    <xf numFmtId="0" fontId="22" fillId="2" borderId="79" xfId="0" applyFont="1" applyFill="1" applyBorder="1" applyAlignment="1">
      <alignment horizontal="left" vertical="center" wrapText="1" readingOrder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3" fontId="23" fillId="0" borderId="71" xfId="3" applyFont="1" applyBorder="1" applyAlignment="1">
      <alignment horizontal="left" vertical="center" wrapText="1" readingOrder="1"/>
    </xf>
    <xf numFmtId="44" fontId="23" fillId="0" borderId="73" xfId="1" applyFont="1" applyFill="1" applyBorder="1" applyAlignment="1">
      <alignment horizontal="left" vertical="center" wrapText="1" readingOrder="1"/>
    </xf>
    <xf numFmtId="0" fontId="23" fillId="0" borderId="76" xfId="0" applyFont="1" applyBorder="1" applyAlignment="1">
      <alignment horizontal="left" vertical="center" wrapText="1" readingOrder="1"/>
    </xf>
    <xf numFmtId="0" fontId="0" fillId="0" borderId="76" xfId="0" applyBorder="1" applyAlignment="1">
      <alignment vertical="center" wrapText="1" readingOrder="1"/>
    </xf>
    <xf numFmtId="0" fontId="0" fillId="0" borderId="73" xfId="0" applyBorder="1" applyAlignment="1">
      <alignment vertical="center" wrapText="1" readingOrder="1"/>
    </xf>
    <xf numFmtId="44" fontId="12" fillId="0" borderId="10" xfId="0" applyNumberFormat="1" applyFont="1" applyBorder="1" applyAlignment="1">
      <alignment vertical="center"/>
    </xf>
    <xf numFmtId="43" fontId="13" fillId="7" borderId="33" xfId="3" applyFont="1" applyFill="1" applyBorder="1" applyAlignment="1">
      <alignment horizontal="right" vertical="center" wrapText="1"/>
    </xf>
  </cellXfs>
  <cellStyles count="5">
    <cellStyle name="Milliers" xfId="3" builtinId="3"/>
    <cellStyle name="Monétaire" xfId="1" builtinId="4"/>
    <cellStyle name="Normal" xfId="0" builtinId="0"/>
    <cellStyle name="Normal_Fiche de paie TEPA plus 20 salariés" xfId="4" xr:uid="{0E76391E-D5DF-4C29-9E01-5E54F37F57E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A5A228B-8770-4A3D-85F4-42CA8437A2B0}"/>
            </a:ext>
          </a:extLst>
        </xdr:cNvPr>
        <xdr:cNvSpPr txBox="1"/>
      </xdr:nvSpPr>
      <xdr:spPr>
        <a:xfrm>
          <a:off x="11010900" y="351472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1C45FF7-E1E5-4FE6-896A-7852B89C42A8}"/>
            </a:ext>
          </a:extLst>
        </xdr:cNvPr>
        <xdr:cNvSpPr txBox="1"/>
      </xdr:nvSpPr>
      <xdr:spPr>
        <a:xfrm>
          <a:off x="12296775" y="6096000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B3BD739-6D17-40E0-BE38-EAF62E4538CE}"/>
            </a:ext>
          </a:extLst>
        </xdr:cNvPr>
        <xdr:cNvSpPr txBox="1"/>
      </xdr:nvSpPr>
      <xdr:spPr>
        <a:xfrm>
          <a:off x="9505950" y="8334375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4567F91-4461-485B-9924-76D5C7318771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93D3A23-28CD-4F7B-9A91-9F59C43E46C1}"/>
            </a:ext>
          </a:extLst>
        </xdr:cNvPr>
        <xdr:cNvSpPr txBox="1"/>
      </xdr:nvSpPr>
      <xdr:spPr>
        <a:xfrm>
          <a:off x="12296775" y="3324225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39C365F-7390-4CC8-ACC2-F3CEDCC1F6E1}"/>
            </a:ext>
          </a:extLst>
        </xdr:cNvPr>
        <xdr:cNvSpPr txBox="1"/>
      </xdr:nvSpPr>
      <xdr:spPr>
        <a:xfrm>
          <a:off x="9505950" y="50482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638DBE1-4DA4-499C-B898-5252A4440291}"/>
            </a:ext>
          </a:extLst>
        </xdr:cNvPr>
        <xdr:cNvSpPr txBox="1"/>
      </xdr:nvSpPr>
      <xdr:spPr>
        <a:xfrm>
          <a:off x="11010900" y="87630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1946BE3-78E2-4F21-83B0-CDE64211320A}"/>
            </a:ext>
          </a:extLst>
        </xdr:cNvPr>
        <xdr:cNvSpPr txBox="1"/>
      </xdr:nvSpPr>
      <xdr:spPr>
        <a:xfrm>
          <a:off x="12296775" y="3467100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A067D64-C793-4E7C-BCB8-A81F7B627ECB}"/>
            </a:ext>
          </a:extLst>
        </xdr:cNvPr>
        <xdr:cNvSpPr txBox="1"/>
      </xdr:nvSpPr>
      <xdr:spPr>
        <a:xfrm>
          <a:off x="9505950" y="56959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B21A1F5-151E-4C51-BBDD-098E4A89CD16}"/>
            </a:ext>
          </a:extLst>
        </xdr:cNvPr>
        <xdr:cNvSpPr txBox="1"/>
      </xdr:nvSpPr>
      <xdr:spPr>
        <a:xfrm>
          <a:off x="11010900" y="352425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A52A8E41-9BE2-4EB1-B477-1EFA90D62C81}"/>
            </a:ext>
          </a:extLst>
        </xdr:cNvPr>
        <xdr:cNvSpPr txBox="1"/>
      </xdr:nvSpPr>
      <xdr:spPr>
        <a:xfrm>
          <a:off x="12296775" y="6115050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42A13BE-F6D6-4B71-B676-E7500D4E2A99}"/>
            </a:ext>
          </a:extLst>
        </xdr:cNvPr>
        <xdr:cNvSpPr txBox="1"/>
      </xdr:nvSpPr>
      <xdr:spPr>
        <a:xfrm>
          <a:off x="9505950" y="834390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09B3F66-3A2F-4399-93BC-DCA2AAE823A3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7A9395F-0990-4657-ABF1-FB7110710838}"/>
            </a:ext>
          </a:extLst>
        </xdr:cNvPr>
        <xdr:cNvSpPr txBox="1"/>
      </xdr:nvSpPr>
      <xdr:spPr>
        <a:xfrm>
          <a:off x="12296775" y="3324225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631C1B1-E798-4A56-AC4A-B1B3FCE6A6ED}"/>
            </a:ext>
          </a:extLst>
        </xdr:cNvPr>
        <xdr:cNvSpPr txBox="1"/>
      </xdr:nvSpPr>
      <xdr:spPr>
        <a:xfrm>
          <a:off x="9505950" y="50482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2119D73-0D54-4D9B-B2A7-ACD694E7874D}"/>
            </a:ext>
          </a:extLst>
        </xdr:cNvPr>
        <xdr:cNvSpPr txBox="1"/>
      </xdr:nvSpPr>
      <xdr:spPr>
        <a:xfrm>
          <a:off x="11010900" y="352425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B6A1042-8789-41F2-8707-9C4E1035D3C1}"/>
            </a:ext>
          </a:extLst>
        </xdr:cNvPr>
        <xdr:cNvSpPr txBox="1"/>
      </xdr:nvSpPr>
      <xdr:spPr>
        <a:xfrm>
          <a:off x="12296775" y="6115050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681B6AAA-409C-4710-A432-36D28EFF7F12}"/>
            </a:ext>
          </a:extLst>
        </xdr:cNvPr>
        <xdr:cNvSpPr txBox="1"/>
      </xdr:nvSpPr>
      <xdr:spPr>
        <a:xfrm>
          <a:off x="9505950" y="834390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CAB8-4256-432A-8A69-BE7291489947}">
  <dimension ref="A1:G23"/>
  <sheetViews>
    <sheetView workbookViewId="0">
      <selection activeCell="H12" sqref="H12"/>
    </sheetView>
  </sheetViews>
  <sheetFormatPr baseColWidth="10" defaultRowHeight="15" x14ac:dyDescent="0.25"/>
  <cols>
    <col min="2" max="2" width="19.28515625" bestFit="1" customWidth="1"/>
    <col min="3" max="3" width="12.5703125" bestFit="1" customWidth="1"/>
    <col min="4" max="4" width="19.7109375" bestFit="1" customWidth="1"/>
    <col min="6" max="6" width="14.140625" bestFit="1" customWidth="1"/>
    <col min="7" max="7" width="14.7109375" bestFit="1" customWidth="1"/>
  </cols>
  <sheetData>
    <row r="1" spans="1:7" s="8" customFormat="1" ht="20.25" customHeight="1" x14ac:dyDescent="0.25">
      <c r="A1" s="419"/>
      <c r="B1" s="420" t="s">
        <v>284</v>
      </c>
      <c r="C1" s="420"/>
      <c r="D1" s="420" t="s">
        <v>285</v>
      </c>
      <c r="E1" s="420"/>
      <c r="F1" s="421"/>
      <c r="G1" s="422"/>
    </row>
    <row r="2" spans="1:7" s="8" customFormat="1" ht="20.25" customHeight="1" x14ac:dyDescent="0.25">
      <c r="A2" s="423"/>
      <c r="B2" s="424" t="s">
        <v>282</v>
      </c>
      <c r="C2" s="424" t="s">
        <v>283</v>
      </c>
      <c r="D2" s="424" t="s">
        <v>282</v>
      </c>
      <c r="E2" s="424" t="s">
        <v>283</v>
      </c>
      <c r="F2" s="425" t="s">
        <v>286</v>
      </c>
      <c r="G2" s="426" t="s">
        <v>287</v>
      </c>
    </row>
    <row r="3" spans="1:7" s="8" customFormat="1" ht="20.25" customHeight="1" x14ac:dyDescent="0.25">
      <c r="A3" s="430" t="s">
        <v>277</v>
      </c>
      <c r="B3" s="427">
        <f>2*20</f>
        <v>40</v>
      </c>
      <c r="C3" s="427">
        <f>2*22</f>
        <v>44</v>
      </c>
      <c r="D3" s="427">
        <f>2*15</f>
        <v>30</v>
      </c>
      <c r="E3" s="427">
        <f>2*18</f>
        <v>36</v>
      </c>
      <c r="F3" s="432">
        <f t="shared" ref="F3:G5" si="0">+B3+D3</f>
        <v>70</v>
      </c>
      <c r="G3" s="433">
        <f t="shared" si="0"/>
        <v>80</v>
      </c>
    </row>
    <row r="4" spans="1:7" s="8" customFormat="1" ht="20.25" customHeight="1" x14ac:dyDescent="0.25">
      <c r="A4" s="430" t="s">
        <v>278</v>
      </c>
      <c r="B4" s="427">
        <f>2*20</f>
        <v>40</v>
      </c>
      <c r="C4" s="427">
        <f>2*22</f>
        <v>44</v>
      </c>
      <c r="D4" s="427"/>
      <c r="E4" s="427"/>
      <c r="F4" s="432">
        <f t="shared" si="0"/>
        <v>40</v>
      </c>
      <c r="G4" s="433">
        <f t="shared" si="0"/>
        <v>44</v>
      </c>
    </row>
    <row r="5" spans="1:7" s="8" customFormat="1" ht="20.25" customHeight="1" x14ac:dyDescent="0.25">
      <c r="A5" s="430" t="s">
        <v>279</v>
      </c>
      <c r="B5" s="427">
        <f>1*20</f>
        <v>20</v>
      </c>
      <c r="C5" s="427">
        <f>1*22</f>
        <v>22</v>
      </c>
      <c r="D5" s="427">
        <f>1*15</f>
        <v>15</v>
      </c>
      <c r="E5" s="427">
        <f>1*18</f>
        <v>18</v>
      </c>
      <c r="F5" s="432">
        <f t="shared" si="0"/>
        <v>35</v>
      </c>
      <c r="G5" s="433">
        <f t="shared" si="0"/>
        <v>40</v>
      </c>
    </row>
    <row r="6" spans="1:7" s="8" customFormat="1" ht="20.25" customHeight="1" x14ac:dyDescent="0.25">
      <c r="A6" s="430" t="s">
        <v>280</v>
      </c>
      <c r="B6" s="427"/>
      <c r="C6" s="427"/>
      <c r="D6" s="427"/>
      <c r="E6" s="427"/>
      <c r="F6" s="432">
        <f t="shared" ref="F6:F7" si="1">+B6+D6</f>
        <v>0</v>
      </c>
      <c r="G6" s="433">
        <f t="shared" ref="G6:G7" si="2">+C6+E6</f>
        <v>0</v>
      </c>
    </row>
    <row r="7" spans="1:7" s="8" customFormat="1" ht="20.25" customHeight="1" thickBot="1" x14ac:dyDescent="0.3">
      <c r="A7" s="431" t="s">
        <v>281</v>
      </c>
      <c r="B7" s="429">
        <v>20</v>
      </c>
      <c r="C7" s="429">
        <v>22</v>
      </c>
      <c r="D7" s="429"/>
      <c r="E7" s="429"/>
      <c r="F7" s="434">
        <f t="shared" si="1"/>
        <v>20</v>
      </c>
      <c r="G7" s="435">
        <f t="shared" si="2"/>
        <v>22</v>
      </c>
    </row>
    <row r="9" spans="1:7" ht="15.75" thickBot="1" x14ac:dyDescent="0.3"/>
    <row r="10" spans="1:7" x14ac:dyDescent="0.25">
      <c r="A10" s="355"/>
      <c r="B10" s="436" t="s">
        <v>288</v>
      </c>
      <c r="C10" s="358" t="s">
        <v>96</v>
      </c>
    </row>
    <row r="11" spans="1:7" x14ac:dyDescent="0.25">
      <c r="A11" s="430" t="s">
        <v>277</v>
      </c>
      <c r="B11" s="247"/>
      <c r="C11" s="7"/>
    </row>
    <row r="12" spans="1:7" x14ac:dyDescent="0.25">
      <c r="A12" s="430" t="s">
        <v>278</v>
      </c>
      <c r="B12" s="427">
        <f>3000+(3*305)</f>
        <v>3915</v>
      </c>
      <c r="C12" s="437">
        <v>0.03</v>
      </c>
    </row>
    <row r="13" spans="1:7" x14ac:dyDescent="0.25">
      <c r="A13" s="430" t="s">
        <v>279</v>
      </c>
      <c r="B13" s="427">
        <f>(10.85*35*52/12)+(100*1)</f>
        <v>1745.5833333333333</v>
      </c>
      <c r="C13" s="7"/>
    </row>
    <row r="14" spans="1:7" x14ac:dyDescent="0.25">
      <c r="A14" s="430" t="s">
        <v>280</v>
      </c>
      <c r="B14" s="427">
        <f>2000+(280*2.5)</f>
        <v>2700</v>
      </c>
      <c r="C14" s="437">
        <f>C12</f>
        <v>0.03</v>
      </c>
    </row>
    <row r="15" spans="1:7" ht="15.75" thickBot="1" x14ac:dyDescent="0.3">
      <c r="A15" s="431" t="s">
        <v>281</v>
      </c>
      <c r="B15" s="429">
        <f>(10.85*35*52/12)+(200*2)</f>
        <v>2045.5833333333333</v>
      </c>
      <c r="C15" s="438">
        <f>C14</f>
        <v>0.03</v>
      </c>
    </row>
    <row r="17" spans="1:4" ht="15.75" thickBot="1" x14ac:dyDescent="0.3"/>
    <row r="18" spans="1:4" x14ac:dyDescent="0.25">
      <c r="A18" s="355"/>
      <c r="B18" s="6" t="s">
        <v>289</v>
      </c>
      <c r="C18" s="6" t="s">
        <v>290</v>
      </c>
      <c r="D18" s="358" t="s">
        <v>134</v>
      </c>
    </row>
    <row r="19" spans="1:4" x14ac:dyDescent="0.25">
      <c r="A19" s="430" t="s">
        <v>277</v>
      </c>
      <c r="B19" s="247"/>
      <c r="C19" s="247"/>
      <c r="D19" s="7"/>
    </row>
    <row r="20" spans="1:4" x14ac:dyDescent="0.25">
      <c r="A20" s="430" t="s">
        <v>278</v>
      </c>
      <c r="B20" s="427">
        <v>20</v>
      </c>
      <c r="C20" s="427">
        <f>7*0.4</f>
        <v>2.8000000000000003</v>
      </c>
      <c r="D20" s="428">
        <f>C20*B20</f>
        <v>56.000000000000007</v>
      </c>
    </row>
    <row r="21" spans="1:4" x14ac:dyDescent="0.25">
      <c r="A21" s="430" t="s">
        <v>279</v>
      </c>
      <c r="B21" s="427">
        <v>18</v>
      </c>
      <c r="C21" s="427">
        <f>7*0.4</f>
        <v>2.8000000000000003</v>
      </c>
      <c r="D21" s="428">
        <f>C21*B21</f>
        <v>50.400000000000006</v>
      </c>
    </row>
    <row r="22" spans="1:4" x14ac:dyDescent="0.25">
      <c r="A22" s="430" t="s">
        <v>280</v>
      </c>
      <c r="B22" s="247"/>
      <c r="C22" s="247"/>
      <c r="D22" s="7"/>
    </row>
    <row r="23" spans="1:4" ht="15.75" thickBot="1" x14ac:dyDescent="0.3">
      <c r="A23" s="431" t="s">
        <v>281</v>
      </c>
      <c r="B23" s="418"/>
      <c r="C23" s="418"/>
      <c r="D23" s="38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83BE-0055-40E6-B2A8-CEFD5F7470EA}">
  <dimension ref="A2:D28"/>
  <sheetViews>
    <sheetView workbookViewId="0">
      <selection activeCell="D5" sqref="D5"/>
    </sheetView>
  </sheetViews>
  <sheetFormatPr baseColWidth="10" defaultRowHeight="15" x14ac:dyDescent="0.25"/>
  <cols>
    <col min="1" max="1" width="34" bestFit="1" customWidth="1"/>
    <col min="2" max="2" width="12.28515625" customWidth="1"/>
    <col min="3" max="3" width="14.42578125" customWidth="1"/>
    <col min="4" max="4" width="15.42578125" customWidth="1"/>
  </cols>
  <sheetData>
    <row r="2" spans="1:4" ht="18.75" x14ac:dyDescent="0.25">
      <c r="A2" s="463" t="s">
        <v>9</v>
      </c>
      <c r="B2" s="464"/>
      <c r="C2" s="464"/>
      <c r="D2" s="464"/>
    </row>
    <row r="3" spans="1:4" ht="15.75" thickBot="1" x14ac:dyDescent="0.3">
      <c r="A3" s="11"/>
      <c r="B3" s="11"/>
      <c r="C3" s="11"/>
      <c r="D3" s="11"/>
    </row>
    <row r="4" spans="1:4" x14ac:dyDescent="0.25">
      <c r="A4" s="453" t="s">
        <v>10</v>
      </c>
      <c r="B4" s="454"/>
      <c r="C4" s="454"/>
      <c r="D4" s="455"/>
    </row>
    <row r="5" spans="1:4" x14ac:dyDescent="0.25">
      <c r="A5" s="256" t="s">
        <v>11</v>
      </c>
      <c r="B5" s="257"/>
      <c r="C5" s="257"/>
      <c r="D5" s="271">
        <v>3000</v>
      </c>
    </row>
    <row r="6" spans="1:4" ht="30" x14ac:dyDescent="0.25">
      <c r="A6" s="256" t="s">
        <v>12</v>
      </c>
      <c r="B6" s="257"/>
      <c r="C6" s="257"/>
      <c r="D6" s="258">
        <v>28</v>
      </c>
    </row>
    <row r="7" spans="1:4" x14ac:dyDescent="0.25">
      <c r="A7" s="256" t="s">
        <v>13</v>
      </c>
      <c r="B7" s="257"/>
      <c r="C7" s="257"/>
      <c r="D7" s="275">
        <f>+D5/D6</f>
        <v>107.14285714285714</v>
      </c>
    </row>
    <row r="8" spans="1:4" ht="45.75" thickBot="1" x14ac:dyDescent="0.3">
      <c r="A8" s="256" t="s">
        <v>14</v>
      </c>
      <c r="B8" s="257"/>
      <c r="C8" s="257"/>
      <c r="D8" s="272">
        <v>21</v>
      </c>
    </row>
    <row r="9" spans="1:4" ht="16.5" thickTop="1" thickBot="1" x14ac:dyDescent="0.3">
      <c r="A9" s="259" t="s">
        <v>15</v>
      </c>
      <c r="B9" s="260"/>
      <c r="C9" s="261"/>
      <c r="D9" s="276">
        <f>D7*D8</f>
        <v>2250</v>
      </c>
    </row>
    <row r="10" spans="1:4" ht="15.75" thickBot="1" x14ac:dyDescent="0.3">
      <c r="A10" s="262"/>
      <c r="B10" s="262"/>
      <c r="C10" s="262"/>
      <c r="D10" s="262"/>
    </row>
    <row r="11" spans="1:4" ht="15.75" thickBot="1" x14ac:dyDescent="0.3">
      <c r="A11" s="460" t="s">
        <v>16</v>
      </c>
      <c r="B11" s="461"/>
      <c r="C11" s="461"/>
      <c r="D11" s="462"/>
    </row>
    <row r="12" spans="1:4" x14ac:dyDescent="0.25">
      <c r="A12" s="263" t="s">
        <v>17</v>
      </c>
      <c r="B12" s="264"/>
      <c r="C12" s="265" t="s">
        <v>18</v>
      </c>
      <c r="D12" s="266" t="s">
        <v>19</v>
      </c>
    </row>
    <row r="13" spans="1:4" x14ac:dyDescent="0.25">
      <c r="A13" s="209" t="s">
        <v>20</v>
      </c>
      <c r="B13" s="273">
        <v>44197</v>
      </c>
      <c r="C13" s="274">
        <v>5850</v>
      </c>
      <c r="D13" s="277">
        <f>1.8*1603.12</f>
        <v>2885.616</v>
      </c>
    </row>
    <row r="14" spans="1:4" x14ac:dyDescent="0.25">
      <c r="A14" s="209" t="s">
        <v>21</v>
      </c>
      <c r="B14" s="273">
        <v>44531</v>
      </c>
      <c r="C14" s="274">
        <v>2900</v>
      </c>
      <c r="D14" s="277">
        <f t="shared" ref="D14:D15" si="0">1.8*1603.12</f>
        <v>2885.616</v>
      </c>
    </row>
    <row r="15" spans="1:4" x14ac:dyDescent="0.25">
      <c r="A15" s="209" t="s">
        <v>22</v>
      </c>
      <c r="B15" s="273">
        <v>44501</v>
      </c>
      <c r="C15" s="274">
        <v>2900</v>
      </c>
      <c r="D15" s="277">
        <f t="shared" si="0"/>
        <v>2885.616</v>
      </c>
    </row>
    <row r="16" spans="1:4" x14ac:dyDescent="0.25">
      <c r="A16" s="209" t="s">
        <v>23</v>
      </c>
      <c r="B16" s="267"/>
      <c r="C16" s="267"/>
      <c r="D16" s="211">
        <f>SUM(D13:D15)</f>
        <v>8656.848</v>
      </c>
    </row>
    <row r="17" spans="1:4" x14ac:dyDescent="0.25">
      <c r="A17" s="209" t="s">
        <v>24</v>
      </c>
      <c r="B17" s="267"/>
      <c r="C17" s="267"/>
      <c r="D17" s="211">
        <f>D16/91.25*0.5</f>
        <v>47.434783561643833</v>
      </c>
    </row>
    <row r="18" spans="1:4" x14ac:dyDescent="0.25">
      <c r="A18" s="209" t="s">
        <v>181</v>
      </c>
      <c r="B18" s="267"/>
      <c r="C18" s="319" t="s">
        <v>182</v>
      </c>
      <c r="D18" s="268">
        <f>D8-3</f>
        <v>18</v>
      </c>
    </row>
    <row r="19" spans="1:4" x14ac:dyDescent="0.25">
      <c r="A19" s="209" t="s">
        <v>25</v>
      </c>
      <c r="B19" s="267"/>
      <c r="C19" s="267"/>
      <c r="D19" s="283">
        <f>D18*D17</f>
        <v>853.82610410958898</v>
      </c>
    </row>
    <row r="20" spans="1:4" x14ac:dyDescent="0.25">
      <c r="A20" s="209" t="s">
        <v>26</v>
      </c>
      <c r="B20" s="267"/>
      <c r="C20" s="267"/>
      <c r="D20" s="211">
        <f>D19*6.7%</f>
        <v>57.206348975342465</v>
      </c>
    </row>
    <row r="21" spans="1:4" ht="15.75" thickBot="1" x14ac:dyDescent="0.3">
      <c r="A21" s="269" t="s">
        <v>27</v>
      </c>
      <c r="B21" s="270"/>
      <c r="C21" s="270"/>
      <c r="D21" s="278">
        <f>D19-D20</f>
        <v>796.61975513424647</v>
      </c>
    </row>
    <row r="22" spans="1:4" ht="15.75" thickBot="1" x14ac:dyDescent="0.3">
      <c r="A22" s="11"/>
      <c r="B22" s="11"/>
      <c r="C22" s="11"/>
      <c r="D22" s="11"/>
    </row>
    <row r="23" spans="1:4" x14ac:dyDescent="0.25">
      <c r="A23" s="453" t="s">
        <v>28</v>
      </c>
      <c r="B23" s="454"/>
      <c r="C23" s="454"/>
      <c r="D23" s="455"/>
    </row>
    <row r="24" spans="1:4" x14ac:dyDescent="0.25">
      <c r="A24" s="256" t="s">
        <v>29</v>
      </c>
      <c r="B24" s="257"/>
      <c r="C24" s="318" t="s">
        <v>218</v>
      </c>
      <c r="D24" s="280">
        <f>D8-7</f>
        <v>14</v>
      </c>
    </row>
    <row r="25" spans="1:4" ht="15.75" thickBot="1" x14ac:dyDescent="0.3">
      <c r="A25" s="256" t="s">
        <v>30</v>
      </c>
      <c r="B25" s="257">
        <v>107.14</v>
      </c>
      <c r="C25" s="320">
        <v>0.9</v>
      </c>
      <c r="D25" s="258">
        <f>C25*B25</f>
        <v>96.426000000000002</v>
      </c>
    </row>
    <row r="26" spans="1:4" ht="16.5" thickTop="1" thickBot="1" x14ac:dyDescent="0.3">
      <c r="A26" s="256" t="s">
        <v>31</v>
      </c>
      <c r="B26" s="257"/>
      <c r="C26" s="257"/>
      <c r="D26" s="276">
        <f>D24*D25</f>
        <v>1349.9639999999999</v>
      </c>
    </row>
    <row r="27" spans="1:4" ht="16.5" thickTop="1" thickBot="1" x14ac:dyDescent="0.3">
      <c r="A27" s="209" t="s">
        <v>32</v>
      </c>
      <c r="B27" s="257"/>
      <c r="C27" s="257"/>
      <c r="D27" s="281">
        <f>D17</f>
        <v>47.434783561643833</v>
      </c>
    </row>
    <row r="28" spans="1:4" ht="23.25" customHeight="1" thickTop="1" thickBot="1" x14ac:dyDescent="0.3">
      <c r="A28" s="259" t="s">
        <v>33</v>
      </c>
      <c r="B28" s="284">
        <f>D24</f>
        <v>14</v>
      </c>
      <c r="C28" s="282">
        <f>D27</f>
        <v>47.434783561643833</v>
      </c>
      <c r="D28" s="276">
        <f>C28*B28</f>
        <v>664.08696986301368</v>
      </c>
    </row>
  </sheetData>
  <mergeCells count="4">
    <mergeCell ref="A2:D2"/>
    <mergeCell ref="A4:D4"/>
    <mergeCell ref="A11:D11"/>
    <mergeCell ref="A23:D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2D5B-B630-4EA2-8D6D-D7B1B6DC9D51}">
  <dimension ref="A2:K55"/>
  <sheetViews>
    <sheetView topLeftCell="A14" workbookViewId="0">
      <selection activeCell="D55" sqref="D55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0" ht="23.25" x14ac:dyDescent="0.25">
      <c r="A2" s="285" t="s">
        <v>183</v>
      </c>
      <c r="B2" s="286"/>
      <c r="C2" s="286"/>
      <c r="D2" s="286"/>
      <c r="E2" s="286"/>
      <c r="F2" s="286"/>
      <c r="G2" s="286"/>
      <c r="H2" s="286"/>
    </row>
    <row r="4" spans="1:10" ht="18.75" x14ac:dyDescent="0.25">
      <c r="A4" s="287" t="s">
        <v>184</v>
      </c>
      <c r="D4" s="288">
        <v>3428</v>
      </c>
      <c r="F4" s="304" t="s">
        <v>216</v>
      </c>
      <c r="H4" s="317" t="s">
        <v>261</v>
      </c>
      <c r="I4" s="304">
        <v>21</v>
      </c>
    </row>
    <row r="5" spans="1:10" ht="15.75" thickBot="1" x14ac:dyDescent="0.3"/>
    <row r="6" spans="1:10" ht="30" x14ac:dyDescent="0.25">
      <c r="A6" s="289" t="s">
        <v>159</v>
      </c>
      <c r="B6" s="233" t="s">
        <v>136</v>
      </c>
      <c r="C6" s="233" t="s">
        <v>185</v>
      </c>
      <c r="D6" s="233" t="s">
        <v>186</v>
      </c>
      <c r="E6" s="235" t="s">
        <v>187</v>
      </c>
      <c r="F6" s="235" t="s">
        <v>188</v>
      </c>
      <c r="G6" s="235" t="s">
        <v>189</v>
      </c>
      <c r="H6" s="236" t="s">
        <v>190</v>
      </c>
      <c r="J6" s="304"/>
    </row>
    <row r="7" spans="1:10" x14ac:dyDescent="0.25">
      <c r="A7" s="290" t="s">
        <v>191</v>
      </c>
      <c r="B7" s="413">
        <v>3784</v>
      </c>
      <c r="C7" s="386">
        <f>B7</f>
        <v>3784</v>
      </c>
      <c r="D7" s="379">
        <v>3428</v>
      </c>
      <c r="E7" s="379">
        <f>D7</f>
        <v>3428</v>
      </c>
      <c r="F7" s="379">
        <f>MIN(C7,E7)</f>
        <v>3428</v>
      </c>
      <c r="G7" s="379">
        <f>F7</f>
        <v>3428</v>
      </c>
      <c r="H7" s="380">
        <f t="shared" ref="H7" si="0">B7-G7</f>
        <v>356</v>
      </c>
      <c r="J7" s="304"/>
    </row>
    <row r="8" spans="1:10" x14ac:dyDescent="0.25">
      <c r="A8" s="290" t="s">
        <v>192</v>
      </c>
      <c r="B8" s="414">
        <v>3784</v>
      </c>
      <c r="C8" s="379">
        <f>C7+B8</f>
        <v>7568</v>
      </c>
      <c r="D8" s="379">
        <v>3428</v>
      </c>
      <c r="E8" s="379">
        <f>E7+D8</f>
        <v>6856</v>
      </c>
      <c r="F8" s="381">
        <f t="shared" ref="F8:F11" si="1">MIN(C8,E8)</f>
        <v>6856</v>
      </c>
      <c r="G8" s="379">
        <f>F8-F7</f>
        <v>3428</v>
      </c>
      <c r="H8" s="380">
        <f>B8-G8</f>
        <v>356</v>
      </c>
    </row>
    <row r="9" spans="1:10" x14ac:dyDescent="0.25">
      <c r="A9" s="290" t="s">
        <v>193</v>
      </c>
      <c r="B9" s="414">
        <v>3784</v>
      </c>
      <c r="C9" s="379">
        <f t="shared" ref="C9:C11" si="2">C8+B9</f>
        <v>11352</v>
      </c>
      <c r="D9" s="379">
        <v>3428</v>
      </c>
      <c r="E9" s="379">
        <f t="shared" ref="E9:E11" si="3">E8+D9</f>
        <v>10284</v>
      </c>
      <c r="F9" s="381">
        <f t="shared" si="1"/>
        <v>10284</v>
      </c>
      <c r="G9" s="379">
        <f t="shared" ref="G9:G11" si="4">F9-F8</f>
        <v>3428</v>
      </c>
      <c r="H9" s="380">
        <f t="shared" ref="H9:H11" si="5">B9-G9</f>
        <v>356</v>
      </c>
    </row>
    <row r="10" spans="1:10" x14ac:dyDescent="0.25">
      <c r="A10" s="290" t="s">
        <v>194</v>
      </c>
      <c r="B10" s="414">
        <v>3784</v>
      </c>
      <c r="C10" s="379">
        <f t="shared" si="2"/>
        <v>15136</v>
      </c>
      <c r="D10" s="379">
        <v>3428</v>
      </c>
      <c r="E10" s="379">
        <f t="shared" si="3"/>
        <v>13712</v>
      </c>
      <c r="F10" s="381">
        <f t="shared" si="1"/>
        <v>13712</v>
      </c>
      <c r="G10" s="379">
        <f t="shared" si="4"/>
        <v>3428</v>
      </c>
      <c r="H10" s="380">
        <f t="shared" si="5"/>
        <v>356</v>
      </c>
    </row>
    <row r="11" spans="1:10" ht="15.75" thickBot="1" x14ac:dyDescent="0.3">
      <c r="A11" s="341" t="s">
        <v>195</v>
      </c>
      <c r="B11" s="415">
        <f>+'Bulletin WINCKERT'!E37</f>
        <v>2566.1294047619044</v>
      </c>
      <c r="C11" s="382">
        <f t="shared" si="2"/>
        <v>17702.129404761905</v>
      </c>
      <c r="D11" s="382">
        <f>3428*24/31</f>
        <v>2653.9354838709678</v>
      </c>
      <c r="E11" s="382">
        <f t="shared" si="3"/>
        <v>16365.935483870968</v>
      </c>
      <c r="F11" s="383">
        <f t="shared" si="1"/>
        <v>16365.935483870968</v>
      </c>
      <c r="G11" s="384">
        <f t="shared" si="4"/>
        <v>2653.9354838709678</v>
      </c>
      <c r="H11" s="385">
        <f t="shared" si="5"/>
        <v>-87.806079109063376</v>
      </c>
    </row>
    <row r="12" spans="1:10" x14ac:dyDescent="0.25">
      <c r="A12" s="332"/>
      <c r="B12" s="333"/>
      <c r="C12" s="334"/>
      <c r="D12" s="334"/>
    </row>
    <row r="14" spans="1:10" ht="23.25" x14ac:dyDescent="0.25">
      <c r="A14" s="293" t="s">
        <v>196</v>
      </c>
      <c r="B14" s="286"/>
      <c r="C14" s="286"/>
      <c r="D14" s="286"/>
      <c r="E14" s="286"/>
      <c r="F14" s="286"/>
      <c r="G14" s="286"/>
      <c r="H14" s="286"/>
    </row>
    <row r="16" spans="1:10" ht="15.75" thickBot="1" x14ac:dyDescent="0.3"/>
    <row r="17" spans="1:11" ht="45" x14ac:dyDescent="0.25">
      <c r="A17" s="294"/>
      <c r="B17" s="295" t="s">
        <v>136</v>
      </c>
      <c r="C17" s="295" t="s">
        <v>185</v>
      </c>
      <c r="D17" s="296" t="s">
        <v>197</v>
      </c>
      <c r="E17" s="296" t="s">
        <v>162</v>
      </c>
      <c r="F17" s="296" t="s">
        <v>198</v>
      </c>
      <c r="G17" s="296" t="s">
        <v>199</v>
      </c>
      <c r="H17" s="235" t="s">
        <v>200</v>
      </c>
      <c r="I17" s="296" t="s">
        <v>201</v>
      </c>
      <c r="J17" s="297" t="s">
        <v>202</v>
      </c>
      <c r="K17" s="298" t="s">
        <v>203</v>
      </c>
    </row>
    <row r="18" spans="1:11" x14ac:dyDescent="0.25">
      <c r="A18" s="290" t="s">
        <v>191</v>
      </c>
      <c r="B18" s="299">
        <v>3300</v>
      </c>
      <c r="C18" s="299">
        <f>B18</f>
        <v>3300</v>
      </c>
      <c r="D18" s="300">
        <f>+B18</f>
        <v>3300</v>
      </c>
      <c r="E18" s="316">
        <v>1603.12</v>
      </c>
      <c r="F18" s="299">
        <f>2.5*E18</f>
        <v>4007.7999999999997</v>
      </c>
      <c r="G18" s="299">
        <f>F18</f>
        <v>4007.7999999999997</v>
      </c>
      <c r="H18" s="36" t="str">
        <f t="shared" ref="H18" si="6">IF(C18&gt;G18,"OUI","")</f>
        <v/>
      </c>
      <c r="I18" s="302">
        <f>IF(H18="OUI",C18,0)</f>
        <v>0</v>
      </c>
      <c r="J18" s="300">
        <f>I18</f>
        <v>0</v>
      </c>
      <c r="K18" s="303">
        <f>(D18*7%)+(J18*6%)</f>
        <v>231.00000000000003</v>
      </c>
    </row>
    <row r="19" spans="1:11" x14ac:dyDescent="0.25">
      <c r="A19" s="290" t="s">
        <v>192</v>
      </c>
      <c r="B19" s="299">
        <v>3750</v>
      </c>
      <c r="C19" s="299">
        <f>C18+B19</f>
        <v>7050</v>
      </c>
      <c r="D19" s="300">
        <f t="shared" ref="D19:D22" si="7">+B19</f>
        <v>3750</v>
      </c>
      <c r="E19" s="316">
        <v>1603.12</v>
      </c>
      <c r="F19" s="299">
        <f t="shared" ref="F19:F22" si="8">2.5*E19</f>
        <v>4007.7999999999997</v>
      </c>
      <c r="G19" s="299">
        <f t="shared" ref="G19:G22" si="9">G18+F19</f>
        <v>8015.5999999999995</v>
      </c>
      <c r="H19" s="36" t="str">
        <f>IF(C19&gt;G19,"OUI","")</f>
        <v/>
      </c>
      <c r="I19" s="302">
        <f>IF(H19="OUI",C19,0)</f>
        <v>0</v>
      </c>
      <c r="J19" s="300">
        <f>I19-I18</f>
        <v>0</v>
      </c>
      <c r="K19" s="303">
        <f t="shared" ref="K19:K22" si="10">(D19*7%)+(J19*6%)</f>
        <v>262.5</v>
      </c>
    </row>
    <row r="20" spans="1:11" x14ac:dyDescent="0.25">
      <c r="A20" s="290" t="s">
        <v>193</v>
      </c>
      <c r="B20" s="299">
        <v>3550</v>
      </c>
      <c r="C20" s="299">
        <f t="shared" ref="C20:C22" si="11">C19+B20</f>
        <v>10600</v>
      </c>
      <c r="D20" s="300">
        <f t="shared" si="7"/>
        <v>3550</v>
      </c>
      <c r="E20" s="316">
        <v>1603.12</v>
      </c>
      <c r="F20" s="299">
        <f t="shared" si="8"/>
        <v>4007.7999999999997</v>
      </c>
      <c r="G20" s="299">
        <f t="shared" si="9"/>
        <v>12023.4</v>
      </c>
      <c r="H20" s="36" t="str">
        <f t="shared" ref="H20:H22" si="12">IF(C20&gt;G20,"OUI","")</f>
        <v/>
      </c>
      <c r="I20" s="302">
        <f t="shared" ref="I20:I22" si="13">IF(H20="OUI",C20,0)</f>
        <v>0</v>
      </c>
      <c r="J20" s="300">
        <f t="shared" ref="J20:J22" si="14">I20-I19</f>
        <v>0</v>
      </c>
      <c r="K20" s="303">
        <f t="shared" si="10"/>
        <v>248.50000000000003</v>
      </c>
    </row>
    <row r="21" spans="1:11" x14ac:dyDescent="0.25">
      <c r="A21" s="290" t="s">
        <v>194</v>
      </c>
      <c r="B21" s="299">
        <v>4700</v>
      </c>
      <c r="C21" s="299">
        <f t="shared" si="11"/>
        <v>15300</v>
      </c>
      <c r="D21" s="300">
        <f t="shared" si="7"/>
        <v>4700</v>
      </c>
      <c r="E21" s="316">
        <v>1603.12</v>
      </c>
      <c r="F21" s="299">
        <f t="shared" si="8"/>
        <v>4007.7999999999997</v>
      </c>
      <c r="G21" s="299">
        <f t="shared" si="9"/>
        <v>16031.199999999999</v>
      </c>
      <c r="H21" s="36" t="str">
        <f t="shared" si="12"/>
        <v/>
      </c>
      <c r="I21" s="302">
        <f t="shared" si="13"/>
        <v>0</v>
      </c>
      <c r="J21" s="300">
        <f t="shared" si="14"/>
        <v>0</v>
      </c>
      <c r="K21" s="303">
        <f t="shared" si="10"/>
        <v>329.00000000000006</v>
      </c>
    </row>
    <row r="22" spans="1:11" x14ac:dyDescent="0.25">
      <c r="A22" s="290" t="s">
        <v>195</v>
      </c>
      <c r="B22" s="299">
        <f t="shared" ref="B22" si="15">+B11</f>
        <v>2566.1294047619044</v>
      </c>
      <c r="C22" s="299">
        <f t="shared" si="11"/>
        <v>17866.129404761905</v>
      </c>
      <c r="D22" s="300">
        <f t="shared" si="7"/>
        <v>2566.1294047619044</v>
      </c>
      <c r="E22" s="316">
        <f>10.85*116.66667</f>
        <v>1265.8333694999999</v>
      </c>
      <c r="F22" s="299">
        <f t="shared" si="8"/>
        <v>3164.5834237499998</v>
      </c>
      <c r="G22" s="299">
        <f t="shared" si="9"/>
        <v>19195.783423749999</v>
      </c>
      <c r="H22" s="36" t="str">
        <f t="shared" si="12"/>
        <v/>
      </c>
      <c r="I22" s="302">
        <f t="shared" si="13"/>
        <v>0</v>
      </c>
      <c r="J22" s="300">
        <f t="shared" si="14"/>
        <v>0</v>
      </c>
      <c r="K22" s="303">
        <f t="shared" si="10"/>
        <v>179.62905833333332</v>
      </c>
    </row>
    <row r="23" spans="1:11" x14ac:dyDescent="0.25">
      <c r="A23" s="332"/>
      <c r="B23" s="335"/>
      <c r="C23" s="335"/>
      <c r="D23" s="336"/>
      <c r="E23" s="337" t="s">
        <v>297</v>
      </c>
      <c r="F23" s="335"/>
      <c r="G23" s="335"/>
      <c r="H23" s="338"/>
      <c r="I23" s="339"/>
      <c r="J23" s="336"/>
    </row>
    <row r="25" spans="1:11" ht="23.25" hidden="1" x14ac:dyDescent="0.25">
      <c r="A25" s="293" t="s">
        <v>204</v>
      </c>
      <c r="B25" s="286"/>
      <c r="C25" s="286"/>
      <c r="D25" s="286"/>
      <c r="E25" s="286"/>
      <c r="F25" s="286"/>
      <c r="G25" s="286"/>
      <c r="H25" s="286"/>
    </row>
    <row r="26" spans="1:11" hidden="1" x14ac:dyDescent="0.25"/>
    <row r="27" spans="1:11" ht="15.75" hidden="1" thickBot="1" x14ac:dyDescent="0.3"/>
    <row r="28" spans="1:11" s="304" customFormat="1" ht="45" hidden="1" x14ac:dyDescent="0.25">
      <c r="A28" s="294"/>
      <c r="B28" s="295" t="s">
        <v>136</v>
      </c>
      <c r="C28" s="295" t="s">
        <v>185</v>
      </c>
      <c r="D28" s="296" t="s">
        <v>205</v>
      </c>
      <c r="E28" s="296" t="s">
        <v>162</v>
      </c>
      <c r="F28" s="296" t="s">
        <v>206</v>
      </c>
      <c r="G28" s="296" t="s">
        <v>207</v>
      </c>
      <c r="H28" s="235" t="s">
        <v>208</v>
      </c>
      <c r="I28" s="296" t="s">
        <v>209</v>
      </c>
      <c r="J28" s="297" t="s">
        <v>210</v>
      </c>
      <c r="K28" s="298" t="s">
        <v>203</v>
      </c>
    </row>
    <row r="29" spans="1:11" ht="21.75" hidden="1" customHeight="1" x14ac:dyDescent="0.25">
      <c r="A29" s="290" t="s">
        <v>191</v>
      </c>
      <c r="B29" s="299">
        <f>+B18</f>
        <v>3300</v>
      </c>
      <c r="C29" s="299">
        <f>B29</f>
        <v>3300</v>
      </c>
      <c r="D29" s="300">
        <f>+B29</f>
        <v>3300</v>
      </c>
      <c r="E29" s="316">
        <f>10.85*151.66667</f>
        <v>1645.5833695000001</v>
      </c>
      <c r="F29" s="299">
        <f>3.5*E29</f>
        <v>5759.5417932500004</v>
      </c>
      <c r="G29" s="299">
        <f>F29</f>
        <v>5759.5417932500004</v>
      </c>
      <c r="H29" s="36" t="str">
        <f>IF(C29&gt;G29,"OUI","")</f>
        <v/>
      </c>
      <c r="I29" s="302">
        <f>IF(H29="OUI",C29,0)</f>
        <v>0</v>
      </c>
      <c r="J29" s="300">
        <f>I29</f>
        <v>0</v>
      </c>
      <c r="K29" s="303">
        <f>(D29*3.45%)+(J29*1.8%)</f>
        <v>113.85000000000001</v>
      </c>
    </row>
    <row r="30" spans="1:11" ht="21.75" hidden="1" customHeight="1" x14ac:dyDescent="0.25">
      <c r="A30" s="290" t="s">
        <v>192</v>
      </c>
      <c r="B30" s="299">
        <f t="shared" ref="B30:B33" si="16">+B19</f>
        <v>3750</v>
      </c>
      <c r="C30" s="299">
        <f>C29+B30</f>
        <v>7050</v>
      </c>
      <c r="D30" s="300">
        <f t="shared" ref="D30:D33" si="17">B30</f>
        <v>3750</v>
      </c>
      <c r="E30" s="316">
        <f t="shared" ref="E30:E33" si="18">10.85*151.66667</f>
        <v>1645.5833695000001</v>
      </c>
      <c r="F30" s="299">
        <f t="shared" ref="F30:F33" si="19">3.5*E30</f>
        <v>5759.5417932500004</v>
      </c>
      <c r="G30" s="299">
        <f t="shared" ref="G30:G33" si="20">G29+F30</f>
        <v>11519.083586500001</v>
      </c>
      <c r="H30" s="36" t="str">
        <f t="shared" ref="H30:H33" si="21">IF(C30&gt;G30,"OUI","")</f>
        <v/>
      </c>
      <c r="I30" s="302">
        <f>IF(H30="OUI",C30,0)</f>
        <v>0</v>
      </c>
      <c r="J30" s="300">
        <f>I30-I29</f>
        <v>0</v>
      </c>
      <c r="K30" s="303">
        <f t="shared" ref="K30:K33" si="22">(D30*3.45%)+(J30*1.8%)</f>
        <v>129.375</v>
      </c>
    </row>
    <row r="31" spans="1:11" ht="21.75" hidden="1" customHeight="1" x14ac:dyDescent="0.25">
      <c r="A31" s="290" t="s">
        <v>193</v>
      </c>
      <c r="B31" s="299">
        <f t="shared" si="16"/>
        <v>3550</v>
      </c>
      <c r="C31" s="299">
        <f t="shared" ref="C31:C33" si="23">C30+B31</f>
        <v>10600</v>
      </c>
      <c r="D31" s="300">
        <f t="shared" si="17"/>
        <v>3550</v>
      </c>
      <c r="E31" s="316">
        <f t="shared" si="18"/>
        <v>1645.5833695000001</v>
      </c>
      <c r="F31" s="299">
        <f t="shared" si="19"/>
        <v>5759.5417932500004</v>
      </c>
      <c r="G31" s="299">
        <f t="shared" si="20"/>
        <v>17278.625379750003</v>
      </c>
      <c r="H31" s="36" t="str">
        <f t="shared" si="21"/>
        <v/>
      </c>
      <c r="I31" s="302">
        <f t="shared" ref="I31:I33" si="24">IF(H31="OUI",C31,0)</f>
        <v>0</v>
      </c>
      <c r="J31" s="300">
        <f t="shared" ref="J31:J33" si="25">I31-I30</f>
        <v>0</v>
      </c>
      <c r="K31" s="303">
        <f t="shared" si="22"/>
        <v>122.47500000000001</v>
      </c>
    </row>
    <row r="32" spans="1:11" ht="21.75" hidden="1" customHeight="1" x14ac:dyDescent="0.25">
      <c r="A32" s="290" t="s">
        <v>194</v>
      </c>
      <c r="B32" s="299">
        <f t="shared" si="16"/>
        <v>4700</v>
      </c>
      <c r="C32" s="299">
        <f t="shared" si="23"/>
        <v>15300</v>
      </c>
      <c r="D32" s="300">
        <f t="shared" si="17"/>
        <v>4700</v>
      </c>
      <c r="E32" s="316">
        <f t="shared" si="18"/>
        <v>1645.5833695000001</v>
      </c>
      <c r="F32" s="299">
        <f t="shared" si="19"/>
        <v>5759.5417932500004</v>
      </c>
      <c r="G32" s="299">
        <f t="shared" si="20"/>
        <v>23038.167173000002</v>
      </c>
      <c r="H32" s="36" t="str">
        <f t="shared" si="21"/>
        <v/>
      </c>
      <c r="I32" s="302">
        <f t="shared" si="24"/>
        <v>0</v>
      </c>
      <c r="J32" s="300">
        <f t="shared" si="25"/>
        <v>0</v>
      </c>
      <c r="K32" s="303">
        <f t="shared" si="22"/>
        <v>162.15</v>
      </c>
    </row>
    <row r="33" spans="1:11" ht="21.75" hidden="1" customHeight="1" x14ac:dyDescent="0.25">
      <c r="A33" s="290" t="s">
        <v>195</v>
      </c>
      <c r="B33" s="299">
        <f t="shared" si="16"/>
        <v>2566.1294047619044</v>
      </c>
      <c r="C33" s="299">
        <f t="shared" si="23"/>
        <v>17866.129404761905</v>
      </c>
      <c r="D33" s="300">
        <f t="shared" si="17"/>
        <v>2566.1294047619044</v>
      </c>
      <c r="E33" s="316">
        <f t="shared" si="18"/>
        <v>1645.5833695000001</v>
      </c>
      <c r="F33" s="299">
        <f t="shared" si="19"/>
        <v>5759.5417932500004</v>
      </c>
      <c r="G33" s="299">
        <f t="shared" si="20"/>
        <v>28797.70896625</v>
      </c>
      <c r="H33" s="36" t="str">
        <f t="shared" si="21"/>
        <v/>
      </c>
      <c r="I33" s="302">
        <f t="shared" si="24"/>
        <v>0</v>
      </c>
      <c r="J33" s="300">
        <f t="shared" si="25"/>
        <v>0</v>
      </c>
      <c r="K33" s="303">
        <f t="shared" si="22"/>
        <v>88.531464464285705</v>
      </c>
    </row>
    <row r="34" spans="1:11" ht="21.75" hidden="1" customHeight="1" x14ac:dyDescent="0.25">
      <c r="A34" s="332"/>
      <c r="B34" s="335"/>
      <c r="C34" s="335"/>
      <c r="D34" s="336"/>
      <c r="E34" s="340"/>
      <c r="F34" s="335"/>
      <c r="G34" s="335"/>
      <c r="H34" s="338"/>
      <c r="I34" s="339"/>
    </row>
    <row r="35" spans="1:11" ht="21" hidden="1" x14ac:dyDescent="0.25">
      <c r="A35" s="448" t="s">
        <v>211</v>
      </c>
      <c r="B35" s="449"/>
      <c r="C35" s="449"/>
      <c r="D35" s="449"/>
      <c r="E35" s="449"/>
      <c r="F35" s="449"/>
      <c r="G35" s="449"/>
      <c r="H35" s="449"/>
      <c r="I35" s="305"/>
    </row>
    <row r="36" spans="1:11" ht="21" hidden="1" customHeight="1" thickBot="1" x14ac:dyDescent="0.3">
      <c r="A36" s="230" t="s">
        <v>158</v>
      </c>
      <c r="B36" s="306">
        <v>0.31950000000000001</v>
      </c>
    </row>
    <row r="37" spans="1:11" hidden="1" x14ac:dyDescent="0.25"/>
    <row r="38" spans="1:11" ht="30" hidden="1" x14ac:dyDescent="0.25">
      <c r="A38" s="3" t="s">
        <v>159</v>
      </c>
      <c r="B38" s="233" t="s">
        <v>160</v>
      </c>
      <c r="C38" s="233" t="s">
        <v>161</v>
      </c>
      <c r="D38" s="296" t="s">
        <v>162</v>
      </c>
      <c r="E38" s="235" t="s">
        <v>163</v>
      </c>
      <c r="F38" s="235" t="s">
        <v>164</v>
      </c>
      <c r="G38" s="235" t="s">
        <v>165</v>
      </c>
      <c r="H38" s="235" t="s">
        <v>166</v>
      </c>
      <c r="I38" s="1" t="s">
        <v>212</v>
      </c>
    </row>
    <row r="39" spans="1:11" ht="21" hidden="1" customHeight="1" x14ac:dyDescent="0.25">
      <c r="A39" s="290" t="s">
        <v>191</v>
      </c>
      <c r="B39" s="307">
        <v>1700</v>
      </c>
      <c r="C39" s="308">
        <f>B39</f>
        <v>1700</v>
      </c>
      <c r="D39" s="301">
        <v>1603.12</v>
      </c>
      <c r="E39" s="307">
        <f>+D39</f>
        <v>1603.12</v>
      </c>
      <c r="F39" s="309">
        <f>ROUND(($B$36/0.6)*((1.6*E39/C39)-1),4)</f>
        <v>0.27089999999999997</v>
      </c>
      <c r="G39" s="308">
        <f>IF(F39&gt;0,F39*C39,0)</f>
        <v>460.53</v>
      </c>
      <c r="H39" s="310">
        <f>G39</f>
        <v>460.53</v>
      </c>
      <c r="I39" s="5" t="str">
        <f>IF(F39&gt;$B$36,"ERREUR","")</f>
        <v/>
      </c>
    </row>
    <row r="40" spans="1:11" ht="21" hidden="1" customHeight="1" x14ac:dyDescent="0.25">
      <c r="A40" s="290" t="s">
        <v>192</v>
      </c>
      <c r="B40" s="307">
        <v>3000</v>
      </c>
      <c r="C40" s="308">
        <f>C39+B40</f>
        <v>4700</v>
      </c>
      <c r="D40" s="311">
        <f>156.67*10.57</f>
        <v>1656.0019</v>
      </c>
      <c r="E40" s="307">
        <f>D40+E39</f>
        <v>3259.1219000000001</v>
      </c>
      <c r="F40" s="309">
        <f>ROUND(($B$36/0.6)*((1.6*E40/C40)-1),4)</f>
        <v>5.8299999999999998E-2</v>
      </c>
      <c r="G40" s="308">
        <f t="shared" ref="G40:G43" si="26">IF(F40&gt;0,F40*C40,0)</f>
        <v>274.01</v>
      </c>
      <c r="H40" s="310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90" t="s">
        <v>193</v>
      </c>
      <c r="B41" s="307"/>
      <c r="C41" s="308">
        <f t="shared" ref="C41:C43" si="27">C40+B41</f>
        <v>4700</v>
      </c>
      <c r="D41" s="301">
        <v>1603.12</v>
      </c>
      <c r="E41" s="307">
        <f t="shared" ref="E41:E43" si="28">D41+E40</f>
        <v>4862.2419</v>
      </c>
      <c r="F41" s="309">
        <f>ROUND(($B$36/0.6)*((1.6*E41/C41)-1),4)</f>
        <v>0.34889999999999999</v>
      </c>
      <c r="G41" s="312">
        <f t="shared" si="26"/>
        <v>1639.83</v>
      </c>
      <c r="H41" s="310">
        <f t="shared" ref="H41:H43" si="29">G41-G40</f>
        <v>1365.82</v>
      </c>
      <c r="I41" s="5" t="str">
        <f>IF(F41&gt;$B$36,"ERREUR","")</f>
        <v>ERREUR</v>
      </c>
    </row>
    <row r="42" spans="1:11" ht="21" hidden="1" customHeight="1" thickBot="1" x14ac:dyDescent="0.3">
      <c r="A42" s="290" t="s">
        <v>194</v>
      </c>
      <c r="B42" s="307"/>
      <c r="C42" s="308">
        <f t="shared" si="27"/>
        <v>4700</v>
      </c>
      <c r="D42" s="301">
        <v>1603.12</v>
      </c>
      <c r="E42" s="307">
        <f t="shared" si="28"/>
        <v>6465.3618999999999</v>
      </c>
      <c r="F42" s="309">
        <f>ROUND(($B$36/0.6)*((1.6*E42/C42)-1),4)</f>
        <v>0.63949999999999996</v>
      </c>
      <c r="G42" s="308">
        <f t="shared" si="26"/>
        <v>3005.6499999999996</v>
      </c>
      <c r="H42" s="310">
        <f t="shared" si="29"/>
        <v>1365.8199999999997</v>
      </c>
      <c r="I42" s="5" t="str">
        <f>IF(F42&gt;$B$36,"ERREUR","")</f>
        <v>ERREUR</v>
      </c>
    </row>
    <row r="43" spans="1:11" ht="21" hidden="1" customHeight="1" x14ac:dyDescent="0.25">
      <c r="A43" s="290" t="s">
        <v>195</v>
      </c>
      <c r="B43" s="307"/>
      <c r="C43" s="308">
        <f t="shared" si="27"/>
        <v>4700</v>
      </c>
      <c r="D43" s="301">
        <v>1603.12</v>
      </c>
      <c r="E43" s="307">
        <f t="shared" si="28"/>
        <v>8068.4818999999998</v>
      </c>
      <c r="F43" s="309">
        <f>ROUND(($B$36/0.6)*((1.6*E43/C43)-1),4)</f>
        <v>0.93010000000000004</v>
      </c>
      <c r="G43" s="308">
        <f t="shared" si="26"/>
        <v>4371.47</v>
      </c>
      <c r="H43" s="310">
        <f t="shared" si="29"/>
        <v>1365.8200000000006</v>
      </c>
      <c r="I43" s="5" t="str">
        <f>IF(F43&gt;$B$36,"ERREUR","")</f>
        <v>ERREUR</v>
      </c>
    </row>
    <row r="45" spans="1:11" ht="23.25" x14ac:dyDescent="0.25">
      <c r="A45" s="285" t="s">
        <v>213</v>
      </c>
      <c r="B45" s="286"/>
      <c r="C45" s="286"/>
      <c r="D45" s="286"/>
      <c r="E45" s="286"/>
      <c r="F45" s="286"/>
    </row>
    <row r="47" spans="1:11" ht="18.75" x14ac:dyDescent="0.25">
      <c r="A47" s="287" t="s">
        <v>184</v>
      </c>
      <c r="D47" s="288">
        <v>3428</v>
      </c>
    </row>
    <row r="48" spans="1:11" ht="15.75" thickBot="1" x14ac:dyDescent="0.3"/>
    <row r="49" spans="1:8" ht="30" x14ac:dyDescent="0.25">
      <c r="A49" s="289" t="s">
        <v>159</v>
      </c>
      <c r="B49" s="233" t="s">
        <v>136</v>
      </c>
      <c r="C49" s="233" t="s">
        <v>185</v>
      </c>
      <c r="D49" s="233" t="s">
        <v>186</v>
      </c>
      <c r="E49" s="235" t="s">
        <v>187</v>
      </c>
      <c r="F49" s="233" t="s">
        <v>214</v>
      </c>
      <c r="G49" s="235" t="s">
        <v>215</v>
      </c>
      <c r="H49" s="236" t="s">
        <v>232</v>
      </c>
    </row>
    <row r="50" spans="1:8" ht="26.25" customHeight="1" x14ac:dyDescent="0.25">
      <c r="A50" s="290" t="s">
        <v>191</v>
      </c>
      <c r="B50" s="299">
        <f>+B29</f>
        <v>3300</v>
      </c>
      <c r="C50" s="299">
        <f>B50</f>
        <v>3300</v>
      </c>
      <c r="D50" s="292">
        <v>3428</v>
      </c>
      <c r="E50" s="313">
        <f>D50</f>
        <v>3428</v>
      </c>
      <c r="F50" s="314" t="str">
        <f>IF(E50&gt;C50,"","OUI")</f>
        <v/>
      </c>
      <c r="G50" s="300">
        <f t="shared" ref="G50:G54" si="30">IF(C50&gt;E50,C50,0)</f>
        <v>0</v>
      </c>
      <c r="H50" s="315">
        <f>G50</f>
        <v>0</v>
      </c>
    </row>
    <row r="51" spans="1:8" ht="26.25" customHeight="1" x14ac:dyDescent="0.25">
      <c r="A51" s="290" t="s">
        <v>192</v>
      </c>
      <c r="B51" s="299">
        <f>+B30</f>
        <v>3750</v>
      </c>
      <c r="C51" s="299">
        <f>C50+B51</f>
        <v>7050</v>
      </c>
      <c r="D51" s="292">
        <v>3428</v>
      </c>
      <c r="E51" s="313">
        <f>E50+D51</f>
        <v>6856</v>
      </c>
      <c r="F51" s="314" t="str">
        <f t="shared" ref="F51:F54" si="31">IF(E51&gt;C51,"","OUI")</f>
        <v>OUI</v>
      </c>
      <c r="G51" s="300">
        <f t="shared" si="30"/>
        <v>7050</v>
      </c>
      <c r="H51" s="315">
        <f>G51-G50</f>
        <v>7050</v>
      </c>
    </row>
    <row r="52" spans="1:8" ht="26.25" customHeight="1" x14ac:dyDescent="0.25">
      <c r="A52" s="290" t="s">
        <v>193</v>
      </c>
      <c r="B52" s="299">
        <f>+B31</f>
        <v>3550</v>
      </c>
      <c r="C52" s="299">
        <f t="shared" ref="C52:C54" si="32">C51+B52</f>
        <v>10600</v>
      </c>
      <c r="D52" s="292">
        <v>3428</v>
      </c>
      <c r="E52" s="313">
        <f t="shared" ref="E52:E54" si="33">E51+D52</f>
        <v>10284</v>
      </c>
      <c r="F52" s="314" t="str">
        <f t="shared" si="31"/>
        <v>OUI</v>
      </c>
      <c r="G52" s="300">
        <f t="shared" si="30"/>
        <v>10600</v>
      </c>
      <c r="H52" s="315">
        <f t="shared" ref="H52:H54" si="34">G52-G51</f>
        <v>3550</v>
      </c>
    </row>
    <row r="53" spans="1:8" ht="26.25" customHeight="1" x14ac:dyDescent="0.25">
      <c r="A53" s="290" t="s">
        <v>194</v>
      </c>
      <c r="B53" s="299">
        <f>+B32</f>
        <v>4700</v>
      </c>
      <c r="C53" s="299">
        <f t="shared" si="32"/>
        <v>15300</v>
      </c>
      <c r="D53" s="292">
        <v>3428</v>
      </c>
      <c r="E53" s="313">
        <f t="shared" si="33"/>
        <v>13712</v>
      </c>
      <c r="F53" s="314" t="str">
        <f t="shared" si="31"/>
        <v>OUI</v>
      </c>
      <c r="G53" s="300">
        <f t="shared" si="30"/>
        <v>15300</v>
      </c>
      <c r="H53" s="315">
        <f t="shared" si="34"/>
        <v>4700</v>
      </c>
    </row>
    <row r="54" spans="1:8" ht="26.25" customHeight="1" thickBot="1" x14ac:dyDescent="0.3">
      <c r="A54" s="341" t="s">
        <v>195</v>
      </c>
      <c r="B54" s="342">
        <f>+B33</f>
        <v>2566.1294047619044</v>
      </c>
      <c r="C54" s="342">
        <f t="shared" si="32"/>
        <v>17866.129404761905</v>
      </c>
      <c r="D54" s="343">
        <f>3428*24/31</f>
        <v>2653.9354838709678</v>
      </c>
      <c r="E54" s="344">
        <f t="shared" si="33"/>
        <v>16365.935483870968</v>
      </c>
      <c r="F54" s="345" t="str">
        <f t="shared" si="31"/>
        <v>OUI</v>
      </c>
      <c r="G54" s="346">
        <f t="shared" si="30"/>
        <v>17866.129404761905</v>
      </c>
      <c r="H54" s="347">
        <f t="shared" si="34"/>
        <v>2566.1294047619049</v>
      </c>
    </row>
    <row r="55" spans="1:8" x14ac:dyDescent="0.25">
      <c r="D55" s="232" t="s">
        <v>296</v>
      </c>
    </row>
  </sheetData>
  <mergeCells count="1">
    <mergeCell ref="A35:H3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8BC2-156D-4D52-B71A-9E622A0CD38F}">
  <dimension ref="B1:P165"/>
  <sheetViews>
    <sheetView tabSelected="1" topLeftCell="A60" zoomScale="75" zoomScaleNormal="75" workbookViewId="0">
      <selection activeCell="G77" sqref="G77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4" style="11" bestFit="1" customWidth="1"/>
    <col min="11" max="11" width="21.140625" style="1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2500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10.57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/>
    </row>
    <row r="17" spans="2:16" ht="15.75" thickBot="1" x14ac:dyDescent="0.3">
      <c r="B17" s="45" t="s">
        <v>71</v>
      </c>
      <c r="C17" s="450"/>
      <c r="D17" s="451"/>
      <c r="E17" s="46" t="s">
        <v>72</v>
      </c>
      <c r="F17" s="450"/>
      <c r="G17" s="452"/>
      <c r="I17" s="28" t="s">
        <v>73</v>
      </c>
      <c r="J17" s="323">
        <f>'REGUL WINCKERT'!G11</f>
        <v>2653.9354838709678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47">
        <f>+'REGUL WINCKERT'!H11</f>
        <v>-87.806079109063376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376">
        <v>0.31950000000000001</v>
      </c>
    </row>
    <row r="20" spans="2:16" s="56" customFormat="1" x14ac:dyDescent="0.25">
      <c r="B20" s="19" t="s">
        <v>11</v>
      </c>
      <c r="C20" s="57"/>
      <c r="D20" s="58"/>
      <c r="E20" s="26">
        <f>J3</f>
        <v>2500</v>
      </c>
      <c r="F20" s="59"/>
      <c r="G20" s="60"/>
      <c r="H20" s="11"/>
      <c r="I20" s="61" t="s">
        <v>80</v>
      </c>
      <c r="J20" s="62">
        <v>5.6000000000000001E-2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 t="s">
        <v>264</v>
      </c>
      <c r="C21" s="64"/>
      <c r="D21" s="65"/>
      <c r="E21" s="66">
        <v>600</v>
      </c>
      <c r="F21" s="67"/>
      <c r="G21" s="68"/>
      <c r="I21" s="23" t="s">
        <v>81</v>
      </c>
      <c r="J21" s="72">
        <v>20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/>
      <c r="D22" s="69">
        <f>E20/J5</f>
        <v>17.006802721088434</v>
      </c>
      <c r="E22" s="66">
        <f>-D22*C22</f>
        <v>0</v>
      </c>
      <c r="F22" s="67"/>
      <c r="G22" s="68"/>
      <c r="I22" s="23" t="s">
        <v>83</v>
      </c>
      <c r="J22" s="72">
        <v>22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20.603942770488565</v>
      </c>
      <c r="E24" s="72">
        <f>D24*C24</f>
        <v>0</v>
      </c>
      <c r="F24" s="73"/>
      <c r="G24" s="74"/>
      <c r="I24" s="40" t="s">
        <v>85</v>
      </c>
      <c r="J24" s="70"/>
    </row>
    <row r="25" spans="2:16" ht="16.5" thickBot="1" x14ac:dyDescent="0.3">
      <c r="B25" s="23" t="s">
        <v>66</v>
      </c>
      <c r="C25" s="24">
        <f>J13</f>
        <v>0</v>
      </c>
      <c r="D25" s="71">
        <f>IF($J$4&gt;=151.67,$J$3/151.67*1.5,0)</f>
        <v>24.724731324586276</v>
      </c>
      <c r="E25" s="72">
        <f>D25*C25</f>
        <v>0</v>
      </c>
      <c r="F25" s="73"/>
      <c r="G25" s="76"/>
      <c r="I25" s="4" t="s">
        <v>86</v>
      </c>
      <c r="J25" s="75">
        <v>0.03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87</v>
      </c>
      <c r="J26" s="377">
        <v>1800</v>
      </c>
    </row>
    <row r="27" spans="2:16" x14ac:dyDescent="0.25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/>
      <c r="D29" s="24"/>
      <c r="E29" s="72"/>
      <c r="F29" s="82"/>
      <c r="G29" s="83"/>
      <c r="I29" s="84"/>
      <c r="J29" s="84"/>
      <c r="K29" s="84"/>
      <c r="L29" s="84"/>
      <c r="M29" s="84"/>
      <c r="N29" s="84"/>
    </row>
    <row r="30" spans="2:16" ht="27" x14ac:dyDescent="0.25">
      <c r="B30" s="23" t="s">
        <v>89</v>
      </c>
      <c r="C30" s="81"/>
      <c r="D30" s="24"/>
      <c r="E30" s="72"/>
      <c r="F30" s="82"/>
      <c r="G30" s="83"/>
      <c r="I30" s="84"/>
      <c r="J30" s="84"/>
      <c r="K30" s="84"/>
      <c r="L30" s="84"/>
      <c r="M30" s="84"/>
      <c r="N30" s="84"/>
    </row>
    <row r="31" spans="2:16" ht="27" x14ac:dyDescent="0.25">
      <c r="B31" s="23"/>
      <c r="C31" s="85"/>
      <c r="D31" s="86"/>
      <c r="E31" s="87"/>
      <c r="F31" s="88"/>
      <c r="G31" s="89"/>
      <c r="I31" s="84"/>
      <c r="J31" s="84"/>
      <c r="K31" s="84"/>
      <c r="L31" s="84"/>
      <c r="M31" s="84"/>
      <c r="N31" s="84"/>
    </row>
    <row r="32" spans="2:16" ht="27.75" thickBot="1" x14ac:dyDescent="0.3">
      <c r="B32" s="90" t="s">
        <v>90</v>
      </c>
      <c r="C32" s="473">
        <f>'Calcul maladie WINCKERT'!D8</f>
        <v>5</v>
      </c>
      <c r="D32" s="472">
        <f>'Calcul maladie WINCKERT'!D7</f>
        <v>119.04761904761905</v>
      </c>
      <c r="E32" s="93">
        <f>D32*-C32</f>
        <v>-595.2380952380953</v>
      </c>
      <c r="F32" s="94"/>
      <c r="G32" s="95"/>
      <c r="I32" s="84"/>
      <c r="J32" s="84"/>
      <c r="K32" s="84"/>
      <c r="L32" s="84"/>
      <c r="M32" s="84"/>
      <c r="N32" s="84"/>
    </row>
    <row r="33" spans="2:14" ht="27" x14ac:dyDescent="0.25">
      <c r="B33" s="96" t="s">
        <v>91</v>
      </c>
      <c r="C33" s="97"/>
      <c r="D33" s="98"/>
      <c r="E33" s="99"/>
      <c r="F33" s="100"/>
      <c r="G33" s="101"/>
      <c r="I33" s="84"/>
      <c r="J33" s="84"/>
      <c r="K33" s="84"/>
      <c r="L33" s="84"/>
      <c r="M33" s="84"/>
      <c r="N33" s="84"/>
    </row>
    <row r="34" spans="2:14" ht="27" x14ac:dyDescent="0.25">
      <c r="B34" s="90" t="s">
        <v>28</v>
      </c>
      <c r="C34" s="97"/>
      <c r="D34" s="98"/>
      <c r="E34" s="99"/>
      <c r="F34" s="100"/>
      <c r="G34" s="101"/>
      <c r="I34" s="84"/>
      <c r="J34" s="84"/>
      <c r="K34" s="84"/>
      <c r="L34" s="84"/>
      <c r="M34" s="84"/>
      <c r="N34" s="84"/>
    </row>
    <row r="35" spans="2:14" ht="27" x14ac:dyDescent="0.25">
      <c r="B35" s="96"/>
      <c r="C35" s="97"/>
      <c r="D35" s="98"/>
      <c r="E35" s="99"/>
      <c r="F35" s="100"/>
      <c r="G35" s="101"/>
      <c r="I35" s="84"/>
      <c r="J35" s="84"/>
      <c r="K35" s="84"/>
      <c r="L35" s="84"/>
      <c r="M35" s="84"/>
      <c r="N35" s="84"/>
    </row>
    <row r="36" spans="2:14" ht="27.75" thickBot="1" x14ac:dyDescent="0.3">
      <c r="B36" s="102" t="s">
        <v>92</v>
      </c>
      <c r="C36" s="97">
        <f>'CALCULS DIVERS'!B15</f>
        <v>2045.5833333333333</v>
      </c>
      <c r="D36" s="98">
        <f>J25</f>
        <v>0.03</v>
      </c>
      <c r="E36" s="103">
        <f>C36*D36</f>
        <v>61.367499999999993</v>
      </c>
      <c r="F36" s="100"/>
      <c r="G36" s="101"/>
      <c r="I36" s="84"/>
      <c r="J36" s="84"/>
      <c r="K36" s="84"/>
      <c r="L36" s="84"/>
      <c r="M36" s="84"/>
      <c r="N36" s="84"/>
    </row>
    <row r="37" spans="2:14" ht="28.5" thickTop="1" thickBot="1" x14ac:dyDescent="0.3">
      <c r="B37" s="104" t="s">
        <v>93</v>
      </c>
      <c r="C37" s="105"/>
      <c r="D37" s="106"/>
      <c r="E37" s="107">
        <f>SUM(E20:E36)</f>
        <v>2566.1294047619044</v>
      </c>
      <c r="F37" s="100"/>
      <c r="G37" s="101"/>
      <c r="I37" s="84"/>
      <c r="J37" s="84"/>
      <c r="K37" s="84"/>
      <c r="L37" s="84"/>
      <c r="M37" s="84"/>
      <c r="N37" s="84"/>
    </row>
    <row r="38" spans="2:14" ht="27.75" thickBot="1" x14ac:dyDescent="0.3">
      <c r="B38" s="108"/>
      <c r="C38" s="109"/>
      <c r="D38" s="110"/>
      <c r="E38" s="110"/>
      <c r="F38" s="111"/>
      <c r="G38" s="112"/>
      <c r="I38" s="84"/>
      <c r="J38" s="84"/>
      <c r="K38" s="84"/>
      <c r="L38" s="84"/>
      <c r="M38" s="84"/>
      <c r="N38" s="84"/>
    </row>
    <row r="39" spans="2:14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  <c r="I39" s="84"/>
      <c r="J39" s="84"/>
      <c r="K39" s="84"/>
      <c r="L39" s="84"/>
      <c r="M39" s="84"/>
      <c r="N39" s="84"/>
    </row>
    <row r="40" spans="2:14" ht="27" x14ac:dyDescent="0.25">
      <c r="B40" s="116" t="s">
        <v>99</v>
      </c>
      <c r="C40" s="117"/>
      <c r="D40" s="118"/>
      <c r="E40" s="118"/>
      <c r="F40" s="119"/>
      <c r="G40" s="120"/>
      <c r="I40" s="84"/>
      <c r="J40" s="84"/>
      <c r="K40" s="84"/>
      <c r="L40" s="84"/>
      <c r="M40" s="84"/>
      <c r="N40" s="84"/>
    </row>
    <row r="41" spans="2:14" ht="27" x14ac:dyDescent="0.25">
      <c r="B41" s="121" t="s">
        <v>100</v>
      </c>
      <c r="C41" s="97">
        <f>$E$37</f>
        <v>2566.1294047619044</v>
      </c>
      <c r="D41" s="122"/>
      <c r="E41" s="123"/>
      <c r="F41" s="124">
        <v>7.0000000000000007E-2</v>
      </c>
      <c r="G41" s="328">
        <f>F41*C41</f>
        <v>179.62905833333332</v>
      </c>
      <c r="I41" s="84"/>
      <c r="J41" s="84"/>
      <c r="K41" s="84"/>
      <c r="L41" s="84"/>
      <c r="M41" s="84"/>
      <c r="N41" s="84"/>
    </row>
    <row r="42" spans="2:14" ht="27" x14ac:dyDescent="0.25">
      <c r="B42" s="121" t="s">
        <v>101</v>
      </c>
      <c r="C42" s="97">
        <f>$J$17</f>
        <v>2653.9354838709678</v>
      </c>
      <c r="D42" s="126"/>
      <c r="E42" s="127"/>
      <c r="F42" s="128">
        <f>J24</f>
        <v>0</v>
      </c>
      <c r="G42" s="125">
        <f>F42*C42</f>
        <v>0</v>
      </c>
      <c r="I42" s="84"/>
      <c r="J42" s="84"/>
      <c r="K42" s="84"/>
      <c r="L42" s="84"/>
      <c r="M42" s="84"/>
      <c r="N42" s="84"/>
    </row>
    <row r="43" spans="2:14" ht="27" x14ac:dyDescent="0.25">
      <c r="B43" s="121" t="s">
        <v>102</v>
      </c>
      <c r="C43" s="97">
        <f>$J$18</f>
        <v>-87.806079109063376</v>
      </c>
      <c r="D43" s="126"/>
      <c r="E43" s="127"/>
      <c r="F43" s="128"/>
      <c r="G43" s="125">
        <f>F43*C43</f>
        <v>0</v>
      </c>
      <c r="I43" s="84"/>
      <c r="J43" s="84"/>
      <c r="K43" s="84"/>
      <c r="L43" s="84"/>
      <c r="M43" s="84"/>
      <c r="N43" s="84"/>
    </row>
    <row r="44" spans="2:14" ht="27" x14ac:dyDescent="0.25">
      <c r="B44" s="121" t="s">
        <v>103</v>
      </c>
      <c r="C44" s="97"/>
      <c r="D44" s="126"/>
      <c r="E44" s="127">
        <f>'CALCULS DIVERS'!F7</f>
        <v>20</v>
      </c>
      <c r="F44" s="128"/>
      <c r="G44" s="125">
        <f>'CALCULS DIVERS'!G7</f>
        <v>22</v>
      </c>
      <c r="I44" s="84"/>
      <c r="J44" s="84"/>
      <c r="K44" s="84"/>
      <c r="L44" s="84"/>
      <c r="M44" s="84"/>
      <c r="N44" s="84"/>
    </row>
    <row r="45" spans="2:14" ht="27" x14ac:dyDescent="0.25">
      <c r="B45" s="129" t="s">
        <v>104</v>
      </c>
      <c r="C45" s="97">
        <f>J17+J18</f>
        <v>2566.1294047619044</v>
      </c>
      <c r="E45" s="97"/>
      <c r="F45" s="130">
        <f>J7</f>
        <v>3.5999999999999997E-2</v>
      </c>
      <c r="G45" s="125">
        <f>F45*C45</f>
        <v>92.380658571428555</v>
      </c>
      <c r="I45" s="84"/>
      <c r="J45" s="84"/>
      <c r="K45" s="84"/>
      <c r="L45" s="84"/>
      <c r="M45" s="84"/>
      <c r="N45" s="84"/>
    </row>
    <row r="46" spans="2:14" ht="27" x14ac:dyDescent="0.25">
      <c r="B46" s="116" t="s">
        <v>105</v>
      </c>
      <c r="C46" s="117"/>
      <c r="D46" s="118"/>
      <c r="E46" s="118"/>
      <c r="F46" s="119"/>
      <c r="G46" s="120"/>
      <c r="I46" s="84"/>
      <c r="J46" s="84"/>
      <c r="K46" s="84"/>
      <c r="L46" s="84"/>
      <c r="M46" s="84"/>
      <c r="N46" s="84"/>
    </row>
    <row r="47" spans="2:14" ht="27" x14ac:dyDescent="0.25">
      <c r="B47" s="121" t="s">
        <v>106</v>
      </c>
      <c r="C47" s="97">
        <f>$J$17</f>
        <v>2653.9354838709678</v>
      </c>
      <c r="D47" s="126">
        <v>6.9000000000000006E-2</v>
      </c>
      <c r="E47" s="127">
        <f>D47*C47</f>
        <v>183.12154838709679</v>
      </c>
      <c r="F47" s="128">
        <v>8.5500000000000007E-2</v>
      </c>
      <c r="G47" s="125">
        <f>F47*C47</f>
        <v>226.91148387096777</v>
      </c>
      <c r="I47" s="84"/>
      <c r="J47" s="84"/>
      <c r="K47" s="84"/>
      <c r="L47" s="84"/>
      <c r="M47" s="84"/>
      <c r="N47" s="84"/>
    </row>
    <row r="48" spans="2:14" ht="27" x14ac:dyDescent="0.25">
      <c r="B48" s="121" t="s">
        <v>107</v>
      </c>
      <c r="C48" s="97">
        <f>$E$37</f>
        <v>2566.1294047619044</v>
      </c>
      <c r="D48" s="126">
        <v>4.0000000000000001E-3</v>
      </c>
      <c r="E48" s="127">
        <f t="shared" ref="E48:E51" si="1">D48*C48</f>
        <v>10.264517619047618</v>
      </c>
      <c r="F48" s="128">
        <v>1.9E-2</v>
      </c>
      <c r="G48" s="125">
        <f t="shared" ref="G48:G51" si="2">F48*C48</f>
        <v>48.75645869047618</v>
      </c>
      <c r="I48" s="84"/>
      <c r="J48" s="84"/>
      <c r="K48" s="84"/>
      <c r="L48" s="84"/>
      <c r="M48" s="84"/>
      <c r="N48" s="84"/>
    </row>
    <row r="49" spans="2:14" ht="27" x14ac:dyDescent="0.25">
      <c r="B49" s="121" t="s">
        <v>108</v>
      </c>
      <c r="C49" s="97">
        <f>$J$17</f>
        <v>2653.9354838709678</v>
      </c>
      <c r="D49" s="126">
        <v>4.0099999999999997E-2</v>
      </c>
      <c r="E49" s="127">
        <f t="shared" si="1"/>
        <v>106.4228129032258</v>
      </c>
      <c r="F49" s="128">
        <v>6.0100000000000001E-2</v>
      </c>
      <c r="G49" s="125">
        <f t="shared" si="2"/>
        <v>159.50152258064517</v>
      </c>
      <c r="I49" s="84"/>
      <c r="J49" s="84"/>
      <c r="K49" s="84"/>
      <c r="L49" s="84"/>
      <c r="M49" s="84"/>
      <c r="N49" s="84"/>
    </row>
    <row r="50" spans="2:14" ht="27" x14ac:dyDescent="0.25">
      <c r="B50" s="121" t="s">
        <v>109</v>
      </c>
      <c r="C50" s="97">
        <f>+J18</f>
        <v>-87.806079109063376</v>
      </c>
      <c r="D50" s="126">
        <v>9.7199999999999995E-2</v>
      </c>
      <c r="E50" s="127">
        <f t="shared" si="1"/>
        <v>-8.5347508894009589</v>
      </c>
      <c r="F50" s="128">
        <v>0.1457</v>
      </c>
      <c r="G50" s="125">
        <f t="shared" si="2"/>
        <v>-12.793345726190534</v>
      </c>
      <c r="I50" s="84"/>
      <c r="J50" s="84"/>
      <c r="K50" s="84"/>
      <c r="L50" s="84"/>
      <c r="M50" s="84"/>
      <c r="N50" s="84"/>
    </row>
    <row r="51" spans="2:14" ht="27" x14ac:dyDescent="0.25">
      <c r="B51" s="121" t="s">
        <v>110</v>
      </c>
      <c r="C51" s="97">
        <f>E37</f>
        <v>2566.1294047619044</v>
      </c>
      <c r="D51" s="126">
        <v>1.4E-3</v>
      </c>
      <c r="E51" s="127">
        <f t="shared" si="1"/>
        <v>3.5925811666666663</v>
      </c>
      <c r="F51" s="128">
        <v>2.0999999999999999E-3</v>
      </c>
      <c r="G51" s="125">
        <f t="shared" si="2"/>
        <v>5.388871749999999</v>
      </c>
      <c r="I51" s="84"/>
      <c r="J51" s="84"/>
      <c r="K51" s="84"/>
      <c r="L51" s="84"/>
      <c r="M51" s="84"/>
      <c r="N51" s="84"/>
    </row>
    <row r="52" spans="2:14" x14ac:dyDescent="0.25">
      <c r="B52" s="121" t="s">
        <v>111</v>
      </c>
      <c r="C52" s="97"/>
      <c r="D52" s="126"/>
      <c r="E52" s="127"/>
      <c r="F52" s="128"/>
      <c r="G52" s="125"/>
    </row>
    <row r="53" spans="2:14" x14ac:dyDescent="0.25">
      <c r="B53" s="116" t="s">
        <v>112</v>
      </c>
      <c r="C53" s="97">
        <f>$E$37</f>
        <v>2566.1294047619044</v>
      </c>
      <c r="D53" s="131"/>
      <c r="E53" s="97"/>
      <c r="F53" s="128">
        <v>3.4500000000000003E-2</v>
      </c>
      <c r="G53" s="327">
        <f>F53*C53</f>
        <v>88.531464464285705</v>
      </c>
    </row>
    <row r="54" spans="2:14" x14ac:dyDescent="0.25">
      <c r="B54" s="116" t="s">
        <v>113</v>
      </c>
      <c r="C54" s="97"/>
      <c r="D54" s="131"/>
      <c r="E54" s="97"/>
      <c r="F54" s="133"/>
      <c r="G54" s="125"/>
    </row>
    <row r="55" spans="2:14" x14ac:dyDescent="0.25">
      <c r="B55" s="121" t="s">
        <v>114</v>
      </c>
      <c r="C55" s="97">
        <f>E37</f>
        <v>2566.1294047619044</v>
      </c>
      <c r="D55" s="131"/>
      <c r="E55" s="97"/>
      <c r="F55" s="134">
        <v>4.2000000000000003E-2</v>
      </c>
      <c r="G55" s="125">
        <f t="shared" ref="G55" si="3">F55*C55</f>
        <v>107.777435</v>
      </c>
    </row>
    <row r="56" spans="2:14" x14ac:dyDescent="0.25">
      <c r="B56" s="121" t="s">
        <v>115</v>
      </c>
      <c r="C56" s="97"/>
      <c r="D56" s="135">
        <v>2.4000000000000001E-4</v>
      </c>
      <c r="E56" s="136">
        <f>D56*C56</f>
        <v>0</v>
      </c>
      <c r="F56" s="133">
        <v>3.6000000000000002E-4</v>
      </c>
      <c r="G56" s="137">
        <f>C56*F56</f>
        <v>0</v>
      </c>
    </row>
    <row r="57" spans="2:14" x14ac:dyDescent="0.25">
      <c r="B57" s="116" t="s">
        <v>116</v>
      </c>
      <c r="C57" s="97"/>
      <c r="D57" s="131"/>
      <c r="E57" s="97"/>
      <c r="F57" s="133"/>
      <c r="G57" s="125">
        <f>E103</f>
        <v>41.915715376728109</v>
      </c>
    </row>
    <row r="58" spans="2:14" x14ac:dyDescent="0.25">
      <c r="B58" s="129"/>
      <c r="C58" s="97"/>
      <c r="D58" s="97"/>
      <c r="E58" s="97"/>
      <c r="F58" s="97"/>
      <c r="G58" s="138"/>
    </row>
    <row r="59" spans="2:14" ht="25.5" x14ac:dyDescent="0.25">
      <c r="B59" s="139" t="s">
        <v>117</v>
      </c>
      <c r="C59" s="97"/>
      <c r="D59" s="97"/>
      <c r="E59" s="97"/>
      <c r="F59" s="97"/>
      <c r="G59" s="138"/>
    </row>
    <row r="60" spans="2:14" x14ac:dyDescent="0.25">
      <c r="B60" s="129"/>
      <c r="C60" s="97"/>
      <c r="D60" s="135"/>
      <c r="E60" s="97"/>
      <c r="F60" s="140"/>
      <c r="G60" s="125"/>
    </row>
    <row r="61" spans="2:14" x14ac:dyDescent="0.25">
      <c r="B61" s="129" t="s">
        <v>118</v>
      </c>
      <c r="C61" s="97">
        <f>(E37-E24-E25-E26-E27)*0.9825+G42+G43+G44</f>
        <v>2543.2221401785714</v>
      </c>
      <c r="D61" s="126">
        <v>6.8000000000000005E-2</v>
      </c>
      <c r="E61" s="127">
        <f>D61*C61</f>
        <v>172.93910553214286</v>
      </c>
      <c r="F61" s="128"/>
      <c r="G61" s="125"/>
    </row>
    <row r="62" spans="2:14" x14ac:dyDescent="0.25">
      <c r="B62" s="129" t="s">
        <v>119</v>
      </c>
      <c r="C62" s="97">
        <f>C61</f>
        <v>2543.2221401785714</v>
      </c>
      <c r="D62" s="126">
        <v>2.9000000000000001E-2</v>
      </c>
      <c r="E62" s="127">
        <f>D62*C62</f>
        <v>73.753442065178575</v>
      </c>
      <c r="F62" s="128"/>
      <c r="G62" s="125"/>
    </row>
    <row r="63" spans="2:14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14" x14ac:dyDescent="0.25">
      <c r="B64" s="141" t="s">
        <v>121</v>
      </c>
      <c r="C64" s="126"/>
      <c r="D64" s="126"/>
      <c r="E64" s="127"/>
      <c r="F64" s="128"/>
      <c r="G64" s="138">
        <f>-I124</f>
        <v>0</v>
      </c>
    </row>
    <row r="65" spans="2:7" ht="32.25" customHeight="1" x14ac:dyDescent="0.25">
      <c r="B65" s="141" t="s">
        <v>122</v>
      </c>
      <c r="C65" s="142">
        <f>E24+E25+E26+E27</f>
        <v>0</v>
      </c>
      <c r="D65" s="126">
        <v>-0.11310000000000001</v>
      </c>
      <c r="E65" s="127">
        <f>D65*C65</f>
        <v>0</v>
      </c>
      <c r="F65" s="128"/>
      <c r="G65" s="125"/>
    </row>
    <row r="66" spans="2:7" ht="21.75" customHeight="1" thickBot="1" x14ac:dyDescent="0.3">
      <c r="B66" s="143" t="s">
        <v>123</v>
      </c>
      <c r="C66" s="144">
        <f>IF(AND(J4=151.67,J6&lt;20),C24+C25,0)</f>
        <v>0</v>
      </c>
      <c r="D66" s="145"/>
      <c r="E66" s="146"/>
      <c r="F66" s="147">
        <v>-1.5</v>
      </c>
      <c r="G66" s="148">
        <f>F66*C66</f>
        <v>0</v>
      </c>
    </row>
    <row r="67" spans="2:7" ht="15.75" thickBot="1" x14ac:dyDescent="0.3">
      <c r="B67" s="149" t="s">
        <v>124</v>
      </c>
      <c r="C67" s="150"/>
      <c r="D67" s="151"/>
      <c r="E67" s="152">
        <f>SUM(E41:E66)</f>
        <v>561.55925678395727</v>
      </c>
      <c r="F67" s="153"/>
      <c r="G67" s="154">
        <f>SUM(G41:G66)</f>
        <v>959.99932291167431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127"/>
      <c r="D72" s="161"/>
      <c r="E72" s="166"/>
      <c r="F72" s="163"/>
      <c r="G72" s="164"/>
    </row>
    <row r="73" spans="2:7" x14ac:dyDescent="0.25">
      <c r="B73" s="167" t="s">
        <v>263</v>
      </c>
      <c r="C73" s="371"/>
      <c r="D73" s="378">
        <v>0.5</v>
      </c>
      <c r="E73" s="169">
        <f>C73*D73</f>
        <v>0</v>
      </c>
      <c r="F73" s="170"/>
      <c r="G73" s="164"/>
    </row>
    <row r="74" spans="2:7" x14ac:dyDescent="0.25">
      <c r="B74" s="171" t="s">
        <v>219</v>
      </c>
      <c r="C74" s="127"/>
      <c r="D74" s="161"/>
      <c r="E74" s="172"/>
      <c r="F74" s="163"/>
      <c r="G74" s="164"/>
    </row>
    <row r="75" spans="2:7" ht="15.75" thickBot="1" x14ac:dyDescent="0.3">
      <c r="B75" s="143"/>
      <c r="C75" s="146"/>
      <c r="D75" s="173"/>
      <c r="E75" s="174"/>
      <c r="F75" s="175"/>
      <c r="G75" s="148"/>
    </row>
    <row r="76" spans="2:7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2004.5701479779473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>
        <f>E110</f>
        <v>37.598299866964275</v>
      </c>
    </row>
    <row r="78" spans="2:7" x14ac:dyDescent="0.25">
      <c r="B78" s="390" t="s">
        <v>132</v>
      </c>
      <c r="C78" s="390" t="s">
        <v>133</v>
      </c>
      <c r="D78" s="390" t="s">
        <v>96</v>
      </c>
      <c r="E78" s="391" t="s">
        <v>134</v>
      </c>
      <c r="F78" s="391"/>
      <c r="G78" s="392" t="s">
        <v>267</v>
      </c>
    </row>
    <row r="79" spans="2:7" x14ac:dyDescent="0.25">
      <c r="B79" s="393" t="s">
        <v>268</v>
      </c>
      <c r="C79" s="394"/>
      <c r="D79" s="395"/>
      <c r="E79" s="396">
        <f>E37+G44+E62-E67</f>
        <v>2100.3235900431259</v>
      </c>
      <c r="F79" s="397"/>
      <c r="G79" s="398"/>
    </row>
    <row r="80" spans="2:7" x14ac:dyDescent="0.25">
      <c r="B80" s="393" t="s">
        <v>269</v>
      </c>
      <c r="C80" s="399">
        <f>E79</f>
        <v>2100.3235900431259</v>
      </c>
      <c r="D80" s="400">
        <v>5.6000000000000001E-2</v>
      </c>
      <c r="E80" s="396">
        <f>D80*C80</f>
        <v>117.61812104241505</v>
      </c>
      <c r="F80" s="397"/>
      <c r="G80" s="398"/>
    </row>
    <row r="81" spans="2:7" x14ac:dyDescent="0.25">
      <c r="B81" s="393" t="s">
        <v>270</v>
      </c>
      <c r="C81" s="394"/>
      <c r="D81" s="396"/>
      <c r="E81" s="395"/>
      <c r="F81" s="397"/>
      <c r="G81" s="398"/>
    </row>
    <row r="82" spans="2:7" x14ac:dyDescent="0.25">
      <c r="B82" s="393"/>
      <c r="C82" s="394"/>
      <c r="D82" s="395"/>
      <c r="E82" s="395"/>
      <c r="F82" s="397"/>
      <c r="G82" s="401"/>
    </row>
    <row r="83" spans="2:7" x14ac:dyDescent="0.25">
      <c r="B83" s="402" t="s">
        <v>271</v>
      </c>
      <c r="C83" s="395"/>
      <c r="D83" s="395"/>
      <c r="E83" s="396">
        <f>G76-E80</f>
        <v>1886.9520269355321</v>
      </c>
      <c r="F83" s="397"/>
      <c r="G83" s="398"/>
    </row>
    <row r="84" spans="2:7" x14ac:dyDescent="0.25">
      <c r="B84" s="393" t="s">
        <v>272</v>
      </c>
      <c r="C84" s="395"/>
      <c r="D84" s="395"/>
      <c r="E84" s="396">
        <f>E118</f>
        <v>200.15809357142854</v>
      </c>
      <c r="F84" s="397"/>
      <c r="G84" s="398"/>
    </row>
    <row r="85" spans="2:7" x14ac:dyDescent="0.25">
      <c r="B85" s="393" t="s">
        <v>273</v>
      </c>
      <c r="C85" s="403"/>
      <c r="D85" s="395"/>
      <c r="E85" s="396">
        <f>E37+G67</f>
        <v>3526.1287276735789</v>
      </c>
      <c r="F85" s="397"/>
      <c r="G85" s="398"/>
    </row>
    <row r="86" spans="2:7" ht="15.75" thickBot="1" x14ac:dyDescent="0.3">
      <c r="B86" s="404" t="s">
        <v>138</v>
      </c>
      <c r="C86" s="187"/>
      <c r="D86" s="187"/>
      <c r="E86" s="187"/>
      <c r="F86" s="405"/>
      <c r="G86" s="406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6" t="s">
        <v>116</v>
      </c>
      <c r="C90" s="457"/>
      <c r="D90" s="11"/>
      <c r="E90" s="11"/>
    </row>
    <row r="91" spans="2:7" s="189" customFormat="1" x14ac:dyDescent="0.25">
      <c r="B91" s="190"/>
      <c r="C91" s="191"/>
      <c r="D91" s="458">
        <f>+E37</f>
        <v>2566.1294047619044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9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9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9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9"/>
      <c r="E95" s="195">
        <f t="shared" si="4"/>
        <v>7.6983882142857132</v>
      </c>
    </row>
    <row r="96" spans="2:7" s="189" customFormat="1" x14ac:dyDescent="0.25">
      <c r="B96" s="193" t="s">
        <v>143</v>
      </c>
      <c r="C96" s="194">
        <v>6.7999999999999996E-3</v>
      </c>
      <c r="D96" s="459"/>
      <c r="E96" s="195">
        <f t="shared" si="4"/>
        <v>17.449679952380951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9"/>
      <c r="E97" s="195">
        <f t="shared" si="4"/>
        <v>14.113711726190475</v>
      </c>
    </row>
    <row r="98" spans="2:5" s="189" customFormat="1" x14ac:dyDescent="0.25">
      <c r="B98" s="193"/>
      <c r="C98" s="194">
        <f>IF(J6&lt;=50,0,0.45%)</f>
        <v>0</v>
      </c>
      <c r="D98" s="459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2653.9354838709678</v>
      </c>
      <c r="D101" s="200">
        <v>1E-3</v>
      </c>
      <c r="E101" s="201">
        <f>D101*C101</f>
        <v>2.6539354838709679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41.915715376728109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60" t="s">
        <v>148</v>
      </c>
      <c r="C105" s="461"/>
      <c r="D105" s="461"/>
      <c r="E105" s="462"/>
    </row>
    <row r="106" spans="2:5" s="189" customFormat="1" x14ac:dyDescent="0.25">
      <c r="B106" s="205" t="s">
        <v>149</v>
      </c>
      <c r="C106" s="206">
        <f>E37</f>
        <v>2566.1294047619044</v>
      </c>
      <c r="D106" s="207">
        <v>2.4E-2</v>
      </c>
      <c r="E106" s="208">
        <f>D106*C106</f>
        <v>61.587105714285705</v>
      </c>
    </row>
    <row r="107" spans="2:5" s="189" customFormat="1" x14ac:dyDescent="0.25">
      <c r="B107" s="209" t="s">
        <v>17</v>
      </c>
      <c r="C107" s="206">
        <f>C106</f>
        <v>2566.1294047619044</v>
      </c>
      <c r="D107" s="210">
        <v>7.4999999999999997E-3</v>
      </c>
      <c r="E107" s="211">
        <f t="shared" ref="E107:E108" si="5">D107*C107</f>
        <v>19.245970535714282</v>
      </c>
    </row>
    <row r="108" spans="2:5" s="189" customFormat="1" x14ac:dyDescent="0.25">
      <c r="B108" s="209" t="s">
        <v>150</v>
      </c>
      <c r="C108" s="206">
        <f>C61+C63</f>
        <v>2543.2221401785714</v>
      </c>
      <c r="D108" s="210">
        <v>-1.7000000000000001E-2</v>
      </c>
      <c r="E108" s="211">
        <f t="shared" si="5"/>
        <v>-43.234776383035715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37.598299866964275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60" t="s">
        <v>152</v>
      </c>
      <c r="C113" s="461"/>
      <c r="D113" s="461"/>
      <c r="E113" s="462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>
        <f>C66</f>
        <v>0</v>
      </c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f>C41</f>
        <v>2566.1294047619044</v>
      </c>
      <c r="D116" s="210">
        <v>1.7999999999999999E-2</v>
      </c>
      <c r="E116" s="225">
        <f>D116*C116</f>
        <v>46.190329285714277</v>
      </c>
    </row>
    <row r="117" spans="2:9" s="189" customFormat="1" ht="15.75" customHeight="1" x14ac:dyDescent="0.25">
      <c r="B117" s="222" t="s">
        <v>156</v>
      </c>
      <c r="C117" s="226">
        <f>C116</f>
        <v>2566.1294047619044</v>
      </c>
      <c r="D117" s="210">
        <v>0.06</v>
      </c>
      <c r="E117" s="225">
        <f>D117*C117</f>
        <v>153.96776428571425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200.15809357142854</v>
      </c>
    </row>
    <row r="121" spans="2:9" ht="15.75" hidden="1" thickBot="1" x14ac:dyDescent="0.3">
      <c r="B121" s="230" t="s">
        <v>158</v>
      </c>
      <c r="C121" s="231">
        <f>J19</f>
        <v>0.31950000000000001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3" t="s">
        <v>168</v>
      </c>
      <c r="C127" s="464"/>
      <c r="D127" s="464"/>
      <c r="E127" s="464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5" t="s">
        <v>179</v>
      </c>
      <c r="E134" s="465"/>
      <c r="F134" s="466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hidden="1" x14ac:dyDescent="0.25">
      <c r="B138" s="463" t="s">
        <v>9</v>
      </c>
      <c r="C138" s="464"/>
      <c r="D138" s="464"/>
      <c r="E138" s="464"/>
    </row>
    <row r="139" spans="2:6" hidden="1" x14ac:dyDescent="0.25"/>
    <row r="140" spans="2:6" hidden="1" x14ac:dyDescent="0.25">
      <c r="B140" s="453" t="s">
        <v>10</v>
      </c>
      <c r="C140" s="454"/>
      <c r="D140" s="454"/>
      <c r="E140" s="455"/>
    </row>
    <row r="141" spans="2:6" hidden="1" x14ac:dyDescent="0.25">
      <c r="B141" s="256" t="s">
        <v>11</v>
      </c>
      <c r="C141" s="257"/>
      <c r="D141" s="257"/>
      <c r="E141" s="271">
        <v>3000</v>
      </c>
    </row>
    <row r="142" spans="2:6" hidden="1" x14ac:dyDescent="0.25">
      <c r="B142" s="256" t="s">
        <v>12</v>
      </c>
      <c r="C142" s="257"/>
      <c r="D142" s="257"/>
      <c r="E142" s="258">
        <v>28</v>
      </c>
    </row>
    <row r="143" spans="2:6" hidden="1" x14ac:dyDescent="0.25">
      <c r="B143" s="256" t="s">
        <v>13</v>
      </c>
      <c r="C143" s="257"/>
      <c r="D143" s="257"/>
      <c r="E143" s="275">
        <f>+E141/E142</f>
        <v>107.14285714285714</v>
      </c>
    </row>
    <row r="144" spans="2:6" hidden="1" x14ac:dyDescent="0.25">
      <c r="B144" s="256" t="s">
        <v>14</v>
      </c>
      <c r="C144" s="257"/>
      <c r="D144" s="257"/>
      <c r="E144" s="272">
        <v>21</v>
      </c>
    </row>
    <row r="145" spans="2:5" ht="16.5" hidden="1" thickTop="1" thickBot="1" x14ac:dyDescent="0.3">
      <c r="B145" s="259" t="s">
        <v>15</v>
      </c>
      <c r="C145" s="260"/>
      <c r="D145" s="261"/>
      <c r="E145" s="276">
        <f>E143*E144</f>
        <v>2250</v>
      </c>
    </row>
    <row r="146" spans="2:5" hidden="1" x14ac:dyDescent="0.25">
      <c r="B146" s="262"/>
      <c r="C146" s="262"/>
      <c r="D146" s="262"/>
      <c r="E146" s="262"/>
    </row>
    <row r="147" spans="2:5" ht="15.75" hidden="1" thickBot="1" x14ac:dyDescent="0.3">
      <c r="B147" s="460" t="s">
        <v>16</v>
      </c>
      <c r="C147" s="461"/>
      <c r="D147" s="461"/>
      <c r="E147" s="462"/>
    </row>
    <row r="148" spans="2:5" hidden="1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hidden="1" x14ac:dyDescent="0.25">
      <c r="B149" s="209" t="s">
        <v>20</v>
      </c>
      <c r="C149" s="273">
        <v>44197</v>
      </c>
      <c r="D149" s="274">
        <v>5850</v>
      </c>
      <c r="E149" s="277">
        <f>1.8*1603.12</f>
        <v>2885.616</v>
      </c>
    </row>
    <row r="150" spans="2:5" hidden="1" x14ac:dyDescent="0.25">
      <c r="B150" s="209" t="s">
        <v>21</v>
      </c>
      <c r="C150" s="273">
        <v>44531</v>
      </c>
      <c r="D150" s="274">
        <v>3000</v>
      </c>
      <c r="E150" s="277">
        <f t="shared" ref="E150:E151" si="9">1.8*1603.12</f>
        <v>2885.616</v>
      </c>
    </row>
    <row r="151" spans="2:5" hidden="1" x14ac:dyDescent="0.25">
      <c r="B151" s="209" t="s">
        <v>22</v>
      </c>
      <c r="C151" s="273">
        <v>44501</v>
      </c>
      <c r="D151" s="274">
        <v>2900</v>
      </c>
      <c r="E151" s="277">
        <f t="shared" si="9"/>
        <v>2885.616</v>
      </c>
    </row>
    <row r="152" spans="2:5" hidden="1" x14ac:dyDescent="0.25">
      <c r="B152" s="209" t="s">
        <v>23</v>
      </c>
      <c r="C152" s="267"/>
      <c r="D152" s="267"/>
      <c r="E152" s="211">
        <f>SUM(E149:E151)</f>
        <v>8656.848</v>
      </c>
    </row>
    <row r="153" spans="2:5" hidden="1" x14ac:dyDescent="0.25">
      <c r="B153" s="209" t="s">
        <v>24</v>
      </c>
      <c r="C153" s="267"/>
      <c r="D153" s="267"/>
      <c r="E153" s="211">
        <f>E152/91.25*0.5</f>
        <v>47.434783561643833</v>
      </c>
    </row>
    <row r="154" spans="2:5" hidden="1" x14ac:dyDescent="0.25">
      <c r="B154" s="209" t="s">
        <v>181</v>
      </c>
      <c r="C154" s="267"/>
      <c r="D154" s="279" t="s">
        <v>182</v>
      </c>
      <c r="E154" s="268">
        <f>E144-3</f>
        <v>18</v>
      </c>
    </row>
    <row r="155" spans="2:5" hidden="1" x14ac:dyDescent="0.25">
      <c r="B155" s="209" t="s">
        <v>25</v>
      </c>
      <c r="C155" s="267"/>
      <c r="D155" s="267"/>
      <c r="E155" s="283">
        <f>E154*E153</f>
        <v>853.82610410958898</v>
      </c>
    </row>
    <row r="156" spans="2:5" hidden="1" x14ac:dyDescent="0.25">
      <c r="B156" s="209" t="s">
        <v>26</v>
      </c>
      <c r="C156" s="267"/>
      <c r="D156" s="267"/>
      <c r="E156" s="211">
        <f>E155*6.7%</f>
        <v>57.206348975342465</v>
      </c>
    </row>
    <row r="157" spans="2:5" ht="15.75" hidden="1" thickBot="1" x14ac:dyDescent="0.3">
      <c r="B157" s="269" t="s">
        <v>27</v>
      </c>
      <c r="C157" s="270"/>
      <c r="D157" s="270"/>
      <c r="E157" s="278">
        <f>E155-E156</f>
        <v>796.61975513424647</v>
      </c>
    </row>
    <row r="158" spans="2:5" hidden="1" x14ac:dyDescent="0.25"/>
    <row r="159" spans="2:5" hidden="1" x14ac:dyDescent="0.25">
      <c r="B159" s="453" t="s">
        <v>28</v>
      </c>
      <c r="C159" s="454"/>
      <c r="D159" s="454"/>
      <c r="E159" s="455"/>
    </row>
    <row r="160" spans="2:5" hidden="1" x14ac:dyDescent="0.25">
      <c r="B160" s="256" t="s">
        <v>29</v>
      </c>
      <c r="C160" s="257"/>
      <c r="D160" s="257"/>
      <c r="E160" s="280">
        <f>E144-7</f>
        <v>14</v>
      </c>
    </row>
    <row r="161" spans="2:5" hidden="1" x14ac:dyDescent="0.25">
      <c r="B161" s="256" t="s">
        <v>30</v>
      </c>
      <c r="C161" s="257"/>
      <c r="D161" s="257"/>
      <c r="E161" s="258">
        <f>E143*0.9</f>
        <v>96.428571428571431</v>
      </c>
    </row>
    <row r="162" spans="2:5" ht="16.5" hidden="1" thickTop="1" thickBot="1" x14ac:dyDescent="0.3">
      <c r="B162" s="256" t="s">
        <v>31</v>
      </c>
      <c r="C162" s="257"/>
      <c r="D162" s="257"/>
      <c r="E162" s="276">
        <f>E160*E161</f>
        <v>1350</v>
      </c>
    </row>
    <row r="163" spans="2:5" hidden="1" x14ac:dyDescent="0.25">
      <c r="B163" s="209" t="s">
        <v>32</v>
      </c>
      <c r="C163" s="257"/>
      <c r="D163" s="257"/>
      <c r="E163" s="281">
        <f>E153</f>
        <v>47.434783561643833</v>
      </c>
    </row>
    <row r="164" spans="2:5" ht="16.5" hidden="1" thickTop="1" thickBot="1" x14ac:dyDescent="0.3">
      <c r="B164" s="259" t="s">
        <v>33</v>
      </c>
      <c r="C164" s="284">
        <f>E160</f>
        <v>14</v>
      </c>
      <c r="D164" s="282">
        <f>E163</f>
        <v>47.434783561643833</v>
      </c>
      <c r="E164" s="276">
        <f>D164*C164</f>
        <v>664.08696986301368</v>
      </c>
    </row>
    <row r="165" spans="2:5" hidden="1" x14ac:dyDescent="0.25"/>
  </sheetData>
  <mergeCells count="12">
    <mergeCell ref="C17:D17"/>
    <mergeCell ref="F17:G1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22E3-3C3D-42AA-AB24-C403D4B92F59}">
  <dimension ref="A2:D13"/>
  <sheetViews>
    <sheetView workbookViewId="0">
      <selection activeCell="H12" sqref="H12"/>
    </sheetView>
  </sheetViews>
  <sheetFormatPr baseColWidth="10" defaultRowHeight="15" x14ac:dyDescent="0.25"/>
  <cols>
    <col min="1" max="1" width="34" bestFit="1" customWidth="1"/>
    <col min="2" max="2" width="19.140625" customWidth="1"/>
    <col min="3" max="3" width="14.42578125" customWidth="1"/>
    <col min="4" max="4" width="15.42578125" customWidth="1"/>
    <col min="6" max="6" width="15.7109375" bestFit="1" customWidth="1"/>
  </cols>
  <sheetData>
    <row r="2" spans="1:4" ht="18.75" x14ac:dyDescent="0.25">
      <c r="A2" s="463" t="s">
        <v>294</v>
      </c>
      <c r="B2" s="464"/>
      <c r="C2" s="464"/>
      <c r="D2" s="464"/>
    </row>
    <row r="3" spans="1:4" ht="15.75" thickBot="1" x14ac:dyDescent="0.3">
      <c r="A3" s="11"/>
      <c r="B3" s="11"/>
      <c r="C3" s="11"/>
      <c r="D3" s="11"/>
    </row>
    <row r="4" spans="1:4" x14ac:dyDescent="0.25">
      <c r="A4" s="453" t="s">
        <v>10</v>
      </c>
      <c r="B4" s="454"/>
      <c r="C4" s="454"/>
      <c r="D4" s="455"/>
    </row>
    <row r="5" spans="1:4" x14ac:dyDescent="0.25">
      <c r="A5" s="256" t="s">
        <v>292</v>
      </c>
      <c r="B5" s="257"/>
      <c r="C5" s="257"/>
      <c r="D5" s="271">
        <v>2500</v>
      </c>
    </row>
    <row r="6" spans="1:4" x14ac:dyDescent="0.25">
      <c r="A6" s="256" t="s">
        <v>293</v>
      </c>
      <c r="B6" s="257"/>
      <c r="C6" s="257"/>
      <c r="D6" s="467">
        <v>21</v>
      </c>
    </row>
    <row r="7" spans="1:4" x14ac:dyDescent="0.25">
      <c r="A7" s="256" t="s">
        <v>13</v>
      </c>
      <c r="B7" s="257"/>
      <c r="C7" s="257"/>
      <c r="D7" s="271">
        <f>D5/D6</f>
        <v>119.04761904761905</v>
      </c>
    </row>
    <row r="8" spans="1:4" x14ac:dyDescent="0.25">
      <c r="A8" s="256" t="s">
        <v>14</v>
      </c>
      <c r="B8" s="257"/>
      <c r="C8" s="257"/>
      <c r="D8" s="467">
        <v>5</v>
      </c>
    </row>
    <row r="9" spans="1:4" ht="15.75" thickBot="1" x14ac:dyDescent="0.3">
      <c r="A9" s="259" t="s">
        <v>15</v>
      </c>
      <c r="B9" s="260"/>
      <c r="C9" s="260"/>
      <c r="D9" s="468">
        <f>+D8*D7</f>
        <v>595.2380952380953</v>
      </c>
    </row>
    <row r="10" spans="1:4" x14ac:dyDescent="0.25">
      <c r="A10" s="262"/>
      <c r="B10" s="262"/>
      <c r="C10" s="262"/>
      <c r="D10" s="262"/>
    </row>
    <row r="11" spans="1:4" ht="15.75" thickBot="1" x14ac:dyDescent="0.3">
      <c r="A11" s="11"/>
      <c r="B11" s="11"/>
      <c r="C11" s="11"/>
      <c r="D11" s="11"/>
    </row>
    <row r="12" spans="1:4" x14ac:dyDescent="0.25">
      <c r="A12" s="453" t="s">
        <v>28</v>
      </c>
      <c r="B12" s="454"/>
      <c r="C12" s="454"/>
      <c r="D12" s="455"/>
    </row>
    <row r="13" spans="1:4" ht="15.75" thickBot="1" x14ac:dyDescent="0.3">
      <c r="A13" s="259" t="s">
        <v>29</v>
      </c>
      <c r="B13" s="469" t="s">
        <v>295</v>
      </c>
      <c r="C13" s="470"/>
      <c r="D13" s="471"/>
    </row>
  </sheetData>
  <mergeCells count="4">
    <mergeCell ref="A2:D2"/>
    <mergeCell ref="A4:D4"/>
    <mergeCell ref="A12:D12"/>
    <mergeCell ref="B13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2DD1-0DD4-4075-8D7E-9A7B17175858}">
  <dimension ref="D1:E22"/>
  <sheetViews>
    <sheetView workbookViewId="0">
      <selection activeCell="D1" sqref="D1:E22"/>
    </sheetView>
  </sheetViews>
  <sheetFormatPr baseColWidth="10" defaultRowHeight="15" x14ac:dyDescent="0.25"/>
  <sheetData>
    <row r="1" spans="4:5" x14ac:dyDescent="0.25">
      <c r="D1" t="s">
        <v>3</v>
      </c>
      <c r="E1">
        <v>1</v>
      </c>
    </row>
    <row r="2" spans="4:5" x14ac:dyDescent="0.25">
      <c r="D2" t="s">
        <v>4</v>
      </c>
      <c r="E2">
        <v>2</v>
      </c>
    </row>
    <row r="3" spans="4:5" x14ac:dyDescent="0.25">
      <c r="D3" t="s">
        <v>5</v>
      </c>
      <c r="E3">
        <v>5</v>
      </c>
    </row>
    <row r="4" spans="4:5" x14ac:dyDescent="0.25">
      <c r="D4" t="s">
        <v>6</v>
      </c>
      <c r="E4">
        <v>6</v>
      </c>
    </row>
    <row r="5" spans="4:5" x14ac:dyDescent="0.25">
      <c r="D5" t="s">
        <v>7</v>
      </c>
      <c r="E5">
        <v>7</v>
      </c>
    </row>
    <row r="6" spans="4:5" x14ac:dyDescent="0.25">
      <c r="D6" t="s">
        <v>3</v>
      </c>
      <c r="E6">
        <v>8</v>
      </c>
    </row>
    <row r="7" spans="4:5" x14ac:dyDescent="0.25">
      <c r="D7" t="s">
        <v>4</v>
      </c>
      <c r="E7">
        <v>9</v>
      </c>
    </row>
    <row r="8" spans="4:5" x14ac:dyDescent="0.25">
      <c r="D8" t="s">
        <v>5</v>
      </c>
      <c r="E8">
        <v>12</v>
      </c>
    </row>
    <row r="9" spans="4:5" x14ac:dyDescent="0.25">
      <c r="D9" t="s">
        <v>6</v>
      </c>
      <c r="E9">
        <v>13</v>
      </c>
    </row>
    <row r="10" spans="4:5" x14ac:dyDescent="0.25">
      <c r="D10" t="s">
        <v>7</v>
      </c>
      <c r="E10">
        <v>14</v>
      </c>
    </row>
    <row r="11" spans="4:5" x14ac:dyDescent="0.25">
      <c r="D11" t="s">
        <v>3</v>
      </c>
      <c r="E11">
        <v>15</v>
      </c>
    </row>
    <row r="12" spans="4:5" x14ac:dyDescent="0.25">
      <c r="D12" t="s">
        <v>4</v>
      </c>
      <c r="E12">
        <v>16</v>
      </c>
    </row>
    <row r="13" spans="4:5" x14ac:dyDescent="0.25">
      <c r="D13" t="s">
        <v>5</v>
      </c>
      <c r="E13">
        <v>19</v>
      </c>
    </row>
    <row r="14" spans="4:5" x14ac:dyDescent="0.25">
      <c r="D14" t="s">
        <v>6</v>
      </c>
      <c r="E14">
        <v>20</v>
      </c>
    </row>
    <row r="15" spans="4:5" x14ac:dyDescent="0.25">
      <c r="D15" t="s">
        <v>7</v>
      </c>
      <c r="E15">
        <v>21</v>
      </c>
    </row>
    <row r="16" spans="4:5" x14ac:dyDescent="0.25">
      <c r="D16" t="s">
        <v>3</v>
      </c>
      <c r="E16">
        <v>22</v>
      </c>
    </row>
    <row r="17" spans="4:5" x14ac:dyDescent="0.25">
      <c r="D17" t="s">
        <v>4</v>
      </c>
      <c r="E17">
        <v>23</v>
      </c>
    </row>
    <row r="18" spans="4:5" x14ac:dyDescent="0.25">
      <c r="D18" t="s">
        <v>5</v>
      </c>
      <c r="E18">
        <v>26</v>
      </c>
    </row>
    <row r="19" spans="4:5" x14ac:dyDescent="0.25">
      <c r="D19" t="s">
        <v>6</v>
      </c>
      <c r="E19">
        <v>27</v>
      </c>
    </row>
    <row r="20" spans="4:5" x14ac:dyDescent="0.25">
      <c r="D20" t="s">
        <v>7</v>
      </c>
      <c r="E20">
        <v>28</v>
      </c>
    </row>
    <row r="21" spans="4:5" x14ac:dyDescent="0.25">
      <c r="D21" t="s">
        <v>3</v>
      </c>
      <c r="E21">
        <v>29</v>
      </c>
    </row>
    <row r="22" spans="4:5" x14ac:dyDescent="0.25">
      <c r="D22" t="s">
        <v>4</v>
      </c>
      <c r="E22">
        <v>30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9584-CC7C-41CA-B200-E7D20656A43A}">
  <dimension ref="A2:K54"/>
  <sheetViews>
    <sheetView workbookViewId="0">
      <selection activeCell="F11" sqref="F11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0" ht="23.25" x14ac:dyDescent="0.25">
      <c r="A2" s="285" t="s">
        <v>183</v>
      </c>
      <c r="B2" s="286"/>
      <c r="C2" s="286"/>
      <c r="D2" s="286"/>
      <c r="E2" s="286"/>
      <c r="F2" s="286"/>
      <c r="G2" s="286"/>
      <c r="H2" s="286"/>
    </row>
    <row r="4" spans="1:10" ht="18.75" x14ac:dyDescent="0.25">
      <c r="A4" s="287" t="s">
        <v>184</v>
      </c>
      <c r="D4" s="288">
        <v>3428</v>
      </c>
      <c r="F4" s="304" t="s">
        <v>216</v>
      </c>
      <c r="H4" s="317" t="s">
        <v>217</v>
      </c>
      <c r="I4" s="304">
        <v>21</v>
      </c>
    </row>
    <row r="5" spans="1:10" ht="15.75" thickBot="1" x14ac:dyDescent="0.3"/>
    <row r="6" spans="1:10" ht="30" x14ac:dyDescent="0.25">
      <c r="A6" s="289" t="s">
        <v>159</v>
      </c>
      <c r="B6" s="233" t="s">
        <v>136</v>
      </c>
      <c r="C6" s="233" t="s">
        <v>185</v>
      </c>
      <c r="D6" s="233" t="s">
        <v>186</v>
      </c>
      <c r="E6" s="235" t="s">
        <v>187</v>
      </c>
      <c r="F6" s="235" t="s">
        <v>188</v>
      </c>
      <c r="G6" s="235" t="s">
        <v>189</v>
      </c>
      <c r="H6" s="236" t="s">
        <v>190</v>
      </c>
    </row>
    <row r="7" spans="1:10" x14ac:dyDescent="0.25">
      <c r="A7" s="290" t="s">
        <v>191</v>
      </c>
      <c r="B7" s="291">
        <v>6000</v>
      </c>
      <c r="C7" s="292">
        <f>B7</f>
        <v>6000</v>
      </c>
      <c r="D7" s="292">
        <v>3428</v>
      </c>
      <c r="E7" s="292">
        <f>D7</f>
        <v>3428</v>
      </c>
      <c r="F7" s="292">
        <f>MIN(C7,E7)</f>
        <v>3428</v>
      </c>
      <c r="G7" s="292">
        <f>F7</f>
        <v>3428</v>
      </c>
      <c r="H7" s="348">
        <f t="shared" ref="H7" si="0">B7-G7</f>
        <v>2572</v>
      </c>
    </row>
    <row r="8" spans="1:10" x14ac:dyDescent="0.25">
      <c r="A8" s="290" t="s">
        <v>192</v>
      </c>
      <c r="B8" s="291">
        <v>6000</v>
      </c>
      <c r="C8" s="292">
        <f>C7+B8</f>
        <v>12000</v>
      </c>
      <c r="D8" s="292">
        <v>3428</v>
      </c>
      <c r="E8" s="292">
        <f>E7+D8</f>
        <v>6856</v>
      </c>
      <c r="F8" s="349">
        <f t="shared" ref="F8:F11" si="1">MIN(C8,E8)</f>
        <v>6856</v>
      </c>
      <c r="G8" s="292">
        <f>F8-F7</f>
        <v>3428</v>
      </c>
      <c r="H8" s="348">
        <f>B8-G8</f>
        <v>2572</v>
      </c>
    </row>
    <row r="9" spans="1:10" x14ac:dyDescent="0.25">
      <c r="A9" s="290" t="s">
        <v>193</v>
      </c>
      <c r="B9" s="291">
        <v>6000</v>
      </c>
      <c r="C9" s="292">
        <f t="shared" ref="C9:C11" si="2">C8+B9</f>
        <v>18000</v>
      </c>
      <c r="D9" s="292">
        <v>3428</v>
      </c>
      <c r="E9" s="292">
        <f t="shared" ref="E9:E11" si="3">E8+D9</f>
        <v>10284</v>
      </c>
      <c r="F9" s="349">
        <f t="shared" si="1"/>
        <v>10284</v>
      </c>
      <c r="G9" s="292">
        <f t="shared" ref="G9:G11" si="4">F9-F8</f>
        <v>3428</v>
      </c>
      <c r="H9" s="348">
        <f t="shared" ref="H9:H11" si="5">B9-G9</f>
        <v>2572</v>
      </c>
    </row>
    <row r="10" spans="1:10" x14ac:dyDescent="0.25">
      <c r="A10" s="290" t="s">
        <v>194</v>
      </c>
      <c r="B10" s="291">
        <v>6000</v>
      </c>
      <c r="C10" s="292">
        <f t="shared" si="2"/>
        <v>24000</v>
      </c>
      <c r="D10" s="292">
        <v>3428</v>
      </c>
      <c r="E10" s="292">
        <f t="shared" si="3"/>
        <v>13712</v>
      </c>
      <c r="F10" s="349">
        <f t="shared" si="1"/>
        <v>13712</v>
      </c>
      <c r="G10" s="292">
        <f t="shared" si="4"/>
        <v>3428</v>
      </c>
      <c r="H10" s="348">
        <f t="shared" si="5"/>
        <v>2572</v>
      </c>
    </row>
    <row r="11" spans="1:10" ht="15.75" thickBot="1" x14ac:dyDescent="0.3">
      <c r="A11" s="341" t="s">
        <v>195</v>
      </c>
      <c r="B11" s="352">
        <v>12000</v>
      </c>
      <c r="C11" s="343">
        <f t="shared" si="2"/>
        <v>36000</v>
      </c>
      <c r="D11" s="343">
        <f t="shared" ref="D11" si="6">+D7</f>
        <v>3428</v>
      </c>
      <c r="E11" s="343">
        <f t="shared" si="3"/>
        <v>17140</v>
      </c>
      <c r="F11" s="353">
        <f t="shared" si="1"/>
        <v>17140</v>
      </c>
      <c r="G11" s="354">
        <f t="shared" si="4"/>
        <v>3428</v>
      </c>
      <c r="H11" s="354">
        <f t="shared" si="5"/>
        <v>8572</v>
      </c>
    </row>
    <row r="12" spans="1:10" x14ac:dyDescent="0.25">
      <c r="A12" s="332"/>
      <c r="B12" s="333"/>
      <c r="C12" s="334"/>
      <c r="D12" s="334"/>
    </row>
    <row r="14" spans="1:10" ht="23.25" x14ac:dyDescent="0.25">
      <c r="A14" s="293" t="s">
        <v>196</v>
      </c>
      <c r="B14" s="286"/>
      <c r="C14" s="286"/>
      <c r="D14" s="286"/>
      <c r="E14" s="286"/>
      <c r="F14" s="286"/>
      <c r="G14" s="286"/>
      <c r="H14" s="286"/>
      <c r="I14" s="232" t="s">
        <v>276</v>
      </c>
      <c r="J14" s="416">
        <f>ROUND(10.85*151.6667,2)</f>
        <v>1645.58</v>
      </c>
    </row>
    <row r="16" spans="1:10" ht="15.75" thickBot="1" x14ac:dyDescent="0.3"/>
    <row r="17" spans="1:11" ht="45" x14ac:dyDescent="0.25">
      <c r="A17" s="294"/>
      <c r="B17" s="295" t="s">
        <v>136</v>
      </c>
      <c r="C17" s="295" t="s">
        <v>185</v>
      </c>
      <c r="D17" s="296" t="s">
        <v>197</v>
      </c>
      <c r="E17" s="296" t="s">
        <v>162</v>
      </c>
      <c r="F17" s="296" t="s">
        <v>198</v>
      </c>
      <c r="G17" s="296" t="s">
        <v>199</v>
      </c>
      <c r="H17" s="235" t="s">
        <v>200</v>
      </c>
      <c r="I17" s="296" t="s">
        <v>201</v>
      </c>
      <c r="J17" s="297" t="s">
        <v>202</v>
      </c>
      <c r="K17" s="298" t="s">
        <v>203</v>
      </c>
    </row>
    <row r="18" spans="1:11" x14ac:dyDescent="0.25">
      <c r="A18" s="290" t="s">
        <v>191</v>
      </c>
      <c r="B18" s="299">
        <f>+B7</f>
        <v>6000</v>
      </c>
      <c r="C18" s="299">
        <f>B18</f>
        <v>6000</v>
      </c>
      <c r="D18" s="300">
        <f>+B18</f>
        <v>6000</v>
      </c>
      <c r="E18" s="417">
        <f>J14</f>
        <v>1645.58</v>
      </c>
      <c r="F18" s="299">
        <f t="shared" ref="F18:F22" si="7">2.5*E18</f>
        <v>4113.95</v>
      </c>
      <c r="G18" s="299">
        <f>F18</f>
        <v>4113.95</v>
      </c>
      <c r="H18" s="36" t="str">
        <f t="shared" ref="H18" si="8">IF(C18&gt;G18,"OUI","")</f>
        <v>OUI</v>
      </c>
      <c r="I18" s="302">
        <f>IF(H18="OUI",C18,0)</f>
        <v>6000</v>
      </c>
      <c r="J18" s="300">
        <f>I18</f>
        <v>6000</v>
      </c>
      <c r="K18" s="303">
        <f>(D18*7%)+(J18*6%)</f>
        <v>780</v>
      </c>
    </row>
    <row r="19" spans="1:11" x14ac:dyDescent="0.25">
      <c r="A19" s="290" t="s">
        <v>192</v>
      </c>
      <c r="B19" s="299">
        <f t="shared" ref="B19:B22" si="9">+B8</f>
        <v>6000</v>
      </c>
      <c r="C19" s="299">
        <f>C18+B19</f>
        <v>12000</v>
      </c>
      <c r="D19" s="300">
        <f t="shared" ref="D19:D22" si="10">+B19</f>
        <v>6000</v>
      </c>
      <c r="E19" s="417">
        <f>E18</f>
        <v>1645.58</v>
      </c>
      <c r="F19" s="299">
        <f t="shared" si="7"/>
        <v>4113.95</v>
      </c>
      <c r="G19" s="299">
        <f t="shared" ref="G19:G22" si="11">G18+F19</f>
        <v>8227.9</v>
      </c>
      <c r="H19" s="36" t="str">
        <f>IF(C19&gt;G19,"OUI","")</f>
        <v>OUI</v>
      </c>
      <c r="I19" s="302">
        <f>IF(H19="OUI",C19,0)</f>
        <v>12000</v>
      </c>
      <c r="J19" s="300">
        <f>I19-I18</f>
        <v>6000</v>
      </c>
      <c r="K19" s="303">
        <f t="shared" ref="K19:K22" si="12">(D19*7%)+(J19*6%)</f>
        <v>780</v>
      </c>
    </row>
    <row r="20" spans="1:11" x14ac:dyDescent="0.25">
      <c r="A20" s="290" t="s">
        <v>193</v>
      </c>
      <c r="B20" s="299">
        <f t="shared" si="9"/>
        <v>6000</v>
      </c>
      <c r="C20" s="299">
        <f t="shared" ref="C20:C22" si="13">C19+B20</f>
        <v>18000</v>
      </c>
      <c r="D20" s="300">
        <f t="shared" si="10"/>
        <v>6000</v>
      </c>
      <c r="E20" s="417">
        <f t="shared" ref="E20:E22" si="14">E19</f>
        <v>1645.58</v>
      </c>
      <c r="F20" s="299">
        <f t="shared" si="7"/>
        <v>4113.95</v>
      </c>
      <c r="G20" s="299">
        <f t="shared" si="11"/>
        <v>12341.849999999999</v>
      </c>
      <c r="H20" s="36" t="str">
        <f t="shared" ref="H20:H22" si="15">IF(C20&gt;G20,"OUI","")</f>
        <v>OUI</v>
      </c>
      <c r="I20" s="302">
        <f t="shared" ref="I20:I22" si="16">IF(H20="OUI",C20,0)</f>
        <v>18000</v>
      </c>
      <c r="J20" s="300">
        <f t="shared" ref="J20:J22" si="17">I20-I19</f>
        <v>6000</v>
      </c>
      <c r="K20" s="303">
        <f t="shared" si="12"/>
        <v>780</v>
      </c>
    </row>
    <row r="21" spans="1:11" x14ac:dyDescent="0.25">
      <c r="A21" s="290" t="s">
        <v>194</v>
      </c>
      <c r="B21" s="299">
        <f t="shared" si="9"/>
        <v>6000</v>
      </c>
      <c r="C21" s="299">
        <f t="shared" si="13"/>
        <v>24000</v>
      </c>
      <c r="D21" s="300">
        <f t="shared" si="10"/>
        <v>6000</v>
      </c>
      <c r="E21" s="417">
        <f t="shared" si="14"/>
        <v>1645.58</v>
      </c>
      <c r="F21" s="299">
        <f t="shared" si="7"/>
        <v>4113.95</v>
      </c>
      <c r="G21" s="299">
        <f t="shared" si="11"/>
        <v>16455.8</v>
      </c>
      <c r="H21" s="36" t="str">
        <f t="shared" si="15"/>
        <v>OUI</v>
      </c>
      <c r="I21" s="302">
        <f t="shared" si="16"/>
        <v>24000</v>
      </c>
      <c r="J21" s="300">
        <f t="shared" si="17"/>
        <v>6000</v>
      </c>
      <c r="K21" s="303">
        <f t="shared" si="12"/>
        <v>780</v>
      </c>
    </row>
    <row r="22" spans="1:11" x14ac:dyDescent="0.25">
      <c r="A22" s="290" t="s">
        <v>195</v>
      </c>
      <c r="B22" s="299">
        <f t="shared" si="9"/>
        <v>12000</v>
      </c>
      <c r="C22" s="299">
        <f t="shared" si="13"/>
        <v>36000</v>
      </c>
      <c r="D22" s="300">
        <f t="shared" si="10"/>
        <v>12000</v>
      </c>
      <c r="E22" s="417">
        <f t="shared" si="14"/>
        <v>1645.58</v>
      </c>
      <c r="F22" s="299">
        <f t="shared" si="7"/>
        <v>4113.95</v>
      </c>
      <c r="G22" s="299">
        <f t="shared" si="11"/>
        <v>20569.75</v>
      </c>
      <c r="H22" s="36" t="str">
        <f t="shared" si="15"/>
        <v>OUI</v>
      </c>
      <c r="I22" s="302">
        <f t="shared" si="16"/>
        <v>36000</v>
      </c>
      <c r="J22" s="300">
        <f t="shared" si="17"/>
        <v>12000</v>
      </c>
      <c r="K22" s="303">
        <f t="shared" si="12"/>
        <v>1560</v>
      </c>
    </row>
    <row r="23" spans="1:11" x14ac:dyDescent="0.25">
      <c r="A23" s="332"/>
      <c r="B23" s="335"/>
      <c r="C23" s="335"/>
      <c r="D23" s="336"/>
      <c r="E23" s="337"/>
      <c r="F23" s="335"/>
      <c r="G23" s="335"/>
      <c r="H23" s="338"/>
      <c r="I23" s="339"/>
      <c r="J23" s="336"/>
    </row>
    <row r="25" spans="1:11" ht="23.25" x14ac:dyDescent="0.25">
      <c r="A25" s="293" t="s">
        <v>204</v>
      </c>
      <c r="B25" s="286"/>
      <c r="C25" s="286"/>
      <c r="D25" s="286"/>
      <c r="E25" s="286"/>
      <c r="F25" s="286"/>
      <c r="G25" s="286"/>
      <c r="H25" s="286"/>
    </row>
    <row r="27" spans="1:11" ht="15.75" thickBot="1" x14ac:dyDescent="0.3"/>
    <row r="28" spans="1:11" s="304" customFormat="1" ht="45" x14ac:dyDescent="0.25">
      <c r="A28" s="294"/>
      <c r="B28" s="295" t="s">
        <v>136</v>
      </c>
      <c r="C28" s="295" t="s">
        <v>185</v>
      </c>
      <c r="D28" s="296" t="s">
        <v>205</v>
      </c>
      <c r="E28" s="296" t="s">
        <v>162</v>
      </c>
      <c r="F28" s="296" t="s">
        <v>206</v>
      </c>
      <c r="G28" s="296" t="s">
        <v>207</v>
      </c>
      <c r="H28" s="235" t="s">
        <v>208</v>
      </c>
      <c r="I28" s="296" t="s">
        <v>209</v>
      </c>
      <c r="J28" s="297" t="s">
        <v>210</v>
      </c>
      <c r="K28" s="298" t="s">
        <v>203</v>
      </c>
    </row>
    <row r="29" spans="1:11" ht="21.75" customHeight="1" x14ac:dyDescent="0.25">
      <c r="A29" s="290" t="s">
        <v>191</v>
      </c>
      <c r="B29" s="299">
        <f>+B18</f>
        <v>6000</v>
      </c>
      <c r="C29" s="299">
        <f>B29</f>
        <v>6000</v>
      </c>
      <c r="D29" s="300">
        <f>+B29</f>
        <v>6000</v>
      </c>
      <c r="E29" s="301">
        <f>+E18</f>
        <v>1645.58</v>
      </c>
      <c r="F29" s="299">
        <f>3.5*E29</f>
        <v>5759.53</v>
      </c>
      <c r="G29" s="299">
        <f>F29</f>
        <v>5759.53</v>
      </c>
      <c r="H29" s="36" t="str">
        <f>IF(C29&gt;G29,"OUI","")</f>
        <v>OUI</v>
      </c>
      <c r="I29" s="302">
        <f>IF(H29="OUI",C29,0)</f>
        <v>6000</v>
      </c>
      <c r="J29" s="300">
        <f>I29</f>
        <v>6000</v>
      </c>
      <c r="K29" s="303">
        <f>(D29*3.45%)+(J29*1.8%)</f>
        <v>315.00000000000006</v>
      </c>
    </row>
    <row r="30" spans="1:11" ht="21.75" customHeight="1" x14ac:dyDescent="0.25">
      <c r="A30" s="290" t="s">
        <v>192</v>
      </c>
      <c r="B30" s="299">
        <f t="shared" ref="B30:B33" si="18">+B19</f>
        <v>6000</v>
      </c>
      <c r="C30" s="299">
        <f>C29+B30</f>
        <v>12000</v>
      </c>
      <c r="D30" s="300">
        <f t="shared" ref="D30:D33" si="19">B30</f>
        <v>6000</v>
      </c>
      <c r="E30" s="301">
        <f t="shared" ref="E30:E33" si="20">+E19</f>
        <v>1645.58</v>
      </c>
      <c r="F30" s="299">
        <f t="shared" ref="F30:F33" si="21">3.5*E30</f>
        <v>5759.53</v>
      </c>
      <c r="G30" s="299">
        <f t="shared" ref="G30:G33" si="22">G29+F30</f>
        <v>11519.06</v>
      </c>
      <c r="H30" s="36" t="str">
        <f t="shared" ref="H30:H33" si="23">IF(C30&gt;G30,"OUI","")</f>
        <v>OUI</v>
      </c>
      <c r="I30" s="302">
        <f>IF(H30="OUI",C30,0)</f>
        <v>12000</v>
      </c>
      <c r="J30" s="300">
        <f>I30-I29</f>
        <v>6000</v>
      </c>
      <c r="K30" s="303">
        <f t="shared" ref="K30:K33" si="24">(D30*3.45%)+(J30*1.8%)</f>
        <v>315.00000000000006</v>
      </c>
    </row>
    <row r="31" spans="1:11" ht="21.75" customHeight="1" x14ac:dyDescent="0.25">
      <c r="A31" s="290" t="s">
        <v>193</v>
      </c>
      <c r="B31" s="299">
        <f t="shared" si="18"/>
        <v>6000</v>
      </c>
      <c r="C31" s="299">
        <f t="shared" ref="C31:C33" si="25">C30+B31</f>
        <v>18000</v>
      </c>
      <c r="D31" s="300">
        <f t="shared" si="19"/>
        <v>6000</v>
      </c>
      <c r="E31" s="301">
        <f t="shared" si="20"/>
        <v>1645.58</v>
      </c>
      <c r="F31" s="299">
        <f t="shared" si="21"/>
        <v>5759.53</v>
      </c>
      <c r="G31" s="299">
        <f t="shared" si="22"/>
        <v>17278.59</v>
      </c>
      <c r="H31" s="36" t="str">
        <f t="shared" si="23"/>
        <v>OUI</v>
      </c>
      <c r="I31" s="302">
        <f t="shared" ref="I31:I33" si="26">IF(H31="OUI",C31,0)</f>
        <v>18000</v>
      </c>
      <c r="J31" s="300">
        <f t="shared" ref="J31:J33" si="27">I31-I30</f>
        <v>6000</v>
      </c>
      <c r="K31" s="303">
        <f t="shared" si="24"/>
        <v>315.00000000000006</v>
      </c>
    </row>
    <row r="32" spans="1:11" ht="21.75" customHeight="1" x14ac:dyDescent="0.25">
      <c r="A32" s="290" t="s">
        <v>194</v>
      </c>
      <c r="B32" s="299">
        <f t="shared" si="18"/>
        <v>6000</v>
      </c>
      <c r="C32" s="299">
        <f t="shared" si="25"/>
        <v>24000</v>
      </c>
      <c r="D32" s="300">
        <f t="shared" si="19"/>
        <v>6000</v>
      </c>
      <c r="E32" s="301">
        <f t="shared" si="20"/>
        <v>1645.58</v>
      </c>
      <c r="F32" s="299">
        <f t="shared" si="21"/>
        <v>5759.53</v>
      </c>
      <c r="G32" s="299">
        <f t="shared" si="22"/>
        <v>23038.12</v>
      </c>
      <c r="H32" s="36" t="str">
        <f t="shared" si="23"/>
        <v>OUI</v>
      </c>
      <c r="I32" s="302">
        <f t="shared" si="26"/>
        <v>24000</v>
      </c>
      <c r="J32" s="300">
        <f t="shared" si="27"/>
        <v>6000</v>
      </c>
      <c r="K32" s="303">
        <f t="shared" si="24"/>
        <v>315.00000000000006</v>
      </c>
    </row>
    <row r="33" spans="1:11" ht="21.75" customHeight="1" x14ac:dyDescent="0.25">
      <c r="A33" s="290" t="s">
        <v>195</v>
      </c>
      <c r="B33" s="299">
        <f t="shared" si="18"/>
        <v>12000</v>
      </c>
      <c r="C33" s="299">
        <f t="shared" si="25"/>
        <v>36000</v>
      </c>
      <c r="D33" s="300">
        <f t="shared" si="19"/>
        <v>12000</v>
      </c>
      <c r="E33" s="301">
        <f t="shared" si="20"/>
        <v>1645.58</v>
      </c>
      <c r="F33" s="299">
        <f t="shared" si="21"/>
        <v>5759.53</v>
      </c>
      <c r="G33" s="299">
        <f t="shared" si="22"/>
        <v>28797.649999999998</v>
      </c>
      <c r="H33" s="36" t="str">
        <f t="shared" si="23"/>
        <v>OUI</v>
      </c>
      <c r="I33" s="302">
        <f t="shared" si="26"/>
        <v>36000</v>
      </c>
      <c r="J33" s="300">
        <f t="shared" si="27"/>
        <v>12000</v>
      </c>
      <c r="K33" s="303">
        <f t="shared" si="24"/>
        <v>630.00000000000011</v>
      </c>
    </row>
    <row r="34" spans="1:11" ht="21.75" customHeight="1" x14ac:dyDescent="0.25">
      <c r="A34" s="332"/>
      <c r="B34" s="335"/>
      <c r="C34" s="335"/>
      <c r="D34" s="336"/>
      <c r="E34" s="340"/>
      <c r="F34" s="335"/>
      <c r="G34" s="335"/>
      <c r="H34" s="338"/>
      <c r="I34" s="339"/>
    </row>
    <row r="35" spans="1:11" ht="21.75" hidden="1" thickBot="1" x14ac:dyDescent="0.3">
      <c r="A35" s="448" t="s">
        <v>211</v>
      </c>
      <c r="B35" s="449"/>
      <c r="C35" s="449"/>
      <c r="D35" s="449"/>
      <c r="E35" s="449"/>
      <c r="F35" s="449"/>
      <c r="G35" s="449"/>
      <c r="H35" s="449"/>
      <c r="I35" s="305"/>
    </row>
    <row r="36" spans="1:11" ht="21" hidden="1" customHeight="1" thickBot="1" x14ac:dyDescent="0.3">
      <c r="A36" s="230" t="s">
        <v>158</v>
      </c>
      <c r="B36" s="306">
        <v>0.31950000000000001</v>
      </c>
    </row>
    <row r="37" spans="1:11" ht="15.75" hidden="1" thickBot="1" x14ac:dyDescent="0.3"/>
    <row r="38" spans="1:11" ht="30" hidden="1" x14ac:dyDescent="0.25">
      <c r="A38" s="3" t="s">
        <v>159</v>
      </c>
      <c r="B38" s="233" t="s">
        <v>160</v>
      </c>
      <c r="C38" s="233" t="s">
        <v>161</v>
      </c>
      <c r="D38" s="296" t="s">
        <v>162</v>
      </c>
      <c r="E38" s="235" t="s">
        <v>163</v>
      </c>
      <c r="F38" s="235" t="s">
        <v>164</v>
      </c>
      <c r="G38" s="235" t="s">
        <v>165</v>
      </c>
      <c r="H38" s="235" t="s">
        <v>166</v>
      </c>
      <c r="I38" s="1" t="s">
        <v>212</v>
      </c>
    </row>
    <row r="39" spans="1:11" ht="21" hidden="1" customHeight="1" x14ac:dyDescent="0.25">
      <c r="A39" s="290" t="s">
        <v>191</v>
      </c>
      <c r="B39" s="307">
        <v>1700</v>
      </c>
      <c r="C39" s="308">
        <f>B39</f>
        <v>1700</v>
      </c>
      <c r="D39" s="301">
        <v>1603.12</v>
      </c>
      <c r="E39" s="307">
        <f>+D39</f>
        <v>1603.12</v>
      </c>
      <c r="F39" s="309">
        <f>ROUND(($B$36/0.6)*((1.6*E39/C39)-1),4)</f>
        <v>0.27089999999999997</v>
      </c>
      <c r="G39" s="308">
        <f>IF(F39&gt;0,F39*C39,0)</f>
        <v>460.53</v>
      </c>
      <c r="H39" s="310">
        <f>G39</f>
        <v>460.53</v>
      </c>
      <c r="I39" s="5" t="str">
        <f>IF(F39&gt;$B$36,"ERREUR","")</f>
        <v/>
      </c>
    </row>
    <row r="40" spans="1:11" ht="21" hidden="1" customHeight="1" x14ac:dyDescent="0.25">
      <c r="A40" s="290" t="s">
        <v>192</v>
      </c>
      <c r="B40" s="307">
        <v>3000</v>
      </c>
      <c r="C40" s="308">
        <f>C39+B40</f>
        <v>4700</v>
      </c>
      <c r="D40" s="311">
        <f>156.67*10.57</f>
        <v>1656.0019</v>
      </c>
      <c r="E40" s="307">
        <f>D40+E39</f>
        <v>3259.1219000000001</v>
      </c>
      <c r="F40" s="309">
        <f>ROUND(($B$36/0.6)*((1.6*E40/C40)-1),4)</f>
        <v>5.8299999999999998E-2</v>
      </c>
      <c r="G40" s="308">
        <f t="shared" ref="G40:G43" si="28">IF(F40&gt;0,F40*C40,0)</f>
        <v>274.01</v>
      </c>
      <c r="H40" s="310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90" t="s">
        <v>193</v>
      </c>
      <c r="B41" s="307"/>
      <c r="C41" s="308">
        <f t="shared" ref="C41:C43" si="29">C40+B41</f>
        <v>4700</v>
      </c>
      <c r="D41" s="301">
        <v>1603.12</v>
      </c>
      <c r="E41" s="307">
        <f t="shared" ref="E41:E43" si="30">D41+E40</f>
        <v>4862.2419</v>
      </c>
      <c r="F41" s="309">
        <f>ROUND(($B$36/0.6)*((1.6*E41/C41)-1),4)</f>
        <v>0.34889999999999999</v>
      </c>
      <c r="G41" s="312">
        <f t="shared" si="28"/>
        <v>1639.83</v>
      </c>
      <c r="H41" s="310">
        <f t="shared" ref="H41:H43" si="31">G41-G40</f>
        <v>1365.82</v>
      </c>
      <c r="I41" s="5" t="str">
        <f>IF(F41&gt;$B$36,"ERREUR","")</f>
        <v>ERREUR</v>
      </c>
    </row>
    <row r="42" spans="1:11" ht="21" hidden="1" customHeight="1" x14ac:dyDescent="0.25">
      <c r="A42" s="290" t="s">
        <v>194</v>
      </c>
      <c r="B42" s="307"/>
      <c r="C42" s="308">
        <f t="shared" si="29"/>
        <v>4700</v>
      </c>
      <c r="D42" s="301">
        <v>1603.12</v>
      </c>
      <c r="E42" s="307">
        <f t="shared" si="30"/>
        <v>6465.3618999999999</v>
      </c>
      <c r="F42" s="309">
        <f>ROUND(($B$36/0.6)*((1.6*E42/C42)-1),4)</f>
        <v>0.63949999999999996</v>
      </c>
      <c r="G42" s="308">
        <f t="shared" si="28"/>
        <v>3005.6499999999996</v>
      </c>
      <c r="H42" s="310">
        <f t="shared" si="31"/>
        <v>1365.8199999999997</v>
      </c>
      <c r="I42" s="5" t="str">
        <f>IF(F42&gt;$B$36,"ERREUR","")</f>
        <v>ERREUR</v>
      </c>
    </row>
    <row r="43" spans="1:11" ht="21" hidden="1" customHeight="1" x14ac:dyDescent="0.25">
      <c r="A43" s="290" t="s">
        <v>195</v>
      </c>
      <c r="B43" s="307"/>
      <c r="C43" s="308">
        <f t="shared" si="29"/>
        <v>4700</v>
      </c>
      <c r="D43" s="301">
        <v>1603.12</v>
      </c>
      <c r="E43" s="307">
        <f t="shared" si="30"/>
        <v>8068.4818999999998</v>
      </c>
      <c r="F43" s="309">
        <f>ROUND(($B$36/0.6)*((1.6*E43/C43)-1),4)</f>
        <v>0.93010000000000004</v>
      </c>
      <c r="G43" s="308">
        <f t="shared" si="28"/>
        <v>4371.47</v>
      </c>
      <c r="H43" s="310">
        <f t="shared" si="31"/>
        <v>1365.8200000000006</v>
      </c>
      <c r="I43" s="5" t="str">
        <f>IF(F43&gt;$B$36,"ERREUR","")</f>
        <v>ERREUR</v>
      </c>
    </row>
    <row r="45" spans="1:11" ht="23.25" x14ac:dyDescent="0.25">
      <c r="A45" s="285" t="s">
        <v>213</v>
      </c>
      <c r="B45" s="286"/>
      <c r="C45" s="286"/>
      <c r="D45" s="286"/>
      <c r="E45" s="286"/>
      <c r="F45" s="286"/>
    </row>
    <row r="47" spans="1:11" ht="18.75" x14ac:dyDescent="0.25">
      <c r="A47" s="287" t="s">
        <v>184</v>
      </c>
      <c r="D47" s="288">
        <v>3428</v>
      </c>
    </row>
    <row r="48" spans="1:11" ht="15.75" thickBot="1" x14ac:dyDescent="0.3"/>
    <row r="49" spans="1:8" ht="30" x14ac:dyDescent="0.25">
      <c r="A49" s="289" t="s">
        <v>159</v>
      </c>
      <c r="B49" s="233" t="s">
        <v>136</v>
      </c>
      <c r="C49" s="233" t="s">
        <v>185</v>
      </c>
      <c r="D49" s="233" t="s">
        <v>186</v>
      </c>
      <c r="E49" s="235" t="s">
        <v>187</v>
      </c>
      <c r="F49" s="233" t="s">
        <v>214</v>
      </c>
      <c r="G49" s="235" t="s">
        <v>215</v>
      </c>
      <c r="H49" s="236" t="s">
        <v>232</v>
      </c>
    </row>
    <row r="50" spans="1:8" ht="26.25" customHeight="1" x14ac:dyDescent="0.25">
      <c r="A50" s="290" t="s">
        <v>191</v>
      </c>
      <c r="B50" s="299">
        <f>+B29</f>
        <v>6000</v>
      </c>
      <c r="C50" s="299">
        <f>B50</f>
        <v>6000</v>
      </c>
      <c r="D50" s="292">
        <v>3428</v>
      </c>
      <c r="E50" s="313">
        <f>D50</f>
        <v>3428</v>
      </c>
      <c r="F50" s="314" t="str">
        <f>IF(E50&gt;C50,"","OUI")</f>
        <v>OUI</v>
      </c>
      <c r="G50" s="300">
        <f t="shared" ref="G50:G51" si="32">IF(C50&gt;E50,C50,0)</f>
        <v>6000</v>
      </c>
      <c r="H50" s="439">
        <f>G50</f>
        <v>6000</v>
      </c>
    </row>
    <row r="51" spans="1:8" ht="26.25" customHeight="1" x14ac:dyDescent="0.25">
      <c r="A51" s="290" t="s">
        <v>192</v>
      </c>
      <c r="B51" s="299">
        <f t="shared" ref="B51:B54" si="33">+B30</f>
        <v>6000</v>
      </c>
      <c r="C51" s="299">
        <f>C50+B51</f>
        <v>12000</v>
      </c>
      <c r="D51" s="292">
        <v>3428</v>
      </c>
      <c r="E51" s="313">
        <f>E50+D51</f>
        <v>6856</v>
      </c>
      <c r="F51" s="314" t="str">
        <f t="shared" ref="F51" si="34">IF(E51&gt;C51,"","OUI")</f>
        <v>OUI</v>
      </c>
      <c r="G51" s="300">
        <f t="shared" si="32"/>
        <v>12000</v>
      </c>
      <c r="H51" s="439">
        <f>G51-G50</f>
        <v>6000</v>
      </c>
    </row>
    <row r="52" spans="1:8" ht="26.25" customHeight="1" x14ac:dyDescent="0.25">
      <c r="A52" s="290" t="s">
        <v>193</v>
      </c>
      <c r="B52" s="299">
        <f t="shared" si="33"/>
        <v>6000</v>
      </c>
      <c r="C52" s="299">
        <f t="shared" ref="C52:C54" si="35">C51+B52</f>
        <v>18000</v>
      </c>
      <c r="D52" s="292">
        <v>3428</v>
      </c>
      <c r="E52" s="313">
        <f t="shared" ref="E52:E54" si="36">E51+D52</f>
        <v>10284</v>
      </c>
      <c r="F52" s="314" t="str">
        <f t="shared" ref="F52:F54" si="37">IF(E52&gt;C52,"","OUI")</f>
        <v>OUI</v>
      </c>
      <c r="G52" s="300">
        <f t="shared" ref="G52:G54" si="38">IF(C52&gt;E52,C52,0)</f>
        <v>18000</v>
      </c>
      <c r="H52" s="439">
        <f t="shared" ref="H52:H54" si="39">G52-G51</f>
        <v>6000</v>
      </c>
    </row>
    <row r="53" spans="1:8" ht="26.25" customHeight="1" x14ac:dyDescent="0.25">
      <c r="A53" s="290" t="s">
        <v>194</v>
      </c>
      <c r="B53" s="299">
        <f t="shared" si="33"/>
        <v>6000</v>
      </c>
      <c r="C53" s="299">
        <f t="shared" si="35"/>
        <v>24000</v>
      </c>
      <c r="D53" s="292">
        <v>3428</v>
      </c>
      <c r="E53" s="313">
        <f t="shared" si="36"/>
        <v>13712</v>
      </c>
      <c r="F53" s="314" t="str">
        <f t="shared" si="37"/>
        <v>OUI</v>
      </c>
      <c r="G53" s="300">
        <f t="shared" si="38"/>
        <v>24000</v>
      </c>
      <c r="H53" s="439">
        <f t="shared" si="39"/>
        <v>6000</v>
      </c>
    </row>
    <row r="54" spans="1:8" ht="26.25" customHeight="1" thickBot="1" x14ac:dyDescent="0.3">
      <c r="A54" s="341" t="s">
        <v>195</v>
      </c>
      <c r="B54" s="342">
        <f t="shared" si="33"/>
        <v>12000</v>
      </c>
      <c r="C54" s="342">
        <f t="shared" si="35"/>
        <v>36000</v>
      </c>
      <c r="D54" s="343">
        <v>3428</v>
      </c>
      <c r="E54" s="344">
        <f t="shared" si="36"/>
        <v>17140</v>
      </c>
      <c r="F54" s="345" t="str">
        <f t="shared" si="37"/>
        <v>OUI</v>
      </c>
      <c r="G54" s="346">
        <f t="shared" si="38"/>
        <v>36000</v>
      </c>
      <c r="H54" s="440">
        <f t="shared" si="39"/>
        <v>12000</v>
      </c>
    </row>
  </sheetData>
  <mergeCells count="1">
    <mergeCell ref="A35:H3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4F67-966E-4136-8D07-96AEB33EBC37}">
  <dimension ref="B1:P162"/>
  <sheetViews>
    <sheetView topLeftCell="A51" zoomScaleNormal="100" workbookViewId="0">
      <selection activeCell="E99" sqref="E99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2.42578125" style="11" bestFit="1" customWidth="1"/>
    <col min="11" max="11" width="12" style="11" bestFit="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6000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/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10.57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  <c r="J12" s="25"/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 t="s">
        <v>230</v>
      </c>
    </row>
    <row r="17" spans="2:16" ht="15.75" thickBot="1" x14ac:dyDescent="0.3">
      <c r="B17" s="45" t="s">
        <v>71</v>
      </c>
      <c r="C17" s="450"/>
      <c r="D17" s="451"/>
      <c r="E17" s="46" t="s">
        <v>72</v>
      </c>
      <c r="F17" s="450"/>
      <c r="G17" s="452"/>
      <c r="I17" s="28" t="s">
        <v>73</v>
      </c>
      <c r="J17" s="47">
        <f>'REGUL DUMONT'!G11</f>
        <v>3428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51">
        <f>'REGUL DUMONT'!H11</f>
        <v>8572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25">
        <v>0.31950000000000001</v>
      </c>
    </row>
    <row r="20" spans="2:16" s="56" customFormat="1" x14ac:dyDescent="0.25">
      <c r="B20" s="19" t="s">
        <v>11</v>
      </c>
      <c r="C20" s="57"/>
      <c r="D20" s="58"/>
      <c r="E20" s="26">
        <f>J3</f>
        <v>6000</v>
      </c>
      <c r="F20" s="59"/>
      <c r="G20" s="60"/>
      <c r="H20" s="11"/>
      <c r="I20" s="61" t="s">
        <v>80</v>
      </c>
      <c r="J20" s="62">
        <v>0.125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23" t="s">
        <v>1</v>
      </c>
      <c r="J21" s="72">
        <v>70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>
        <f>+J11</f>
        <v>0</v>
      </c>
      <c r="D22" s="69">
        <f>E20/J5</f>
        <v>40.816326530612244</v>
      </c>
      <c r="E22" s="66">
        <f>-D22*C22</f>
        <v>0</v>
      </c>
      <c r="F22" s="67"/>
      <c r="G22" s="68"/>
      <c r="I22" s="23" t="s">
        <v>2</v>
      </c>
      <c r="J22" s="72">
        <v>80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J23" s="70"/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49.449462649172553</v>
      </c>
      <c r="E24" s="72">
        <f>D24*C24</f>
        <v>0</v>
      </c>
      <c r="F24" s="73"/>
      <c r="G24" s="74"/>
      <c r="I24" s="40" t="s">
        <v>85</v>
      </c>
      <c r="J24" s="75">
        <v>1.4999999999999999E-2</v>
      </c>
    </row>
    <row r="25" spans="2:16" ht="15.75" x14ac:dyDescent="0.25">
      <c r="B25" s="23" t="s">
        <v>66</v>
      </c>
      <c r="C25" s="24">
        <f>J13</f>
        <v>0</v>
      </c>
      <c r="D25" s="71">
        <f>IF($J$4&gt;=151.67,$J$3/151.67*1.5,0)</f>
        <v>59.339355179007057</v>
      </c>
      <c r="E25" s="72">
        <f>D25*C25</f>
        <v>0</v>
      </c>
      <c r="F25" s="73"/>
      <c r="G25" s="76"/>
      <c r="I25" s="4" t="s">
        <v>86</v>
      </c>
      <c r="J25" s="77">
        <v>7.0000000000000007E-2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231</v>
      </c>
      <c r="J26" s="80">
        <v>4000</v>
      </c>
    </row>
    <row r="27" spans="2:16" x14ac:dyDescent="0.25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/>
      <c r="D29" s="24"/>
      <c r="E29" s="72"/>
      <c r="F29" s="82"/>
      <c r="G29" s="83"/>
      <c r="I29" s="84"/>
    </row>
    <row r="30" spans="2:16" x14ac:dyDescent="0.25">
      <c r="B30" s="23" t="s">
        <v>89</v>
      </c>
      <c r="C30" s="81"/>
      <c r="D30" s="24"/>
      <c r="E30" s="72"/>
      <c r="F30" s="82"/>
      <c r="G30" s="83"/>
    </row>
    <row r="31" spans="2:16" x14ac:dyDescent="0.25">
      <c r="B31" s="23"/>
      <c r="C31" s="85"/>
      <c r="D31" s="86"/>
      <c r="E31" s="87"/>
      <c r="F31" s="88"/>
      <c r="G31" s="89"/>
    </row>
    <row r="32" spans="2:16" ht="15.75" thickBot="1" x14ac:dyDescent="0.3">
      <c r="B32" s="90" t="s">
        <v>90</v>
      </c>
      <c r="C32" s="91"/>
      <c r="D32" s="92"/>
      <c r="E32" s="93">
        <f>-E143</f>
        <v>0</v>
      </c>
      <c r="F32" s="94"/>
      <c r="G32" s="95"/>
    </row>
    <row r="33" spans="2:7" x14ac:dyDescent="0.25">
      <c r="B33" s="96" t="s">
        <v>91</v>
      </c>
      <c r="C33" s="97"/>
      <c r="D33" s="98"/>
      <c r="E33" s="99">
        <f>-E162</f>
        <v>0</v>
      </c>
      <c r="F33" s="100"/>
      <c r="G33" s="101"/>
    </row>
    <row r="34" spans="2:7" x14ac:dyDescent="0.25">
      <c r="B34" s="90" t="s">
        <v>28</v>
      </c>
      <c r="C34" s="97"/>
      <c r="D34" s="98"/>
      <c r="E34" s="99">
        <f>E160</f>
        <v>0</v>
      </c>
      <c r="F34" s="100"/>
      <c r="G34" s="101"/>
    </row>
    <row r="35" spans="2:7" x14ac:dyDescent="0.25">
      <c r="B35" s="96"/>
      <c r="C35" s="97"/>
      <c r="D35" s="98"/>
      <c r="E35" s="99">
        <v>6000</v>
      </c>
      <c r="F35" s="100"/>
      <c r="G35" s="101"/>
    </row>
    <row r="36" spans="2:7" ht="15.75" thickBot="1" x14ac:dyDescent="0.3">
      <c r="B36" s="102" t="s">
        <v>92</v>
      </c>
      <c r="C36" s="97"/>
      <c r="D36" s="98">
        <f>J25</f>
        <v>7.0000000000000007E-2</v>
      </c>
      <c r="E36" s="103">
        <f>C36*D36</f>
        <v>0</v>
      </c>
      <c r="F36" s="100"/>
      <c r="G36" s="101"/>
    </row>
    <row r="37" spans="2:7" ht="16.5" thickTop="1" thickBot="1" x14ac:dyDescent="0.3">
      <c r="B37" s="104" t="s">
        <v>93</v>
      </c>
      <c r="C37" s="105"/>
      <c r="D37" s="106"/>
      <c r="E37" s="107">
        <f>SUM(E20:E36)</f>
        <v>12000</v>
      </c>
      <c r="F37" s="100"/>
      <c r="G37" s="101"/>
    </row>
    <row r="38" spans="2:7" ht="15.75" thickBot="1" x14ac:dyDescent="0.3">
      <c r="B38" s="108"/>
      <c r="C38" s="109"/>
      <c r="D38" s="110"/>
      <c r="E38" s="110"/>
      <c r="F38" s="111"/>
      <c r="G38" s="112"/>
    </row>
    <row r="39" spans="2:7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</row>
    <row r="40" spans="2:7" x14ac:dyDescent="0.25">
      <c r="B40" s="116" t="s">
        <v>99</v>
      </c>
      <c r="C40" s="117"/>
      <c r="D40" s="118"/>
      <c r="E40" s="118"/>
      <c r="F40" s="119"/>
      <c r="G40" s="120"/>
    </row>
    <row r="41" spans="2:7" x14ac:dyDescent="0.25">
      <c r="B41" s="121" t="s">
        <v>100</v>
      </c>
      <c r="C41" s="97">
        <f>E37</f>
        <v>12000</v>
      </c>
      <c r="D41" s="122"/>
      <c r="E41" s="123"/>
      <c r="F41" s="124">
        <v>0.13</v>
      </c>
      <c r="G41" s="125">
        <f>F41*C41</f>
        <v>1560</v>
      </c>
    </row>
    <row r="42" spans="2:7" x14ac:dyDescent="0.25">
      <c r="B42" s="121" t="s">
        <v>101</v>
      </c>
      <c r="C42" s="97">
        <f>$J$17</f>
        <v>3428</v>
      </c>
      <c r="D42" s="126"/>
      <c r="E42" s="127"/>
      <c r="F42" s="128">
        <f>J24</f>
        <v>1.4999999999999999E-2</v>
      </c>
      <c r="G42" s="125">
        <f>F42*C42</f>
        <v>51.419999999999995</v>
      </c>
    </row>
    <row r="43" spans="2:7" x14ac:dyDescent="0.25">
      <c r="B43" s="121" t="s">
        <v>102</v>
      </c>
      <c r="C43" s="97">
        <f>$J$18</f>
        <v>8572</v>
      </c>
      <c r="D43" s="126"/>
      <c r="E43" s="127"/>
      <c r="F43" s="128"/>
      <c r="G43" s="125">
        <f>F43*C43</f>
        <v>0</v>
      </c>
    </row>
    <row r="44" spans="2:7" x14ac:dyDescent="0.25">
      <c r="B44" s="121" t="s">
        <v>103</v>
      </c>
      <c r="C44" s="97"/>
      <c r="D44" s="126"/>
      <c r="E44" s="127">
        <f>'CALCULS DIVERS'!F3</f>
        <v>70</v>
      </c>
      <c r="F44" s="350"/>
      <c r="G44" s="125">
        <f>'CALCULS DIVERS'!G3</f>
        <v>80</v>
      </c>
    </row>
    <row r="45" spans="2:7" x14ac:dyDescent="0.25">
      <c r="B45" s="129" t="s">
        <v>104</v>
      </c>
      <c r="C45" s="97">
        <f>J17+J18</f>
        <v>12000</v>
      </c>
      <c r="E45" s="97"/>
      <c r="F45" s="130">
        <f>J7</f>
        <v>3.5999999999999997E-2</v>
      </c>
      <c r="G45" s="125">
        <f>F45*C45</f>
        <v>431.99999999999994</v>
      </c>
    </row>
    <row r="46" spans="2:7" x14ac:dyDescent="0.25">
      <c r="B46" s="116" t="s">
        <v>105</v>
      </c>
      <c r="C46" s="117"/>
      <c r="D46" s="118"/>
      <c r="E46" s="118"/>
      <c r="F46" s="119"/>
      <c r="G46" s="120"/>
    </row>
    <row r="47" spans="2:7" x14ac:dyDescent="0.25">
      <c r="B47" s="121" t="s">
        <v>106</v>
      </c>
      <c r="C47" s="97">
        <f>$J$17</f>
        <v>3428</v>
      </c>
      <c r="D47" s="126">
        <v>6.9000000000000006E-2</v>
      </c>
      <c r="E47" s="127">
        <f>D47*C47</f>
        <v>236.53200000000001</v>
      </c>
      <c r="F47" s="128">
        <v>8.5500000000000007E-2</v>
      </c>
      <c r="G47" s="125">
        <f>F47*C47</f>
        <v>293.09399999999999</v>
      </c>
    </row>
    <row r="48" spans="2:7" x14ac:dyDescent="0.25">
      <c r="B48" s="121" t="s">
        <v>107</v>
      </c>
      <c r="C48" s="97">
        <f>$E$37</f>
        <v>12000</v>
      </c>
      <c r="D48" s="126">
        <v>4.0000000000000001E-3</v>
      </c>
      <c r="E48" s="127">
        <f t="shared" ref="E48:E51" si="1">D48*C48</f>
        <v>48</v>
      </c>
      <c r="F48" s="128">
        <v>1.9E-2</v>
      </c>
      <c r="G48" s="125">
        <f t="shared" ref="G48:G51" si="2">F48*C48</f>
        <v>228</v>
      </c>
    </row>
    <row r="49" spans="2:7" x14ac:dyDescent="0.25">
      <c r="B49" s="121" t="s">
        <v>108</v>
      </c>
      <c r="C49" s="97">
        <f>$J$17</f>
        <v>3428</v>
      </c>
      <c r="D49" s="126">
        <v>4.0099999999999997E-2</v>
      </c>
      <c r="E49" s="127">
        <f t="shared" si="1"/>
        <v>137.46279999999999</v>
      </c>
      <c r="F49" s="128">
        <v>6.0100000000000001E-2</v>
      </c>
      <c r="G49" s="125">
        <f t="shared" si="2"/>
        <v>206.02279999999999</v>
      </c>
    </row>
    <row r="50" spans="2:7" x14ac:dyDescent="0.25">
      <c r="B50" s="121" t="s">
        <v>109</v>
      </c>
      <c r="C50" s="97">
        <f>+J18</f>
        <v>8572</v>
      </c>
      <c r="D50" s="126">
        <v>9.7199999999999995E-2</v>
      </c>
      <c r="E50" s="127">
        <f t="shared" si="1"/>
        <v>833.19839999999999</v>
      </c>
      <c r="F50" s="128">
        <v>0.1457</v>
      </c>
      <c r="G50" s="125">
        <f t="shared" si="2"/>
        <v>1248.9404</v>
      </c>
    </row>
    <row r="51" spans="2:7" x14ac:dyDescent="0.25">
      <c r="B51" s="121" t="s">
        <v>110</v>
      </c>
      <c r="C51" s="97">
        <f>'REGUL DUMONT'!H54</f>
        <v>12000</v>
      </c>
      <c r="D51" s="126">
        <v>1.4E-3</v>
      </c>
      <c r="E51" s="127">
        <f t="shared" si="1"/>
        <v>16.8</v>
      </c>
      <c r="F51" s="128">
        <v>2.0999999999999999E-3</v>
      </c>
      <c r="G51" s="125">
        <f t="shared" si="2"/>
        <v>25.2</v>
      </c>
    </row>
    <row r="52" spans="2:7" x14ac:dyDescent="0.25">
      <c r="B52" s="121" t="s">
        <v>111</v>
      </c>
      <c r="C52" s="97"/>
      <c r="D52" s="126"/>
      <c r="E52" s="127"/>
      <c r="F52" s="128"/>
      <c r="G52" s="125"/>
    </row>
    <row r="53" spans="2:7" x14ac:dyDescent="0.25">
      <c r="B53" s="116" t="s">
        <v>112</v>
      </c>
      <c r="C53" s="97">
        <f>E37</f>
        <v>12000</v>
      </c>
      <c r="D53" s="131"/>
      <c r="E53" s="97"/>
      <c r="F53" s="128">
        <v>5.2499999999999998E-2</v>
      </c>
      <c r="G53" s="132">
        <f>F53*C53</f>
        <v>630</v>
      </c>
    </row>
    <row r="54" spans="2:7" x14ac:dyDescent="0.25">
      <c r="B54" s="116" t="s">
        <v>113</v>
      </c>
      <c r="C54" s="97"/>
      <c r="D54" s="131"/>
      <c r="E54" s="97"/>
      <c r="F54" s="133"/>
      <c r="G54" s="125"/>
    </row>
    <row r="55" spans="2:7" x14ac:dyDescent="0.25">
      <c r="B55" s="121" t="s">
        <v>114</v>
      </c>
      <c r="C55" s="97">
        <f>+E37</f>
        <v>12000</v>
      </c>
      <c r="D55" s="131"/>
      <c r="E55" s="97"/>
      <c r="F55" s="134"/>
      <c r="G55" s="125">
        <f t="shared" ref="G55" si="3">F55*C55</f>
        <v>0</v>
      </c>
    </row>
    <row r="56" spans="2:7" x14ac:dyDescent="0.25">
      <c r="B56" s="121" t="s">
        <v>115</v>
      </c>
      <c r="C56" s="97">
        <f>+E37</f>
        <v>12000</v>
      </c>
      <c r="D56" s="135">
        <v>2.4000000000000001E-4</v>
      </c>
      <c r="E56" s="136">
        <f>D56*C56</f>
        <v>2.88</v>
      </c>
      <c r="F56" s="133">
        <v>3.6000000000000002E-4</v>
      </c>
      <c r="G56" s="137">
        <f>C56*F56</f>
        <v>4.32</v>
      </c>
    </row>
    <row r="57" spans="2:7" x14ac:dyDescent="0.25">
      <c r="B57" s="116" t="s">
        <v>116</v>
      </c>
      <c r="C57" s="97"/>
      <c r="D57" s="131"/>
      <c r="E57" s="97"/>
      <c r="F57" s="133"/>
      <c r="G57" s="125">
        <f>E101</f>
        <v>187.02799999999999</v>
      </c>
    </row>
    <row r="58" spans="2:7" x14ac:dyDescent="0.25">
      <c r="B58" s="129"/>
      <c r="C58" s="97"/>
      <c r="D58" s="97"/>
      <c r="E58" s="97"/>
      <c r="F58" s="97"/>
      <c r="G58" s="138"/>
    </row>
    <row r="59" spans="2:7" ht="25.5" x14ac:dyDescent="0.25">
      <c r="B59" s="139" t="s">
        <v>117</v>
      </c>
      <c r="C59" s="97"/>
      <c r="D59" s="97"/>
      <c r="E59" s="97"/>
      <c r="F59" s="97"/>
      <c r="G59" s="138"/>
    </row>
    <row r="60" spans="2:7" x14ac:dyDescent="0.25">
      <c r="B60" s="129"/>
      <c r="C60" s="97"/>
      <c r="D60" s="135"/>
      <c r="E60" s="97"/>
      <c r="F60" s="140"/>
      <c r="G60" s="125"/>
    </row>
    <row r="61" spans="2:7" x14ac:dyDescent="0.25">
      <c r="B61" s="129" t="s">
        <v>118</v>
      </c>
      <c r="C61" s="97">
        <f>(E37-E24-E25-E26-E27)*0.9825+G42+G43+G44</f>
        <v>11921.42</v>
      </c>
      <c r="D61" s="126">
        <v>6.8000000000000005E-2</v>
      </c>
      <c r="E61" s="127">
        <f>D61*C61</f>
        <v>810.65656000000001</v>
      </c>
      <c r="F61" s="128"/>
      <c r="G61" s="125"/>
    </row>
    <row r="62" spans="2:7" x14ac:dyDescent="0.25">
      <c r="B62" s="129" t="s">
        <v>119</v>
      </c>
      <c r="C62" s="97">
        <f>C61</f>
        <v>11921.42</v>
      </c>
      <c r="D62" s="126">
        <v>2.9000000000000001E-2</v>
      </c>
      <c r="E62" s="127">
        <f>D62*C62</f>
        <v>345.72118</v>
      </c>
      <c r="F62" s="128"/>
      <c r="G62" s="125"/>
    </row>
    <row r="63" spans="2:7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7" ht="15.75" thickBot="1" x14ac:dyDescent="0.3">
      <c r="B64" s="389" t="s">
        <v>266</v>
      </c>
      <c r="C64" s="126"/>
      <c r="D64" s="126"/>
      <c r="E64" s="127"/>
      <c r="F64" s="128"/>
      <c r="G64" s="138">
        <f>-I122</f>
        <v>0</v>
      </c>
    </row>
    <row r="65" spans="2:7" ht="15.75" thickBot="1" x14ac:dyDescent="0.3">
      <c r="B65" s="149" t="s">
        <v>124</v>
      </c>
      <c r="C65" s="150"/>
      <c r="D65" s="151"/>
      <c r="E65" s="152">
        <f>SUM(E41:E64)</f>
        <v>2501.2509400000004</v>
      </c>
      <c r="F65" s="153"/>
      <c r="G65" s="154">
        <f>SUM(G41:G64)</f>
        <v>4946.0252</v>
      </c>
    </row>
    <row r="66" spans="2:7" x14ac:dyDescent="0.25">
      <c r="B66" s="155"/>
      <c r="C66" s="156"/>
      <c r="D66" s="157"/>
      <c r="E66" s="158"/>
      <c r="F66" s="159"/>
      <c r="G66" s="160"/>
    </row>
    <row r="67" spans="2:7" x14ac:dyDescent="0.25">
      <c r="B67" s="121" t="s">
        <v>125</v>
      </c>
      <c r="C67" s="127"/>
      <c r="D67" s="161"/>
      <c r="E67" s="162"/>
      <c r="F67" s="163"/>
      <c r="G67" s="164"/>
    </row>
    <row r="68" spans="2:7" x14ac:dyDescent="0.25">
      <c r="B68" s="121" t="s">
        <v>126</v>
      </c>
      <c r="C68" s="127"/>
      <c r="D68" s="161"/>
      <c r="E68" s="162"/>
      <c r="F68" s="163"/>
      <c r="G68" s="164"/>
    </row>
    <row r="69" spans="2:7" x14ac:dyDescent="0.25">
      <c r="B69" s="121" t="s">
        <v>127</v>
      </c>
      <c r="C69" s="127"/>
      <c r="D69" s="161"/>
      <c r="E69" s="127"/>
      <c r="F69" s="163"/>
      <c r="G69" s="164"/>
    </row>
    <row r="70" spans="2:7" ht="15.75" customHeight="1" x14ac:dyDescent="0.25">
      <c r="B70" s="165" t="s">
        <v>128</v>
      </c>
      <c r="C70" s="127"/>
      <c r="D70" s="161"/>
      <c r="E70" s="166"/>
      <c r="F70" s="163"/>
      <c r="G70" s="164"/>
    </row>
    <row r="71" spans="2:7" x14ac:dyDescent="0.25">
      <c r="B71" s="167" t="s">
        <v>129</v>
      </c>
      <c r="D71" s="168"/>
      <c r="E71" s="169"/>
      <c r="F71" s="170"/>
      <c r="G71" s="164"/>
    </row>
    <row r="72" spans="2:7" x14ac:dyDescent="0.25">
      <c r="B72" s="171"/>
      <c r="C72" s="127"/>
      <c r="D72" s="161"/>
      <c r="E72" s="172"/>
      <c r="F72" s="163"/>
      <c r="G72" s="164"/>
    </row>
    <row r="73" spans="2:7" ht="15.75" thickBot="1" x14ac:dyDescent="0.3">
      <c r="B73" s="143"/>
      <c r="C73" s="146"/>
      <c r="D73" s="173"/>
      <c r="E73" s="174"/>
      <c r="F73" s="175"/>
      <c r="G73" s="148"/>
    </row>
    <row r="74" spans="2:7" ht="27.75" customHeight="1" thickBot="1" x14ac:dyDescent="0.3">
      <c r="B74" s="176" t="s">
        <v>130</v>
      </c>
      <c r="C74" s="150"/>
      <c r="D74" s="151"/>
      <c r="E74" s="152"/>
      <c r="F74" s="153"/>
      <c r="G74" s="177">
        <f>E37-E65+E67+E68+E69+E70+E71+E72+E73</f>
        <v>9498.7490600000001</v>
      </c>
    </row>
    <row r="75" spans="2:7" ht="28.5" x14ac:dyDescent="0.25">
      <c r="B75" s="178" t="s">
        <v>131</v>
      </c>
      <c r="C75" s="179"/>
      <c r="D75" s="180"/>
      <c r="E75" s="181"/>
      <c r="F75" s="182"/>
      <c r="G75" s="183"/>
    </row>
    <row r="76" spans="2:7" x14ac:dyDescent="0.25">
      <c r="B76" s="390" t="s">
        <v>132</v>
      </c>
      <c r="C76" s="390" t="s">
        <v>133</v>
      </c>
      <c r="D76" s="390" t="s">
        <v>96</v>
      </c>
      <c r="E76" s="391" t="s">
        <v>134</v>
      </c>
      <c r="F76" s="391"/>
      <c r="G76" s="392" t="s">
        <v>267</v>
      </c>
    </row>
    <row r="77" spans="2:7" x14ac:dyDescent="0.25">
      <c r="B77" s="393" t="s">
        <v>268</v>
      </c>
      <c r="C77" s="394"/>
      <c r="D77" s="400"/>
      <c r="E77" s="396">
        <f>E37+G44+E62-E65</f>
        <v>9924.4702400000006</v>
      </c>
      <c r="F77" s="397"/>
      <c r="G77" s="398"/>
    </row>
    <row r="78" spans="2:7" x14ac:dyDescent="0.25">
      <c r="B78" s="393" t="s">
        <v>269</v>
      </c>
      <c r="C78" s="399">
        <f>E77</f>
        <v>9924.4702400000006</v>
      </c>
      <c r="D78" s="400">
        <v>0.125</v>
      </c>
      <c r="E78" s="396">
        <f>D78*C78</f>
        <v>1240.5587800000001</v>
      </c>
      <c r="F78" s="397"/>
      <c r="G78" s="398"/>
    </row>
    <row r="79" spans="2:7" x14ac:dyDescent="0.25">
      <c r="B79" s="393" t="s">
        <v>270</v>
      </c>
      <c r="C79" s="394"/>
      <c r="D79" s="396"/>
      <c r="E79" s="395"/>
      <c r="F79" s="397"/>
      <c r="G79" s="398"/>
    </row>
    <row r="80" spans="2:7" x14ac:dyDescent="0.25">
      <c r="B80" s="393"/>
      <c r="C80" s="394"/>
      <c r="D80" s="395"/>
      <c r="E80" s="395"/>
      <c r="F80" s="397"/>
      <c r="G80" s="401"/>
    </row>
    <row r="81" spans="2:7" x14ac:dyDescent="0.25">
      <c r="B81" s="402" t="s">
        <v>271</v>
      </c>
      <c r="C81" s="395"/>
      <c r="D81" s="395"/>
      <c r="E81" s="396">
        <f>G74-E78</f>
        <v>8258.1902800000007</v>
      </c>
      <c r="F81" s="397"/>
      <c r="G81" s="398"/>
    </row>
    <row r="82" spans="2:7" x14ac:dyDescent="0.25">
      <c r="B82" s="393" t="s">
        <v>272</v>
      </c>
      <c r="C82" s="395"/>
      <c r="D82" s="395"/>
      <c r="E82" s="395"/>
      <c r="F82" s="397"/>
      <c r="G82" s="398"/>
    </row>
    <row r="83" spans="2:7" x14ac:dyDescent="0.25">
      <c r="B83" s="393" t="s">
        <v>273</v>
      </c>
      <c r="C83" s="403"/>
      <c r="D83" s="395"/>
      <c r="E83" s="396">
        <f>E37+G65</f>
        <v>16946.0252</v>
      </c>
      <c r="F83" s="397"/>
      <c r="G83" s="398"/>
    </row>
    <row r="84" spans="2:7" ht="15.75" thickBot="1" x14ac:dyDescent="0.3">
      <c r="B84" s="404" t="s">
        <v>138</v>
      </c>
      <c r="C84" s="187"/>
      <c r="D84" s="187"/>
      <c r="E84" s="187"/>
      <c r="F84" s="405"/>
      <c r="G84" s="406"/>
    </row>
    <row r="85" spans="2:7" ht="15.75" thickBot="1" x14ac:dyDescent="0.3">
      <c r="B85" s="185" t="s">
        <v>138</v>
      </c>
      <c r="C85" s="186"/>
      <c r="D85" s="186"/>
      <c r="E85" s="187"/>
      <c r="F85" s="187"/>
      <c r="G85" s="188"/>
    </row>
    <row r="88" spans="2:7" s="189" customFormat="1" ht="15.75" thickBot="1" x14ac:dyDescent="0.3">
      <c r="B88" s="456" t="s">
        <v>116</v>
      </c>
      <c r="C88" s="457"/>
      <c r="D88" s="11"/>
      <c r="E88" s="11"/>
    </row>
    <row r="89" spans="2:7" s="189" customFormat="1" x14ac:dyDescent="0.25">
      <c r="B89" s="190"/>
      <c r="C89" s="191"/>
      <c r="D89" s="458">
        <f>+E37</f>
        <v>12000</v>
      </c>
      <c r="E89" s="192"/>
    </row>
    <row r="90" spans="2:7" s="189" customFormat="1" x14ac:dyDescent="0.25">
      <c r="B90" s="193" t="s">
        <v>139</v>
      </c>
      <c r="C90" s="194">
        <f>IF(J6&gt;=11,J8,0)</f>
        <v>0</v>
      </c>
      <c r="D90" s="459"/>
      <c r="E90" s="195">
        <f>C90*$D$89</f>
        <v>0</v>
      </c>
    </row>
    <row r="91" spans="2:7" s="189" customFormat="1" x14ac:dyDescent="0.25">
      <c r="B91" s="193" t="s">
        <v>140</v>
      </c>
      <c r="C91" s="194">
        <f>IF(J6&lt;50,0%,0.5%)</f>
        <v>0</v>
      </c>
      <c r="D91" s="459"/>
      <c r="E91" s="195">
        <f t="shared" ref="E91:E96" si="4">C91*$D$89</f>
        <v>0</v>
      </c>
    </row>
    <row r="92" spans="2:7" s="189" customFormat="1" x14ac:dyDescent="0.25">
      <c r="B92" s="193" t="s">
        <v>141</v>
      </c>
      <c r="C92" s="194"/>
      <c r="D92" s="459"/>
      <c r="E92" s="195">
        <f t="shared" si="4"/>
        <v>0</v>
      </c>
    </row>
    <row r="93" spans="2:7" s="189" customFormat="1" x14ac:dyDescent="0.25">
      <c r="B93" s="193" t="s">
        <v>142</v>
      </c>
      <c r="C93" s="194">
        <v>3.0000000000000001E-3</v>
      </c>
      <c r="D93" s="459"/>
      <c r="E93" s="195">
        <f t="shared" si="4"/>
        <v>36</v>
      </c>
    </row>
    <row r="94" spans="2:7" s="189" customFormat="1" x14ac:dyDescent="0.25">
      <c r="B94" s="193" t="s">
        <v>143</v>
      </c>
      <c r="C94" s="194">
        <v>6.7999999999999996E-3</v>
      </c>
      <c r="D94" s="459"/>
      <c r="E94" s="195">
        <f t="shared" si="4"/>
        <v>81.599999999999994</v>
      </c>
    </row>
    <row r="95" spans="2:7" s="189" customFormat="1" x14ac:dyDescent="0.25">
      <c r="B95" s="193" t="s">
        <v>144</v>
      </c>
      <c r="C95" s="194">
        <f>IF(J6&lt;11,0.55%,1%)</f>
        <v>5.5000000000000005E-3</v>
      </c>
      <c r="D95" s="459"/>
      <c r="E95" s="195">
        <f t="shared" si="4"/>
        <v>66</v>
      </c>
    </row>
    <row r="96" spans="2:7" s="189" customFormat="1" x14ac:dyDescent="0.25">
      <c r="B96" s="193"/>
      <c r="C96" s="194">
        <f>IF(J6&lt;=50,0,0.45%)</f>
        <v>0</v>
      </c>
      <c r="D96" s="459"/>
      <c r="E96" s="195">
        <f t="shared" si="4"/>
        <v>0</v>
      </c>
    </row>
    <row r="97" spans="2:5" s="189" customFormat="1" x14ac:dyDescent="0.25">
      <c r="B97" s="23"/>
      <c r="C97" s="24"/>
      <c r="D97" s="24"/>
      <c r="E97" s="25"/>
    </row>
    <row r="98" spans="2:5" s="189" customFormat="1" x14ac:dyDescent="0.25">
      <c r="B98" s="23" t="s">
        <v>145</v>
      </c>
      <c r="C98" s="196">
        <f>IF(J6&gt;=11,+G42+G43+G44,0)</f>
        <v>0</v>
      </c>
      <c r="D98" s="197">
        <v>0.08</v>
      </c>
      <c r="E98" s="198">
        <f>D98*C98</f>
        <v>0</v>
      </c>
    </row>
    <row r="99" spans="2:5" s="189" customFormat="1" ht="15.75" thickBot="1" x14ac:dyDescent="0.3">
      <c r="B99" s="40" t="s">
        <v>146</v>
      </c>
      <c r="C99" s="199">
        <f>IF(J6&lt;50,J17,0)</f>
        <v>3428</v>
      </c>
      <c r="D99" s="200">
        <v>1E-3</v>
      </c>
      <c r="E99" s="201">
        <f>D99*C99</f>
        <v>3.4279999999999999</v>
      </c>
    </row>
    <row r="100" spans="2:5" s="189" customFormat="1" ht="15.75" thickBot="1" x14ac:dyDescent="0.3">
      <c r="B100" s="11"/>
      <c r="C100" s="11"/>
      <c r="D100" s="11"/>
      <c r="E100" s="11"/>
    </row>
    <row r="101" spans="2:5" s="189" customFormat="1" ht="15.75" thickBot="1" x14ac:dyDescent="0.3">
      <c r="B101" s="202" t="s">
        <v>147</v>
      </c>
      <c r="C101" s="203"/>
      <c r="D101" s="203"/>
      <c r="E101" s="204">
        <f>SUM(E90:E99)</f>
        <v>187.02799999999999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thickBot="1" x14ac:dyDescent="0.3">
      <c r="B103" s="460" t="s">
        <v>148</v>
      </c>
      <c r="C103" s="461"/>
      <c r="D103" s="461"/>
      <c r="E103" s="462"/>
    </row>
    <row r="104" spans="2:5" s="189" customFormat="1" x14ac:dyDescent="0.25">
      <c r="B104" s="205" t="s">
        <v>149</v>
      </c>
      <c r="C104" s="206"/>
      <c r="D104" s="207">
        <v>2.4E-2</v>
      </c>
      <c r="E104" s="208">
        <f>D104*C104</f>
        <v>0</v>
      </c>
    </row>
    <row r="105" spans="2:5" s="189" customFormat="1" x14ac:dyDescent="0.25">
      <c r="B105" s="209" t="s">
        <v>17</v>
      </c>
      <c r="C105" s="206">
        <f>C104</f>
        <v>0</v>
      </c>
      <c r="D105" s="210">
        <v>7.4999999999999997E-3</v>
      </c>
      <c r="E105" s="211">
        <f t="shared" ref="E105:E106" si="5">D105*C105</f>
        <v>0</v>
      </c>
    </row>
    <row r="106" spans="2:5" s="189" customFormat="1" x14ac:dyDescent="0.25">
      <c r="B106" s="209" t="s">
        <v>150</v>
      </c>
      <c r="C106" s="206">
        <f>C61+C63</f>
        <v>11921.42</v>
      </c>
      <c r="D106" s="210">
        <v>-1.7000000000000001E-2</v>
      </c>
      <c r="E106" s="211">
        <f t="shared" si="5"/>
        <v>-202.66414</v>
      </c>
    </row>
    <row r="107" spans="2:5" s="189" customFormat="1" x14ac:dyDescent="0.25">
      <c r="B107" s="184"/>
      <c r="C107" s="212"/>
      <c r="D107" s="213"/>
      <c r="E107" s="214"/>
    </row>
    <row r="108" spans="2:5" s="189" customFormat="1" ht="15.75" thickBot="1" x14ac:dyDescent="0.3">
      <c r="B108" s="215" t="s">
        <v>151</v>
      </c>
      <c r="C108" s="216"/>
      <c r="D108" s="217"/>
      <c r="E108" s="218">
        <v>0</v>
      </c>
    </row>
    <row r="109" spans="2:5" s="189" customFormat="1" ht="12.75" x14ac:dyDescent="0.25"/>
    <row r="110" spans="2:5" s="189" customFormat="1" ht="13.5" thickBot="1" x14ac:dyDescent="0.3"/>
    <row r="111" spans="2:5" s="189" customFormat="1" thickBot="1" x14ac:dyDescent="0.3">
      <c r="B111" s="460" t="s">
        <v>152</v>
      </c>
      <c r="C111" s="461"/>
      <c r="D111" s="461"/>
      <c r="E111" s="462"/>
    </row>
    <row r="112" spans="2:5" s="189" customFormat="1" ht="15.75" customHeight="1" x14ac:dyDescent="0.25">
      <c r="B112" s="219" t="s">
        <v>153</v>
      </c>
      <c r="C112" s="220"/>
      <c r="D112" s="220"/>
      <c r="E112" s="221">
        <f>I122</f>
        <v>0</v>
      </c>
    </row>
    <row r="113" spans="2:9" s="189" customFormat="1" ht="15.75" customHeight="1" x14ac:dyDescent="0.25">
      <c r="B113" s="222" t="s">
        <v>154</v>
      </c>
      <c r="C113" s="223"/>
      <c r="D113" s="224">
        <v>1.5</v>
      </c>
      <c r="E113" s="225">
        <f>D113*C113</f>
        <v>0</v>
      </c>
    </row>
    <row r="114" spans="2:9" s="189" customFormat="1" ht="15.75" customHeight="1" x14ac:dyDescent="0.25">
      <c r="B114" s="222" t="s">
        <v>155</v>
      </c>
      <c r="C114" s="226">
        <v>0</v>
      </c>
      <c r="D114" s="210">
        <v>1.7999999999999999E-2</v>
      </c>
      <c r="E114" s="225">
        <f>D114*C114</f>
        <v>0</v>
      </c>
    </row>
    <row r="115" spans="2:9" s="189" customFormat="1" ht="15.75" customHeight="1" x14ac:dyDescent="0.25">
      <c r="B115" s="222" t="s">
        <v>156</v>
      </c>
      <c r="C115" s="226">
        <v>0</v>
      </c>
      <c r="D115" s="210">
        <v>0.06</v>
      </c>
      <c r="E115" s="225">
        <f>D115*C115</f>
        <v>0</v>
      </c>
    </row>
    <row r="116" spans="2:9" s="189" customFormat="1" ht="15.75" customHeight="1" thickBot="1" x14ac:dyDescent="0.3">
      <c r="B116" s="227" t="s">
        <v>157</v>
      </c>
      <c r="C116" s="228"/>
      <c r="D116" s="228"/>
      <c r="E116" s="229">
        <f>E112+E113+E114+E115</f>
        <v>0</v>
      </c>
    </row>
    <row r="119" spans="2:9" ht="15.75" hidden="1" thickBot="1" x14ac:dyDescent="0.3">
      <c r="B119" s="230" t="s">
        <v>158</v>
      </c>
      <c r="C119" s="231">
        <f>J19</f>
        <v>0.31950000000000001</v>
      </c>
      <c r="D119" s="232"/>
      <c r="E119" s="232"/>
      <c r="F119" s="232"/>
      <c r="G119" s="232"/>
      <c r="H119" s="232"/>
      <c r="I119" s="232"/>
    </row>
    <row r="120" spans="2:9" hidden="1" x14ac:dyDescent="0.25">
      <c r="B120" s="232"/>
      <c r="C120" s="232"/>
      <c r="D120" s="232"/>
      <c r="E120" s="232"/>
      <c r="F120" s="232"/>
      <c r="G120" s="232"/>
      <c r="H120" s="232"/>
      <c r="I120" s="232"/>
    </row>
    <row r="121" spans="2:9" ht="30" hidden="1" x14ac:dyDescent="0.25">
      <c r="B121" s="3" t="s">
        <v>159</v>
      </c>
      <c r="C121" s="233" t="s">
        <v>160</v>
      </c>
      <c r="D121" s="233" t="s">
        <v>161</v>
      </c>
      <c r="E121" s="234" t="s">
        <v>162</v>
      </c>
      <c r="F121" s="235" t="s">
        <v>163</v>
      </c>
      <c r="G121" s="235" t="s">
        <v>164</v>
      </c>
      <c r="H121" s="235" t="s">
        <v>165</v>
      </c>
      <c r="I121" s="236" t="s">
        <v>166</v>
      </c>
    </row>
    <row r="122" spans="2:9" ht="15.75" hidden="1" thickBot="1" x14ac:dyDescent="0.3">
      <c r="B122" s="79" t="s">
        <v>167</v>
      </c>
      <c r="C122" s="237"/>
      <c r="D122" s="238">
        <f>C122</f>
        <v>0</v>
      </c>
      <c r="E122" s="239">
        <v>1603.12</v>
      </c>
      <c r="F122" s="237">
        <f>+E122</f>
        <v>1603.12</v>
      </c>
      <c r="G122" s="240" t="e">
        <f>ROUND((C119/0.6)*((1.6*F122/D122)-1),4)</f>
        <v>#DIV/0!</v>
      </c>
      <c r="H122" s="238" t="e">
        <f>IF(G122&gt;0,G122*D122,0)</f>
        <v>#DIV/0!</v>
      </c>
      <c r="I122" s="241">
        <v>0</v>
      </c>
    </row>
    <row r="123" spans="2:9" hidden="1" x14ac:dyDescent="0.25"/>
    <row r="124" spans="2:9" hidden="1" x14ac:dyDescent="0.25"/>
    <row r="125" spans="2:9" ht="18.75" hidden="1" x14ac:dyDescent="0.25">
      <c r="B125" s="463" t="s">
        <v>168</v>
      </c>
      <c r="C125" s="464"/>
      <c r="D125" s="464"/>
      <c r="E125" s="464"/>
    </row>
    <row r="126" spans="2:9" hidden="1" x14ac:dyDescent="0.25"/>
    <row r="127" spans="2:9" hidden="1" x14ac:dyDescent="0.25">
      <c r="B127" s="242" t="s">
        <v>169</v>
      </c>
      <c r="C127" s="243" t="s">
        <v>170</v>
      </c>
      <c r="D127" s="244" t="s">
        <v>171</v>
      </c>
      <c r="E127" s="244" t="s">
        <v>172</v>
      </c>
      <c r="F127" s="245" t="s">
        <v>173</v>
      </c>
    </row>
    <row r="128" spans="2:9" hidden="1" x14ac:dyDescent="0.25">
      <c r="B128" s="246" t="s">
        <v>174</v>
      </c>
      <c r="C128" s="2"/>
      <c r="D128" s="247">
        <f>C128-25</f>
        <v>-25</v>
      </c>
      <c r="E128" s="247">
        <f>IF(D128&lt;2.8,D128,2.8)</f>
        <v>-25</v>
      </c>
      <c r="F128" s="7">
        <f>IF(D128&gt;2.8,D128-2.8,0)</f>
        <v>0</v>
      </c>
    </row>
    <row r="129" spans="2:6" hidden="1" x14ac:dyDescent="0.25">
      <c r="B129" s="246" t="s">
        <v>175</v>
      </c>
      <c r="C129" s="2"/>
      <c r="D129" s="247">
        <f>C129-25</f>
        <v>-25</v>
      </c>
      <c r="E129" s="247">
        <f t="shared" ref="E129:E131" si="6">IF(D129&lt;2.8,D129,2.8)</f>
        <v>-25</v>
      </c>
      <c r="F129" s="7">
        <f t="shared" ref="F129:F131" si="7">IF(D129&gt;2.8,D129-2.8,0)</f>
        <v>0</v>
      </c>
    </row>
    <row r="130" spans="2:6" hidden="1" x14ac:dyDescent="0.25">
      <c r="B130" s="246" t="s">
        <v>176</v>
      </c>
      <c r="C130" s="2"/>
      <c r="D130" s="247">
        <f t="shared" ref="D130:D131" si="8">C130-25</f>
        <v>-25</v>
      </c>
      <c r="E130" s="247">
        <f t="shared" si="6"/>
        <v>-25</v>
      </c>
      <c r="F130" s="7">
        <f t="shared" si="7"/>
        <v>0</v>
      </c>
    </row>
    <row r="131" spans="2:6" hidden="1" x14ac:dyDescent="0.25">
      <c r="B131" s="246" t="s">
        <v>177</v>
      </c>
      <c r="C131" s="2"/>
      <c r="D131" s="247">
        <f t="shared" si="8"/>
        <v>-25</v>
      </c>
      <c r="E131" s="248">
        <f t="shared" si="6"/>
        <v>-25</v>
      </c>
      <c r="F131" s="249">
        <f t="shared" si="7"/>
        <v>0</v>
      </c>
    </row>
    <row r="132" spans="2:6" ht="15.75" hidden="1" thickBot="1" x14ac:dyDescent="0.3">
      <c r="B132" s="250" t="s">
        <v>178</v>
      </c>
      <c r="C132" s="2"/>
      <c r="D132" s="465" t="s">
        <v>179</v>
      </c>
      <c r="E132" s="465"/>
      <c r="F132" s="466"/>
    </row>
    <row r="133" spans="2:6" ht="15.75" hidden="1" thickBot="1" x14ac:dyDescent="0.3">
      <c r="B133" s="251" t="s">
        <v>180</v>
      </c>
      <c r="C133" s="252"/>
      <c r="D133" s="252">
        <f>SUM(D128:D131)</f>
        <v>-100</v>
      </c>
      <c r="E133" s="252">
        <f>SUM(E128:E131)</f>
        <v>-100</v>
      </c>
      <c r="F133" s="253">
        <f>SUM(F128:F131)</f>
        <v>0</v>
      </c>
    </row>
    <row r="134" spans="2:6" hidden="1" x14ac:dyDescent="0.25"/>
    <row r="135" spans="2:6" ht="18.75" customHeight="1" x14ac:dyDescent="0.25">
      <c r="B135" s="9"/>
      <c r="C135" s="254"/>
      <c r="D135" s="255"/>
      <c r="E135" s="9"/>
      <c r="F135" s="9"/>
    </row>
    <row r="136" spans="2:6" ht="18.75" x14ac:dyDescent="0.25">
      <c r="B136" s="463" t="s">
        <v>9</v>
      </c>
      <c r="C136" s="464"/>
      <c r="D136" s="464"/>
      <c r="E136" s="464"/>
    </row>
    <row r="137" spans="2:6" ht="15.75" thickBot="1" x14ac:dyDescent="0.3"/>
    <row r="138" spans="2:6" x14ac:dyDescent="0.25">
      <c r="B138" s="453" t="s">
        <v>10</v>
      </c>
      <c r="C138" s="454"/>
      <c r="D138" s="454"/>
      <c r="E138" s="455"/>
    </row>
    <row r="139" spans="2:6" x14ac:dyDescent="0.25">
      <c r="B139" s="256" t="s">
        <v>11</v>
      </c>
      <c r="C139" s="257"/>
      <c r="D139" s="257"/>
      <c r="E139" s="271"/>
    </row>
    <row r="140" spans="2:6" x14ac:dyDescent="0.25">
      <c r="B140" s="256" t="s">
        <v>12</v>
      </c>
      <c r="C140" s="257"/>
      <c r="D140" s="257"/>
      <c r="E140" s="258">
        <v>28</v>
      </c>
    </row>
    <row r="141" spans="2:6" x14ac:dyDescent="0.25">
      <c r="B141" s="256" t="s">
        <v>13</v>
      </c>
      <c r="C141" s="257"/>
      <c r="D141" s="257"/>
      <c r="E141" s="275">
        <f>+E139/E140</f>
        <v>0</v>
      </c>
    </row>
    <row r="142" spans="2:6" ht="15.75" thickBot="1" x14ac:dyDescent="0.3">
      <c r="B142" s="256" t="s">
        <v>14</v>
      </c>
      <c r="C142" s="257"/>
      <c r="D142" s="257"/>
      <c r="E142" s="272">
        <v>21</v>
      </c>
    </row>
    <row r="143" spans="2:6" ht="16.5" thickTop="1" thickBot="1" x14ac:dyDescent="0.3">
      <c r="B143" s="259" t="s">
        <v>15</v>
      </c>
      <c r="C143" s="260"/>
      <c r="D143" s="261"/>
      <c r="E143" s="276">
        <f>E141*E142</f>
        <v>0</v>
      </c>
    </row>
    <row r="144" spans="2:6" ht="15.75" thickBot="1" x14ac:dyDescent="0.3">
      <c r="B144" s="262"/>
      <c r="C144" s="262"/>
      <c r="D144" s="262"/>
      <c r="E144" s="262"/>
    </row>
    <row r="145" spans="2:5" ht="15.75" thickBot="1" x14ac:dyDescent="0.3">
      <c r="B145" s="460" t="s">
        <v>16</v>
      </c>
      <c r="C145" s="461"/>
      <c r="D145" s="461"/>
      <c r="E145" s="462"/>
    </row>
    <row r="146" spans="2:5" x14ac:dyDescent="0.25">
      <c r="B146" s="263" t="s">
        <v>17</v>
      </c>
      <c r="C146" s="264"/>
      <c r="D146" s="265" t="s">
        <v>18</v>
      </c>
      <c r="E146" s="266" t="s">
        <v>19</v>
      </c>
    </row>
    <row r="147" spans="2:5" x14ac:dyDescent="0.25">
      <c r="B147" s="209" t="s">
        <v>20</v>
      </c>
      <c r="C147" s="273"/>
      <c r="D147" s="274"/>
      <c r="E147" s="277"/>
    </row>
    <row r="148" spans="2:5" x14ac:dyDescent="0.25">
      <c r="B148" s="209" t="s">
        <v>21</v>
      </c>
      <c r="C148" s="273"/>
      <c r="D148" s="274"/>
      <c r="E148" s="277"/>
    </row>
    <row r="149" spans="2:5" x14ac:dyDescent="0.25">
      <c r="B149" s="209" t="s">
        <v>22</v>
      </c>
      <c r="C149" s="273"/>
      <c r="D149" s="274"/>
      <c r="E149" s="277"/>
    </row>
    <row r="150" spans="2:5" x14ac:dyDescent="0.25">
      <c r="B150" s="209" t="s">
        <v>23</v>
      </c>
      <c r="C150" s="267"/>
      <c r="D150" s="267"/>
      <c r="E150" s="211">
        <f>SUM(E147:E149)</f>
        <v>0</v>
      </c>
    </row>
    <row r="151" spans="2:5" x14ac:dyDescent="0.25">
      <c r="B151" s="209" t="s">
        <v>24</v>
      </c>
      <c r="C151" s="267"/>
      <c r="D151" s="267"/>
      <c r="E151" s="211">
        <f>E150/91.25*0.5</f>
        <v>0</v>
      </c>
    </row>
    <row r="152" spans="2:5" x14ac:dyDescent="0.25">
      <c r="B152" s="209" t="s">
        <v>181</v>
      </c>
      <c r="C152" s="267"/>
      <c r="D152" s="279"/>
      <c r="E152" s="268"/>
    </row>
    <row r="153" spans="2:5" x14ac:dyDescent="0.25">
      <c r="B153" s="209" t="s">
        <v>25</v>
      </c>
      <c r="C153" s="267"/>
      <c r="D153" s="267"/>
      <c r="E153" s="283">
        <f>E152*E151</f>
        <v>0</v>
      </c>
    </row>
    <row r="154" spans="2:5" x14ac:dyDescent="0.25">
      <c r="B154" s="209" t="s">
        <v>26</v>
      </c>
      <c r="C154" s="267"/>
      <c r="D154" s="267"/>
      <c r="E154" s="211">
        <f>E153*6.7%</f>
        <v>0</v>
      </c>
    </row>
    <row r="155" spans="2:5" ht="15.75" thickBot="1" x14ac:dyDescent="0.3">
      <c r="B155" s="269" t="s">
        <v>27</v>
      </c>
      <c r="C155" s="270"/>
      <c r="D155" s="270"/>
      <c r="E155" s="278">
        <f>E153-E154</f>
        <v>0</v>
      </c>
    </row>
    <row r="156" spans="2:5" ht="15.75" thickBot="1" x14ac:dyDescent="0.3"/>
    <row r="157" spans="2:5" x14ac:dyDescent="0.25">
      <c r="B157" s="453" t="s">
        <v>28</v>
      </c>
      <c r="C157" s="454"/>
      <c r="D157" s="454"/>
      <c r="E157" s="455"/>
    </row>
    <row r="158" spans="2:5" x14ac:dyDescent="0.25">
      <c r="B158" s="256" t="s">
        <v>29</v>
      </c>
      <c r="C158" s="257"/>
      <c r="D158" s="257"/>
      <c r="E158" s="280"/>
    </row>
    <row r="159" spans="2:5" ht="15.75" thickBot="1" x14ac:dyDescent="0.3">
      <c r="B159" s="256" t="s">
        <v>30</v>
      </c>
      <c r="C159" s="257"/>
      <c r="D159" s="257"/>
      <c r="E159" s="258">
        <f>E141*0.9</f>
        <v>0</v>
      </c>
    </row>
    <row r="160" spans="2:5" ht="16.5" thickTop="1" thickBot="1" x14ac:dyDescent="0.3">
      <c r="B160" s="256" t="s">
        <v>31</v>
      </c>
      <c r="C160" s="257"/>
      <c r="D160" s="257"/>
      <c r="E160" s="276">
        <f>E158*E159</f>
        <v>0</v>
      </c>
    </row>
    <row r="161" spans="2:5" ht="16.5" thickTop="1" thickBot="1" x14ac:dyDescent="0.3">
      <c r="B161" s="209" t="s">
        <v>32</v>
      </c>
      <c r="C161" s="257"/>
      <c r="D161" s="257"/>
      <c r="E161" s="281">
        <f>E151</f>
        <v>0</v>
      </c>
    </row>
    <row r="162" spans="2:5" ht="16.5" thickTop="1" thickBot="1" x14ac:dyDescent="0.3">
      <c r="B162" s="259" t="s">
        <v>33</v>
      </c>
      <c r="C162" s="284">
        <f>E158</f>
        <v>0</v>
      </c>
      <c r="D162" s="282">
        <f>E161</f>
        <v>0</v>
      </c>
      <c r="E162" s="276">
        <f>D162*C162</f>
        <v>0</v>
      </c>
    </row>
  </sheetData>
  <mergeCells count="12">
    <mergeCell ref="C17:D17"/>
    <mergeCell ref="F17:G17"/>
    <mergeCell ref="B157:E157"/>
    <mergeCell ref="B88:C88"/>
    <mergeCell ref="D89:D96"/>
    <mergeCell ref="B103:E103"/>
    <mergeCell ref="B111:E111"/>
    <mergeCell ref="B125:E125"/>
    <mergeCell ref="D132:F132"/>
    <mergeCell ref="B136:E136"/>
    <mergeCell ref="B138:E138"/>
    <mergeCell ref="B145:E1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C2707-D8C1-4449-B93D-9A0E083B9264}">
  <dimension ref="A2:M42"/>
  <sheetViews>
    <sheetView workbookViewId="0">
      <selection activeCell="E10" sqref="E10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3" ht="23.25" x14ac:dyDescent="0.25">
      <c r="A2" s="293" t="s">
        <v>196</v>
      </c>
      <c r="B2" s="286"/>
      <c r="C2" s="286"/>
      <c r="D2" s="286"/>
      <c r="E2" s="286"/>
      <c r="F2" s="286"/>
      <c r="G2" s="286"/>
      <c r="H2" s="286"/>
    </row>
    <row r="4" spans="1:13" ht="15.75" thickBot="1" x14ac:dyDescent="0.3"/>
    <row r="5" spans="1:13" ht="45" x14ac:dyDescent="0.25">
      <c r="A5" s="294"/>
      <c r="B5" s="295" t="s">
        <v>136</v>
      </c>
      <c r="C5" s="295" t="s">
        <v>185</v>
      </c>
      <c r="D5" s="296" t="s">
        <v>197</v>
      </c>
      <c r="E5" s="296" t="s">
        <v>162</v>
      </c>
      <c r="F5" s="296" t="s">
        <v>198</v>
      </c>
      <c r="G5" s="296" t="s">
        <v>199</v>
      </c>
      <c r="H5" s="235" t="s">
        <v>200</v>
      </c>
      <c r="I5" s="296" t="s">
        <v>201</v>
      </c>
      <c r="J5" s="297" t="s">
        <v>202</v>
      </c>
      <c r="K5" s="298" t="s">
        <v>203</v>
      </c>
    </row>
    <row r="6" spans="1:13" x14ac:dyDescent="0.25">
      <c r="A6" s="290" t="s">
        <v>191</v>
      </c>
      <c r="B6" s="299">
        <v>4063</v>
      </c>
      <c r="C6" s="299">
        <f>B6</f>
        <v>4063</v>
      </c>
      <c r="D6" s="300">
        <f>+B6</f>
        <v>4063</v>
      </c>
      <c r="E6" s="301">
        <v>1645.58</v>
      </c>
      <c r="F6" s="299">
        <f t="shared" ref="F6:F10" si="0">2.5*E6</f>
        <v>4113.95</v>
      </c>
      <c r="G6" s="299">
        <f>F6</f>
        <v>4113.95</v>
      </c>
      <c r="H6" s="36" t="str">
        <f t="shared" ref="H6" si="1">IF(C6&gt;G6,"OUI","")</f>
        <v/>
      </c>
      <c r="I6" s="302">
        <f>IF(H6="OUI",C6,0)</f>
        <v>0</v>
      </c>
      <c r="J6" s="300">
        <f>I6</f>
        <v>0</v>
      </c>
      <c r="K6" s="303">
        <f>(D6*7%)+(J6*6%)</f>
        <v>284.41000000000003</v>
      </c>
    </row>
    <row r="7" spans="1:13" x14ac:dyDescent="0.25">
      <c r="A7" s="290" t="s">
        <v>192</v>
      </c>
      <c r="B7" s="299">
        <v>4063</v>
      </c>
      <c r="C7" s="299">
        <f>C6+B7</f>
        <v>8126</v>
      </c>
      <c r="D7" s="300">
        <f t="shared" ref="D7:D10" si="2">+B7</f>
        <v>4063</v>
      </c>
      <c r="E7" s="301">
        <v>1645.58</v>
      </c>
      <c r="F7" s="299">
        <f t="shared" si="0"/>
        <v>4113.95</v>
      </c>
      <c r="G7" s="299">
        <f t="shared" ref="G7:G10" si="3">G6+F7</f>
        <v>8227.9</v>
      </c>
      <c r="H7" s="36" t="str">
        <f>IF(C7&gt;G7,"OUI","")</f>
        <v/>
      </c>
      <c r="I7" s="302">
        <f>IF(H7="OUI",C7,0)</f>
        <v>0</v>
      </c>
      <c r="J7" s="300">
        <f>I7-I6</f>
        <v>0</v>
      </c>
      <c r="K7" s="303">
        <f t="shared" ref="K7:K10" si="4">(D7*7%)+(J7*6%)</f>
        <v>284.41000000000003</v>
      </c>
    </row>
    <row r="8" spans="1:13" x14ac:dyDescent="0.25">
      <c r="A8" s="290" t="s">
        <v>193</v>
      </c>
      <c r="B8" s="299">
        <v>4063</v>
      </c>
      <c r="C8" s="299">
        <f t="shared" ref="C8:C10" si="5">C7+B8</f>
        <v>12189</v>
      </c>
      <c r="D8" s="300">
        <f t="shared" si="2"/>
        <v>4063</v>
      </c>
      <c r="E8" s="301">
        <v>1645.58</v>
      </c>
      <c r="F8" s="299">
        <f t="shared" si="0"/>
        <v>4113.95</v>
      </c>
      <c r="G8" s="299">
        <f t="shared" si="3"/>
        <v>12341.849999999999</v>
      </c>
      <c r="H8" s="36" t="str">
        <f t="shared" ref="H8:H10" si="6">IF(C8&gt;G8,"OUI","")</f>
        <v/>
      </c>
      <c r="I8" s="302">
        <f t="shared" ref="I8:I10" si="7">IF(H8="OUI",C8,0)</f>
        <v>0</v>
      </c>
      <c r="J8" s="300">
        <f t="shared" ref="J8:J10" si="8">I8-I7</f>
        <v>0</v>
      </c>
      <c r="K8" s="303">
        <f t="shared" si="4"/>
        <v>284.41000000000003</v>
      </c>
    </row>
    <row r="9" spans="1:13" x14ac:dyDescent="0.25">
      <c r="A9" s="290" t="s">
        <v>194</v>
      </c>
      <c r="B9" s="299">
        <v>4063</v>
      </c>
      <c r="C9" s="299">
        <f t="shared" si="5"/>
        <v>16252</v>
      </c>
      <c r="D9" s="300">
        <f t="shared" si="2"/>
        <v>4063</v>
      </c>
      <c r="E9" s="301">
        <v>1645.58</v>
      </c>
      <c r="F9" s="299">
        <f t="shared" si="0"/>
        <v>4113.95</v>
      </c>
      <c r="G9" s="299">
        <f t="shared" si="3"/>
        <v>16455.8</v>
      </c>
      <c r="H9" s="36" t="str">
        <f t="shared" si="6"/>
        <v/>
      </c>
      <c r="I9" s="302">
        <f t="shared" si="7"/>
        <v>0</v>
      </c>
      <c r="J9" s="300">
        <f t="shared" si="8"/>
        <v>0</v>
      </c>
      <c r="K9" s="303">
        <f t="shared" si="4"/>
        <v>284.41000000000003</v>
      </c>
    </row>
    <row r="10" spans="1:13" x14ac:dyDescent="0.25">
      <c r="A10" s="290" t="s">
        <v>195</v>
      </c>
      <c r="B10" s="299">
        <f>+'Bulletin LAMBERT'!E37</f>
        <v>4441.1791488099161</v>
      </c>
      <c r="C10" s="299">
        <f t="shared" si="5"/>
        <v>20693.179148809915</v>
      </c>
      <c r="D10" s="300">
        <f t="shared" si="2"/>
        <v>4441.1791488099161</v>
      </c>
      <c r="E10" s="316">
        <f>160.42*10.85</f>
        <v>1740.5569999999998</v>
      </c>
      <c r="F10" s="299">
        <f t="shared" si="0"/>
        <v>4351.3924999999999</v>
      </c>
      <c r="G10" s="299">
        <f t="shared" si="3"/>
        <v>20807.192499999997</v>
      </c>
      <c r="H10" s="36" t="str">
        <f t="shared" si="6"/>
        <v/>
      </c>
      <c r="I10" s="302">
        <f t="shared" si="7"/>
        <v>0</v>
      </c>
      <c r="J10" s="300">
        <f t="shared" si="8"/>
        <v>0</v>
      </c>
      <c r="K10" s="303">
        <f t="shared" si="4"/>
        <v>310.88254041669416</v>
      </c>
      <c r="M10" s="232">
        <v>151.66999999999999</v>
      </c>
    </row>
    <row r="11" spans="1:13" x14ac:dyDescent="0.25">
      <c r="A11" s="332"/>
      <c r="B11" s="335"/>
      <c r="C11" s="335"/>
      <c r="D11" s="336"/>
      <c r="E11" s="337" t="s">
        <v>274</v>
      </c>
      <c r="F11" s="335"/>
      <c r="G11" s="335"/>
      <c r="H11" s="338"/>
      <c r="I11" s="339"/>
      <c r="J11" s="336"/>
      <c r="M11" s="232">
        <v>8.75</v>
      </c>
    </row>
    <row r="12" spans="1:13" x14ac:dyDescent="0.25">
      <c r="M12" s="232">
        <f>M11+M10</f>
        <v>160.41999999999999</v>
      </c>
    </row>
    <row r="13" spans="1:13" ht="23.25" x14ac:dyDescent="0.25">
      <c r="A13" s="293" t="s">
        <v>204</v>
      </c>
      <c r="B13" s="286"/>
      <c r="C13" s="286"/>
      <c r="D13" s="286"/>
      <c r="E13" s="286"/>
      <c r="F13" s="286"/>
      <c r="G13" s="286"/>
      <c r="H13" s="286"/>
    </row>
    <row r="15" spans="1:13" ht="15.75" thickBot="1" x14ac:dyDescent="0.3"/>
    <row r="16" spans="1:13" s="304" customFormat="1" ht="45" x14ac:dyDescent="0.25">
      <c r="A16" s="294"/>
      <c r="B16" s="295" t="s">
        <v>136</v>
      </c>
      <c r="C16" s="295" t="s">
        <v>185</v>
      </c>
      <c r="D16" s="296" t="s">
        <v>205</v>
      </c>
      <c r="E16" s="296" t="s">
        <v>162</v>
      </c>
      <c r="F16" s="296" t="s">
        <v>206</v>
      </c>
      <c r="G16" s="296" t="s">
        <v>207</v>
      </c>
      <c r="H16" s="235" t="s">
        <v>208</v>
      </c>
      <c r="I16" s="296" t="s">
        <v>209</v>
      </c>
      <c r="J16" s="297" t="s">
        <v>210</v>
      </c>
      <c r="K16" s="298" t="s">
        <v>203</v>
      </c>
    </row>
    <row r="17" spans="1:11" ht="21.75" customHeight="1" x14ac:dyDescent="0.25">
      <c r="A17" s="290" t="s">
        <v>191</v>
      </c>
      <c r="B17" s="299">
        <f>+B6</f>
        <v>4063</v>
      </c>
      <c r="C17" s="299">
        <f>B17</f>
        <v>4063</v>
      </c>
      <c r="D17" s="300">
        <f>+B17</f>
        <v>4063</v>
      </c>
      <c r="E17" s="301">
        <v>1603.12</v>
      </c>
      <c r="F17" s="299">
        <f>3.5*E17</f>
        <v>5610.92</v>
      </c>
      <c r="G17" s="299">
        <f>F17</f>
        <v>5610.92</v>
      </c>
      <c r="H17" s="36" t="str">
        <f>IF(C17&gt;G17,"OUI","")</f>
        <v/>
      </c>
      <c r="I17" s="302">
        <f>IF(H17="OUI",C17,0)</f>
        <v>0</v>
      </c>
      <c r="J17" s="300">
        <f>I17</f>
        <v>0</v>
      </c>
      <c r="K17" s="303">
        <f>(D17*3.45%)+(J17*1.8%)</f>
        <v>140.17350000000002</v>
      </c>
    </row>
    <row r="18" spans="1:11" ht="21.75" customHeight="1" x14ac:dyDescent="0.25">
      <c r="A18" s="290" t="s">
        <v>192</v>
      </c>
      <c r="B18" s="299">
        <f t="shared" ref="B18:B21" si="9">+B7</f>
        <v>4063</v>
      </c>
      <c r="C18" s="299">
        <f>C17+B18</f>
        <v>8126</v>
      </c>
      <c r="D18" s="300">
        <f t="shared" ref="D18:D21" si="10">B18</f>
        <v>4063</v>
      </c>
      <c r="E18" s="301">
        <v>1603.12</v>
      </c>
      <c r="F18" s="299">
        <f t="shared" ref="F18:F21" si="11">3.5*E18</f>
        <v>5610.92</v>
      </c>
      <c r="G18" s="299">
        <f t="shared" ref="G18:G21" si="12">G17+F18</f>
        <v>11221.84</v>
      </c>
      <c r="H18" s="36" t="str">
        <f t="shared" ref="H18:H21" si="13">IF(C18&gt;G18,"OUI","")</f>
        <v/>
      </c>
      <c r="I18" s="302">
        <f>IF(H18="OUI",C18,0)</f>
        <v>0</v>
      </c>
      <c r="J18" s="300">
        <f>I18-I17</f>
        <v>0</v>
      </c>
      <c r="K18" s="303">
        <f t="shared" ref="K18:K21" si="14">(D18*3.45%)+(J18*1.8%)</f>
        <v>140.17350000000002</v>
      </c>
    </row>
    <row r="19" spans="1:11" ht="21.75" customHeight="1" x14ac:dyDescent="0.25">
      <c r="A19" s="290" t="s">
        <v>193</v>
      </c>
      <c r="B19" s="299">
        <f t="shared" si="9"/>
        <v>4063</v>
      </c>
      <c r="C19" s="299">
        <f t="shared" ref="C19:C21" si="15">C18+B19</f>
        <v>12189</v>
      </c>
      <c r="D19" s="300">
        <f t="shared" si="10"/>
        <v>4063</v>
      </c>
      <c r="E19" s="301">
        <v>1603.12</v>
      </c>
      <c r="F19" s="299">
        <f t="shared" si="11"/>
        <v>5610.92</v>
      </c>
      <c r="G19" s="299">
        <f t="shared" si="12"/>
        <v>16832.760000000002</v>
      </c>
      <c r="H19" s="36" t="str">
        <f t="shared" si="13"/>
        <v/>
      </c>
      <c r="I19" s="302">
        <f t="shared" ref="I19:I21" si="16">IF(H19="OUI",C19,0)</f>
        <v>0</v>
      </c>
      <c r="J19" s="300">
        <f t="shared" ref="J19:J21" si="17">I19-I18</f>
        <v>0</v>
      </c>
      <c r="K19" s="303">
        <f t="shared" si="14"/>
        <v>140.17350000000002</v>
      </c>
    </row>
    <row r="20" spans="1:11" ht="21.75" customHeight="1" x14ac:dyDescent="0.25">
      <c r="A20" s="290" t="s">
        <v>194</v>
      </c>
      <c r="B20" s="299">
        <f t="shared" si="9"/>
        <v>4063</v>
      </c>
      <c r="C20" s="299">
        <f t="shared" si="15"/>
        <v>16252</v>
      </c>
      <c r="D20" s="300">
        <f t="shared" si="10"/>
        <v>4063</v>
      </c>
      <c r="E20" s="301">
        <v>1603.12</v>
      </c>
      <c r="F20" s="299">
        <f t="shared" si="11"/>
        <v>5610.92</v>
      </c>
      <c r="G20" s="299">
        <f t="shared" si="12"/>
        <v>22443.68</v>
      </c>
      <c r="H20" s="36" t="str">
        <f t="shared" si="13"/>
        <v/>
      </c>
      <c r="I20" s="302">
        <f t="shared" si="16"/>
        <v>0</v>
      </c>
      <c r="J20" s="300">
        <f t="shared" si="17"/>
        <v>0</v>
      </c>
      <c r="K20" s="303">
        <f t="shared" si="14"/>
        <v>140.17350000000002</v>
      </c>
    </row>
    <row r="21" spans="1:11" ht="21.75" customHeight="1" x14ac:dyDescent="0.25">
      <c r="A21" s="290" t="s">
        <v>195</v>
      </c>
      <c r="B21" s="299">
        <f t="shared" si="9"/>
        <v>4441.1791488099161</v>
      </c>
      <c r="C21" s="299">
        <f t="shared" si="15"/>
        <v>20693.179148809915</v>
      </c>
      <c r="D21" s="300">
        <f t="shared" si="10"/>
        <v>4441.1791488099161</v>
      </c>
      <c r="E21" s="316">
        <f>+E10</f>
        <v>1740.5569999999998</v>
      </c>
      <c r="F21" s="299">
        <f t="shared" si="11"/>
        <v>6091.9494999999988</v>
      </c>
      <c r="G21" s="299">
        <f t="shared" si="12"/>
        <v>28535.629499999999</v>
      </c>
      <c r="H21" s="36" t="str">
        <f t="shared" si="13"/>
        <v/>
      </c>
      <c r="I21" s="302">
        <f t="shared" si="16"/>
        <v>0</v>
      </c>
      <c r="J21" s="300">
        <f t="shared" si="17"/>
        <v>0</v>
      </c>
      <c r="K21" s="303">
        <f t="shared" si="14"/>
        <v>153.22068063394212</v>
      </c>
    </row>
    <row r="22" spans="1:11" ht="21.75" customHeight="1" x14ac:dyDescent="0.25">
      <c r="A22" s="332"/>
      <c r="B22" s="335"/>
      <c r="C22" s="335"/>
      <c r="D22" s="336"/>
      <c r="E22" s="340"/>
      <c r="F22" s="335"/>
      <c r="G22" s="335"/>
      <c r="H22" s="338"/>
      <c r="I22" s="339"/>
    </row>
    <row r="23" spans="1:11" ht="21" hidden="1" x14ac:dyDescent="0.25">
      <c r="A23" s="448" t="s">
        <v>211</v>
      </c>
      <c r="B23" s="449"/>
      <c r="C23" s="449"/>
      <c r="D23" s="449"/>
      <c r="E23" s="449"/>
      <c r="F23" s="449"/>
      <c r="G23" s="449"/>
      <c r="H23" s="449"/>
      <c r="I23" s="305"/>
    </row>
    <row r="24" spans="1:11" ht="21" hidden="1" customHeight="1" x14ac:dyDescent="0.25">
      <c r="A24" s="230" t="s">
        <v>158</v>
      </c>
      <c r="B24" s="306">
        <v>0.31950000000000001</v>
      </c>
    </row>
    <row r="25" spans="1:11" hidden="1" x14ac:dyDescent="0.25"/>
    <row r="26" spans="1:11" ht="30" hidden="1" x14ac:dyDescent="0.25">
      <c r="A26" s="3" t="s">
        <v>159</v>
      </c>
      <c r="B26" s="233" t="s">
        <v>160</v>
      </c>
      <c r="C26" s="233" t="s">
        <v>161</v>
      </c>
      <c r="D26" s="296" t="s">
        <v>162</v>
      </c>
      <c r="E26" s="235" t="s">
        <v>163</v>
      </c>
      <c r="F26" s="235" t="s">
        <v>164</v>
      </c>
      <c r="G26" s="235" t="s">
        <v>165</v>
      </c>
      <c r="H26" s="235" t="s">
        <v>166</v>
      </c>
      <c r="I26" s="1" t="s">
        <v>212</v>
      </c>
    </row>
    <row r="27" spans="1:11" ht="21" hidden="1" customHeight="1" x14ac:dyDescent="0.25">
      <c r="A27" s="290" t="s">
        <v>191</v>
      </c>
      <c r="B27" s="307">
        <v>1700</v>
      </c>
      <c r="C27" s="308">
        <f>B27</f>
        <v>1700</v>
      </c>
      <c r="D27" s="301">
        <v>1603.12</v>
      </c>
      <c r="E27" s="307">
        <f>+D27</f>
        <v>1603.12</v>
      </c>
      <c r="F27" s="309">
        <f>ROUND(($B$24/0.6)*((1.6*E27/C27)-1),4)</f>
        <v>0.27089999999999997</v>
      </c>
      <c r="G27" s="308">
        <f>IF(F27&gt;0,F27*C27,0)</f>
        <v>460.53</v>
      </c>
      <c r="H27" s="310">
        <f>G27</f>
        <v>460.53</v>
      </c>
      <c r="I27" s="5" t="str">
        <f>IF(F27&gt;$B$24,"ERREUR","")</f>
        <v/>
      </c>
    </row>
    <row r="28" spans="1:11" ht="21" hidden="1" customHeight="1" x14ac:dyDescent="0.25">
      <c r="A28" s="290" t="s">
        <v>192</v>
      </c>
      <c r="B28" s="307">
        <v>3000</v>
      </c>
      <c r="C28" s="308">
        <f>C27+B28</f>
        <v>4700</v>
      </c>
      <c r="D28" s="311">
        <f>156.67*10.57</f>
        <v>1656.0019</v>
      </c>
      <c r="E28" s="307">
        <f>D28+E27</f>
        <v>3259.1219000000001</v>
      </c>
      <c r="F28" s="309">
        <f>ROUND(($B$24/0.6)*((1.6*E28/C28)-1),4)</f>
        <v>5.8299999999999998E-2</v>
      </c>
      <c r="G28" s="308">
        <f t="shared" ref="G28:G31" si="18">IF(F28&gt;0,F28*C28,0)</f>
        <v>274.01</v>
      </c>
      <c r="H28" s="310">
        <f>G28-G27</f>
        <v>-186.51999999999998</v>
      </c>
      <c r="I28" s="5" t="str">
        <f>IF(F28&gt;$B$24,"ERREUR","")</f>
        <v/>
      </c>
    </row>
    <row r="29" spans="1:11" ht="21" hidden="1" customHeight="1" x14ac:dyDescent="0.25">
      <c r="A29" s="290" t="s">
        <v>193</v>
      </c>
      <c r="B29" s="307"/>
      <c r="C29" s="308">
        <f t="shared" ref="C29:C31" si="19">C28+B29</f>
        <v>4700</v>
      </c>
      <c r="D29" s="301">
        <v>1603.12</v>
      </c>
      <c r="E29" s="307">
        <f t="shared" ref="E29:E31" si="20">D29+E28</f>
        <v>4862.2419</v>
      </c>
      <c r="F29" s="309">
        <f>ROUND(($B$24/0.6)*((1.6*E29/C29)-1),4)</f>
        <v>0.34889999999999999</v>
      </c>
      <c r="G29" s="312">
        <f t="shared" si="18"/>
        <v>1639.83</v>
      </c>
      <c r="H29" s="310">
        <f t="shared" ref="H29:H31" si="21">G29-G28</f>
        <v>1365.82</v>
      </c>
      <c r="I29" s="5" t="str">
        <f>IF(F29&gt;$B$24,"ERREUR","")</f>
        <v>ERREUR</v>
      </c>
    </row>
    <row r="30" spans="1:11" ht="21" hidden="1" customHeight="1" x14ac:dyDescent="0.25">
      <c r="A30" s="290" t="s">
        <v>194</v>
      </c>
      <c r="B30" s="307"/>
      <c r="C30" s="308">
        <f t="shared" si="19"/>
        <v>4700</v>
      </c>
      <c r="D30" s="301">
        <v>1603.12</v>
      </c>
      <c r="E30" s="307">
        <f t="shared" si="20"/>
        <v>6465.3618999999999</v>
      </c>
      <c r="F30" s="309">
        <f>ROUND(($B$24/0.6)*((1.6*E30/C30)-1),4)</f>
        <v>0.63949999999999996</v>
      </c>
      <c r="G30" s="308">
        <f t="shared" si="18"/>
        <v>3005.6499999999996</v>
      </c>
      <c r="H30" s="310">
        <f t="shared" si="21"/>
        <v>1365.8199999999997</v>
      </c>
      <c r="I30" s="5" t="str">
        <f>IF(F30&gt;$B$24,"ERREUR","")</f>
        <v>ERREUR</v>
      </c>
    </row>
    <row r="31" spans="1:11" ht="21" hidden="1" customHeight="1" x14ac:dyDescent="0.25">
      <c r="A31" s="290" t="s">
        <v>195</v>
      </c>
      <c r="B31" s="307"/>
      <c r="C31" s="308">
        <f t="shared" si="19"/>
        <v>4700</v>
      </c>
      <c r="D31" s="301">
        <v>1603.12</v>
      </c>
      <c r="E31" s="307">
        <f t="shared" si="20"/>
        <v>8068.4818999999998</v>
      </c>
      <c r="F31" s="309">
        <f>ROUND(($B$24/0.6)*((1.6*E31/C31)-1),4)</f>
        <v>0.93010000000000004</v>
      </c>
      <c r="G31" s="308">
        <f t="shared" si="18"/>
        <v>4371.47</v>
      </c>
      <c r="H31" s="310">
        <f t="shared" si="21"/>
        <v>1365.8200000000006</v>
      </c>
      <c r="I31" s="5" t="str">
        <f>IF(F31&gt;$B$24,"ERREUR","")</f>
        <v>ERREUR</v>
      </c>
    </row>
    <row r="33" spans="1:8" ht="23.25" x14ac:dyDescent="0.25">
      <c r="A33" s="285" t="s">
        <v>213</v>
      </c>
      <c r="B33" s="286"/>
      <c r="C33" s="286"/>
      <c r="D33" s="286"/>
      <c r="E33" s="286"/>
      <c r="F33" s="286"/>
    </row>
    <row r="35" spans="1:8" ht="18.75" x14ac:dyDescent="0.25">
      <c r="A35" s="287" t="s">
        <v>184</v>
      </c>
      <c r="D35" s="288">
        <v>3428</v>
      </c>
    </row>
    <row r="36" spans="1:8" ht="15.75" thickBot="1" x14ac:dyDescent="0.3"/>
    <row r="37" spans="1:8" ht="30" x14ac:dyDescent="0.25">
      <c r="A37" s="289" t="s">
        <v>159</v>
      </c>
      <c r="B37" s="233" t="s">
        <v>136</v>
      </c>
      <c r="C37" s="233" t="s">
        <v>185</v>
      </c>
      <c r="D37" s="233" t="s">
        <v>186</v>
      </c>
      <c r="E37" s="235" t="s">
        <v>187</v>
      </c>
      <c r="F37" s="233" t="s">
        <v>214</v>
      </c>
      <c r="G37" s="235" t="s">
        <v>215</v>
      </c>
      <c r="H37" s="236" t="s">
        <v>232</v>
      </c>
    </row>
    <row r="38" spans="1:8" ht="26.25" customHeight="1" x14ac:dyDescent="0.25">
      <c r="A38" s="290" t="s">
        <v>191</v>
      </c>
      <c r="B38" s="299">
        <f>+B17</f>
        <v>4063</v>
      </c>
      <c r="C38" s="299">
        <f>B38</f>
        <v>4063</v>
      </c>
      <c r="D38" s="292">
        <v>3428</v>
      </c>
      <c r="E38" s="313">
        <f>D38</f>
        <v>3428</v>
      </c>
      <c r="F38" s="314" t="str">
        <f>IF(E38&gt;C38,"","OUI")</f>
        <v>OUI</v>
      </c>
      <c r="G38" s="300">
        <f t="shared" ref="G38:G42" si="22">IF(C38&gt;E38,C38,0)</f>
        <v>4063</v>
      </c>
      <c r="H38" s="315">
        <f>G38</f>
        <v>4063</v>
      </c>
    </row>
    <row r="39" spans="1:8" ht="26.25" customHeight="1" x14ac:dyDescent="0.25">
      <c r="A39" s="290" t="s">
        <v>192</v>
      </c>
      <c r="B39" s="299">
        <f t="shared" ref="B39:B42" si="23">+B18</f>
        <v>4063</v>
      </c>
      <c r="C39" s="299">
        <f>C38+B39</f>
        <v>8126</v>
      </c>
      <c r="D39" s="292">
        <v>3428</v>
      </c>
      <c r="E39" s="313">
        <f>E38+D39</f>
        <v>6856</v>
      </c>
      <c r="F39" s="314" t="str">
        <f t="shared" ref="F39:F42" si="24">IF(E39&gt;C39,"","OUI")</f>
        <v>OUI</v>
      </c>
      <c r="G39" s="300">
        <f t="shared" si="22"/>
        <v>8126</v>
      </c>
      <c r="H39" s="315">
        <f>G39-G38</f>
        <v>4063</v>
      </c>
    </row>
    <row r="40" spans="1:8" ht="26.25" customHeight="1" x14ac:dyDescent="0.25">
      <c r="A40" s="290" t="s">
        <v>193</v>
      </c>
      <c r="B40" s="299">
        <f t="shared" si="23"/>
        <v>4063</v>
      </c>
      <c r="C40" s="299">
        <f t="shared" ref="C40:C42" si="25">C39+B40</f>
        <v>12189</v>
      </c>
      <c r="D40" s="292">
        <v>3428</v>
      </c>
      <c r="E40" s="313">
        <f t="shared" ref="E40:E42" si="26">E39+D40</f>
        <v>10284</v>
      </c>
      <c r="F40" s="314" t="str">
        <f t="shared" si="24"/>
        <v>OUI</v>
      </c>
      <c r="G40" s="300">
        <f t="shared" si="22"/>
        <v>12189</v>
      </c>
      <c r="H40" s="315">
        <f t="shared" ref="H40:H42" si="27">G40-G39</f>
        <v>4063</v>
      </c>
    </row>
    <row r="41" spans="1:8" ht="26.25" customHeight="1" x14ac:dyDescent="0.25">
      <c r="A41" s="290" t="s">
        <v>194</v>
      </c>
      <c r="B41" s="299">
        <f t="shared" si="23"/>
        <v>4063</v>
      </c>
      <c r="C41" s="299">
        <f t="shared" si="25"/>
        <v>16252</v>
      </c>
      <c r="D41" s="292">
        <v>3428</v>
      </c>
      <c r="E41" s="313">
        <f t="shared" si="26"/>
        <v>13712</v>
      </c>
      <c r="F41" s="314" t="str">
        <f t="shared" si="24"/>
        <v>OUI</v>
      </c>
      <c r="G41" s="300">
        <f t="shared" si="22"/>
        <v>16252</v>
      </c>
      <c r="H41" s="315">
        <f t="shared" si="27"/>
        <v>4063</v>
      </c>
    </row>
    <row r="42" spans="1:8" ht="26.25" customHeight="1" thickBot="1" x14ac:dyDescent="0.3">
      <c r="A42" s="341" t="s">
        <v>195</v>
      </c>
      <c r="B42" s="342">
        <f t="shared" si="23"/>
        <v>4441.1791488099161</v>
      </c>
      <c r="C42" s="342">
        <f t="shared" si="25"/>
        <v>20693.179148809915</v>
      </c>
      <c r="D42" s="343">
        <v>3428</v>
      </c>
      <c r="E42" s="344">
        <f t="shared" si="26"/>
        <v>17140</v>
      </c>
      <c r="F42" s="345" t="str">
        <f t="shared" si="24"/>
        <v>OUI</v>
      </c>
      <c r="G42" s="346">
        <f t="shared" si="22"/>
        <v>20693.179148809915</v>
      </c>
      <c r="H42" s="347">
        <f t="shared" si="27"/>
        <v>4441.1791488099152</v>
      </c>
    </row>
  </sheetData>
  <mergeCells count="1">
    <mergeCell ref="A23:H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D669-9E9B-4D80-ACDE-83AF3BBC49F1}">
  <dimension ref="A1:P174"/>
  <sheetViews>
    <sheetView topLeftCell="A64" zoomScaleNormal="100" workbookViewId="0">
      <selection activeCell="E84" sqref="E84"/>
    </sheetView>
  </sheetViews>
  <sheetFormatPr baseColWidth="10" defaultRowHeight="15" x14ac:dyDescent="0.25"/>
  <cols>
    <col min="1" max="1" width="11.42578125" style="11"/>
    <col min="2" max="2" width="80.85546875" style="11" bestFit="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2.42578125" style="11" bestFit="1" customWidth="1"/>
    <col min="11" max="11" width="23" style="1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4000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10.57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407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244</v>
      </c>
      <c r="J12" s="408">
        <v>4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63</v>
      </c>
      <c r="J13" s="25">
        <v>4</v>
      </c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66</v>
      </c>
      <c r="J14" s="25">
        <v>0.75</v>
      </c>
    </row>
    <row r="15" spans="2:11" x14ac:dyDescent="0.25">
      <c r="B15" s="23"/>
      <c r="C15" s="21"/>
      <c r="D15" s="22"/>
      <c r="E15" s="23"/>
      <c r="F15" s="24"/>
      <c r="G15" s="25"/>
      <c r="I15" s="23" t="s">
        <v>68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3" t="s">
        <v>69</v>
      </c>
      <c r="J16" s="25"/>
    </row>
    <row r="17" spans="2:16" ht="15.75" thickBot="1" x14ac:dyDescent="0.3">
      <c r="B17" s="45" t="s">
        <v>71</v>
      </c>
      <c r="C17" s="450"/>
      <c r="D17" s="451"/>
      <c r="E17" s="46" t="s">
        <v>72</v>
      </c>
      <c r="F17" s="450"/>
      <c r="G17" s="452"/>
      <c r="I17" s="28" t="s">
        <v>70</v>
      </c>
      <c r="J17" s="25" t="s">
        <v>230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73</v>
      </c>
      <c r="J18" s="47">
        <f>'REGUL DUMONT'!G11</f>
        <v>3428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8" t="s">
        <v>75</v>
      </c>
      <c r="J19" s="51">
        <f>E37-J18</f>
        <v>1013.1791488099161</v>
      </c>
    </row>
    <row r="20" spans="2:16" s="56" customFormat="1" x14ac:dyDescent="0.25">
      <c r="B20" s="19" t="s">
        <v>11</v>
      </c>
      <c r="C20" s="57"/>
      <c r="D20" s="58"/>
      <c r="E20" s="26">
        <f>J3</f>
        <v>4000</v>
      </c>
      <c r="F20" s="59"/>
      <c r="G20" s="60"/>
      <c r="H20" s="11"/>
      <c r="I20" s="23" t="s">
        <v>79</v>
      </c>
      <c r="J20" s="25">
        <v>0.31950000000000001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61" t="s">
        <v>80</v>
      </c>
      <c r="J21" s="62">
        <v>8.5000000000000006E-2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/>
      <c r="D22" s="362">
        <f>E20/J5</f>
        <v>27.210884353741495</v>
      </c>
      <c r="E22" s="66">
        <f>D22*C22</f>
        <v>0</v>
      </c>
      <c r="F22" s="67"/>
      <c r="G22" s="68"/>
      <c r="I22" s="23" t="s">
        <v>81</v>
      </c>
      <c r="J22" s="72">
        <v>40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23" t="s">
        <v>244</v>
      </c>
      <c r="C23" s="365">
        <f>J12</f>
        <v>4</v>
      </c>
      <c r="D23" s="362">
        <f>E20/151.67*1.1</f>
        <v>29.010351420847897</v>
      </c>
      <c r="E23" s="66">
        <f>D23*C23</f>
        <v>116.04140568339159</v>
      </c>
      <c r="F23" s="67"/>
      <c r="G23" s="68"/>
      <c r="I23" s="23" t="s">
        <v>83</v>
      </c>
      <c r="J23" s="72">
        <v>44</v>
      </c>
      <c r="K23" s="11"/>
      <c r="L23" s="11"/>
      <c r="M23" s="11"/>
      <c r="N23" s="11"/>
      <c r="O23" s="11"/>
      <c r="P23" s="11"/>
    </row>
    <row r="24" spans="2:16" x14ac:dyDescent="0.25">
      <c r="B24" s="23" t="s">
        <v>63</v>
      </c>
      <c r="C24" s="365">
        <f>J13</f>
        <v>4</v>
      </c>
      <c r="D24" s="71">
        <f>IF($J$4&gt;=151.67,$J$3/151.67*1.25,0)</f>
        <v>32.966308432781702</v>
      </c>
      <c r="E24" s="72">
        <f>D24*C24</f>
        <v>131.86523373112681</v>
      </c>
      <c r="F24" s="73"/>
      <c r="G24" s="74"/>
      <c r="H24" s="321"/>
      <c r="I24" s="23" t="s">
        <v>84</v>
      </c>
      <c r="J24" s="70"/>
    </row>
    <row r="25" spans="2:16" ht="16.5" thickBot="1" x14ac:dyDescent="0.3">
      <c r="B25" s="23" t="s">
        <v>66</v>
      </c>
      <c r="C25" s="366">
        <f>J14</f>
        <v>0.75</v>
      </c>
      <c r="D25" s="71">
        <f>IF($J$4&gt;=151.67,$J$3/151.67*1.5,0)</f>
        <v>39.559570119338041</v>
      </c>
      <c r="E25" s="72">
        <f>D25*C25</f>
        <v>29.669677589503529</v>
      </c>
      <c r="F25" s="73"/>
      <c r="G25" s="76"/>
      <c r="I25" s="40" t="s">
        <v>85</v>
      </c>
      <c r="J25" s="75">
        <v>1.4999999999999999E-2</v>
      </c>
      <c r="K25" s="78"/>
    </row>
    <row r="26" spans="2:16" x14ac:dyDescent="0.25">
      <c r="B26" s="23" t="s">
        <v>68</v>
      </c>
      <c r="C26" s="366">
        <f>J15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4" t="s">
        <v>86</v>
      </c>
      <c r="J26" s="77">
        <v>0.03</v>
      </c>
    </row>
    <row r="27" spans="2:16" ht="15.75" thickBot="1" x14ac:dyDescent="0.3">
      <c r="B27" s="23" t="s">
        <v>69</v>
      </c>
      <c r="C27" s="366">
        <f>J16</f>
        <v>0</v>
      </c>
      <c r="D27" s="24">
        <f>IF($J$4&lt;151.67,$E$20/151.67*1.1,0)</f>
        <v>0</v>
      </c>
      <c r="E27" s="72">
        <f t="shared" si="0"/>
        <v>0</v>
      </c>
      <c r="F27" s="73"/>
      <c r="G27" s="76"/>
      <c r="I27" s="79" t="s">
        <v>231</v>
      </c>
      <c r="J27" s="80">
        <v>2100</v>
      </c>
    </row>
    <row r="28" spans="2:16" x14ac:dyDescent="0.25">
      <c r="B28" s="23" t="s">
        <v>245</v>
      </c>
      <c r="C28" s="366">
        <f>C143</f>
        <v>7</v>
      </c>
      <c r="D28" s="364">
        <f>E20/151.67*0.25</f>
        <v>6.5932616865563398</v>
      </c>
      <c r="E28" s="72">
        <f>D28*C28</f>
        <v>46.15283180589438</v>
      </c>
      <c r="F28" s="73"/>
      <c r="G28" s="76"/>
    </row>
    <row r="29" spans="2:16" ht="17.25" customHeight="1" x14ac:dyDescent="0.25">
      <c r="B29" s="23" t="s">
        <v>88</v>
      </c>
      <c r="C29" s="81"/>
      <c r="D29" s="24"/>
      <c r="E29" s="72"/>
      <c r="F29" s="82"/>
      <c r="G29" s="83"/>
      <c r="I29" s="84"/>
    </row>
    <row r="30" spans="2:16" x14ac:dyDescent="0.25">
      <c r="B30" s="23" t="s">
        <v>89</v>
      </c>
      <c r="C30" s="81"/>
      <c r="D30" s="24"/>
      <c r="E30" s="72"/>
      <c r="F30" s="82"/>
      <c r="G30" s="83"/>
    </row>
    <row r="31" spans="2:16" x14ac:dyDescent="0.25">
      <c r="B31" s="23"/>
      <c r="C31" s="85"/>
      <c r="D31" s="86"/>
      <c r="E31" s="87"/>
      <c r="F31" s="88"/>
      <c r="G31" s="89"/>
    </row>
    <row r="32" spans="2:16" ht="15.75" thickBot="1" x14ac:dyDescent="0.3">
      <c r="B32" s="90" t="s">
        <v>90</v>
      </c>
      <c r="C32" s="91"/>
      <c r="D32" s="92"/>
      <c r="E32" s="93">
        <f>-E155</f>
        <v>0</v>
      </c>
      <c r="F32" s="94"/>
      <c r="G32" s="95"/>
    </row>
    <row r="33" spans="2:7" x14ac:dyDescent="0.25">
      <c r="B33" s="96" t="s">
        <v>91</v>
      </c>
      <c r="C33" s="97"/>
      <c r="D33" s="98"/>
      <c r="E33" s="99">
        <f>-E174</f>
        <v>0</v>
      </c>
      <c r="F33" s="100"/>
      <c r="G33" s="101"/>
    </row>
    <row r="34" spans="2:7" x14ac:dyDescent="0.25">
      <c r="B34" s="90" t="s">
        <v>28</v>
      </c>
      <c r="C34" s="97"/>
      <c r="D34" s="98"/>
      <c r="E34" s="99">
        <f>E172</f>
        <v>0</v>
      </c>
      <c r="F34" s="100"/>
      <c r="G34" s="101"/>
    </row>
    <row r="35" spans="2:7" x14ac:dyDescent="0.25">
      <c r="B35" s="96"/>
      <c r="C35" s="97"/>
      <c r="D35" s="98"/>
      <c r="E35" s="99"/>
      <c r="F35" s="100"/>
      <c r="G35" s="101"/>
    </row>
    <row r="36" spans="2:7" ht="15.75" thickBot="1" x14ac:dyDescent="0.3">
      <c r="B36" s="102" t="s">
        <v>92</v>
      </c>
      <c r="C36" s="351">
        <v>3915</v>
      </c>
      <c r="D36" s="98">
        <f>J26</f>
        <v>0.03</v>
      </c>
      <c r="E36" s="103">
        <f>C36*D36</f>
        <v>117.44999999999999</v>
      </c>
      <c r="F36" s="100"/>
      <c r="G36" s="101"/>
    </row>
    <row r="37" spans="2:7" ht="16.5" thickTop="1" thickBot="1" x14ac:dyDescent="0.3">
      <c r="B37" s="104" t="s">
        <v>93</v>
      </c>
      <c r="C37" s="105"/>
      <c r="D37" s="106"/>
      <c r="E37" s="107">
        <f>SUM(E20:E36)</f>
        <v>4441.1791488099161</v>
      </c>
      <c r="F37" s="100"/>
      <c r="G37" s="101"/>
    </row>
    <row r="38" spans="2:7" ht="15.75" thickBot="1" x14ac:dyDescent="0.3">
      <c r="B38" s="108"/>
      <c r="C38" s="109"/>
      <c r="D38" s="110"/>
      <c r="E38" s="110"/>
      <c r="F38" s="111"/>
      <c r="G38" s="112"/>
    </row>
    <row r="39" spans="2:7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</row>
    <row r="40" spans="2:7" x14ac:dyDescent="0.25">
      <c r="B40" s="116" t="s">
        <v>99</v>
      </c>
      <c r="C40" s="117"/>
      <c r="D40" s="118"/>
      <c r="E40" s="118"/>
      <c r="F40" s="119"/>
      <c r="G40" s="120"/>
    </row>
    <row r="41" spans="2:7" x14ac:dyDescent="0.25">
      <c r="B41" s="121" t="s">
        <v>100</v>
      </c>
      <c r="C41" s="97">
        <f>$E$37</f>
        <v>4441.1791488099161</v>
      </c>
      <c r="D41" s="122"/>
      <c r="E41" s="123"/>
      <c r="F41" s="124"/>
      <c r="G41" s="125">
        <f>+'REGUL LAMBERT'!K10</f>
        <v>310.88254041669416</v>
      </c>
    </row>
    <row r="42" spans="2:7" x14ac:dyDescent="0.25">
      <c r="B42" s="121" t="s">
        <v>101</v>
      </c>
      <c r="C42" s="97">
        <f>$J$18</f>
        <v>3428</v>
      </c>
      <c r="D42" s="126"/>
      <c r="E42" s="127"/>
      <c r="F42" s="128">
        <f>J25</f>
        <v>1.4999999999999999E-2</v>
      </c>
      <c r="G42" s="125">
        <f>F42*C42</f>
        <v>51.419999999999995</v>
      </c>
    </row>
    <row r="43" spans="2:7" x14ac:dyDescent="0.25">
      <c r="B43" s="121" t="s">
        <v>102</v>
      </c>
      <c r="C43" s="97">
        <f>$J$19</f>
        <v>1013.1791488099161</v>
      </c>
      <c r="D43" s="126"/>
      <c r="E43" s="127"/>
      <c r="F43" s="128"/>
      <c r="G43" s="125">
        <f>F43*C43</f>
        <v>0</v>
      </c>
    </row>
    <row r="44" spans="2:7" x14ac:dyDescent="0.25">
      <c r="B44" s="121" t="s">
        <v>103</v>
      </c>
      <c r="C44" s="97"/>
      <c r="D44" s="126"/>
      <c r="E44" s="127">
        <f>'CALCULS DIVERS'!F4</f>
        <v>40</v>
      </c>
      <c r="F44" s="128"/>
      <c r="G44" s="125">
        <f>'CALCULS DIVERS'!G4</f>
        <v>44</v>
      </c>
    </row>
    <row r="45" spans="2:7" x14ac:dyDescent="0.25">
      <c r="B45" s="129" t="s">
        <v>104</v>
      </c>
      <c r="C45" s="97">
        <f>J18+J19</f>
        <v>4441.1791488099161</v>
      </c>
      <c r="E45" s="97"/>
      <c r="F45" s="130">
        <f>J7</f>
        <v>3.5999999999999997E-2</v>
      </c>
      <c r="G45" s="125">
        <f>F45*C45</f>
        <v>159.88244935715696</v>
      </c>
    </row>
    <row r="46" spans="2:7" x14ac:dyDescent="0.25">
      <c r="B46" s="116" t="s">
        <v>105</v>
      </c>
      <c r="C46" s="117"/>
      <c r="D46" s="118"/>
      <c r="E46" s="118"/>
      <c r="F46" s="119"/>
      <c r="G46" s="120"/>
    </row>
    <row r="47" spans="2:7" x14ac:dyDescent="0.25">
      <c r="B47" s="121" t="s">
        <v>106</v>
      </c>
      <c r="C47" s="97">
        <f>$J$18</f>
        <v>3428</v>
      </c>
      <c r="D47" s="126">
        <v>6.9000000000000006E-2</v>
      </c>
      <c r="E47" s="127">
        <f>D47*C47</f>
        <v>236.53200000000001</v>
      </c>
      <c r="F47" s="128">
        <v>8.5500000000000007E-2</v>
      </c>
      <c r="G47" s="125">
        <f>F47*C47</f>
        <v>293.09399999999999</v>
      </c>
    </row>
    <row r="48" spans="2:7" x14ac:dyDescent="0.25">
      <c r="B48" s="121" t="s">
        <v>107</v>
      </c>
      <c r="C48" s="97">
        <f>$E$37</f>
        <v>4441.1791488099161</v>
      </c>
      <c r="D48" s="126">
        <v>4.0000000000000001E-3</v>
      </c>
      <c r="E48" s="127">
        <f t="shared" ref="E48:E51" si="1">D48*C48</f>
        <v>17.764716595239666</v>
      </c>
      <c r="F48" s="128">
        <v>1.9E-2</v>
      </c>
      <c r="G48" s="125">
        <f t="shared" ref="G48:G51" si="2">F48*C48</f>
        <v>84.382403827388401</v>
      </c>
    </row>
    <row r="49" spans="2:10" x14ac:dyDescent="0.25">
      <c r="B49" s="121" t="s">
        <v>108</v>
      </c>
      <c r="C49" s="97">
        <f>$J$18</f>
        <v>3428</v>
      </c>
      <c r="D49" s="126">
        <v>4.0099999999999997E-2</v>
      </c>
      <c r="E49" s="127">
        <f t="shared" si="1"/>
        <v>137.46279999999999</v>
      </c>
      <c r="F49" s="128">
        <v>6.0100000000000001E-2</v>
      </c>
      <c r="G49" s="125">
        <f t="shared" si="2"/>
        <v>206.02279999999999</v>
      </c>
    </row>
    <row r="50" spans="2:10" x14ac:dyDescent="0.25">
      <c r="B50" s="121" t="s">
        <v>109</v>
      </c>
      <c r="C50" s="97">
        <f>+J19</f>
        <v>1013.1791488099161</v>
      </c>
      <c r="D50" s="126">
        <v>9.7199999999999995E-2</v>
      </c>
      <c r="E50" s="127">
        <f t="shared" si="1"/>
        <v>98.481013264323835</v>
      </c>
      <c r="F50" s="128">
        <v>0.1457</v>
      </c>
      <c r="G50" s="125">
        <f t="shared" si="2"/>
        <v>147.62020198160477</v>
      </c>
    </row>
    <row r="51" spans="2:10" x14ac:dyDescent="0.25">
      <c r="B51" s="121" t="s">
        <v>110</v>
      </c>
      <c r="C51" s="97">
        <f>+'REGUL LAMBERT'!H42</f>
        <v>4441.1791488099152</v>
      </c>
      <c r="D51" s="126">
        <v>1.4E-3</v>
      </c>
      <c r="E51" s="127">
        <f t="shared" si="1"/>
        <v>6.2176508083338815</v>
      </c>
      <c r="F51" s="128">
        <v>2.0999999999999999E-3</v>
      </c>
      <c r="G51" s="125">
        <f t="shared" si="2"/>
        <v>9.3264762125008218</v>
      </c>
      <c r="I51" s="321">
        <f>SUM(E47:E51)</f>
        <v>496.45818066789741</v>
      </c>
    </row>
    <row r="52" spans="2:10" x14ac:dyDescent="0.25">
      <c r="B52" s="121" t="s">
        <v>111</v>
      </c>
      <c r="C52" s="97"/>
      <c r="D52" s="126"/>
      <c r="E52" s="127"/>
      <c r="F52" s="128"/>
      <c r="G52" s="125"/>
      <c r="I52" s="387"/>
    </row>
    <row r="53" spans="2:10" x14ac:dyDescent="0.25">
      <c r="B53" s="116" t="s">
        <v>112</v>
      </c>
      <c r="C53" s="97">
        <f>$E$37</f>
        <v>4441.1791488099161</v>
      </c>
      <c r="D53" s="131"/>
      <c r="E53" s="97"/>
      <c r="F53" s="128"/>
      <c r="G53" s="132">
        <f>+'REGUL DUMONT'!K30</f>
        <v>315.00000000000006</v>
      </c>
    </row>
    <row r="54" spans="2:10" x14ac:dyDescent="0.25">
      <c r="B54" s="116" t="s">
        <v>113</v>
      </c>
      <c r="C54" s="97"/>
      <c r="D54" s="131"/>
      <c r="E54" s="97"/>
      <c r="F54" s="133"/>
      <c r="G54" s="125"/>
    </row>
    <row r="55" spans="2:10" x14ac:dyDescent="0.25">
      <c r="B55" s="121" t="s">
        <v>114</v>
      </c>
      <c r="C55" s="97">
        <f>+E37</f>
        <v>4441.1791488099161</v>
      </c>
      <c r="D55" s="131"/>
      <c r="E55" s="97"/>
      <c r="F55" s="134">
        <v>4.2000000000000003E-2</v>
      </c>
      <c r="G55" s="125">
        <f t="shared" ref="G55" si="3">F55*C55</f>
        <v>186.52952425001649</v>
      </c>
    </row>
    <row r="56" spans="2:10" x14ac:dyDescent="0.25">
      <c r="B56" s="121" t="s">
        <v>115</v>
      </c>
      <c r="C56" s="97">
        <f>+E37</f>
        <v>4441.1791488099161</v>
      </c>
      <c r="D56" s="135">
        <v>2.4000000000000001E-4</v>
      </c>
      <c r="E56" s="136">
        <f>D56*C56</f>
        <v>1.0658829957143798</v>
      </c>
      <c r="F56" s="133">
        <v>3.6000000000000002E-4</v>
      </c>
      <c r="G56" s="137">
        <f>C56*F56</f>
        <v>1.5988244935715699</v>
      </c>
    </row>
    <row r="57" spans="2:10" x14ac:dyDescent="0.25">
      <c r="B57" s="116" t="s">
        <v>116</v>
      </c>
      <c r="C57" s="97"/>
      <c r="D57" s="131"/>
      <c r="E57" s="97"/>
      <c r="F57" s="133"/>
      <c r="G57" s="125">
        <f>E103</f>
        <v>71.378040976791709</v>
      </c>
    </row>
    <row r="58" spans="2:10" x14ac:dyDescent="0.25">
      <c r="B58" s="129"/>
      <c r="C58" s="97"/>
      <c r="D58" s="97"/>
      <c r="E58" s="97"/>
      <c r="F58" s="97"/>
      <c r="G58" s="138"/>
    </row>
    <row r="59" spans="2:10" ht="24.75" customHeight="1" x14ac:dyDescent="0.25">
      <c r="B59" s="139" t="s">
        <v>117</v>
      </c>
      <c r="C59" s="97"/>
      <c r="D59" s="97"/>
      <c r="E59" s="97"/>
      <c r="F59" s="97"/>
      <c r="G59" s="138"/>
    </row>
    <row r="60" spans="2:10" x14ac:dyDescent="0.25">
      <c r="B60" s="129"/>
      <c r="C60" s="97"/>
      <c r="D60" s="135"/>
      <c r="E60" s="97"/>
      <c r="F60" s="140"/>
      <c r="G60" s="125"/>
      <c r="I60" s="11" t="s">
        <v>246</v>
      </c>
      <c r="J60" s="321">
        <f>SUM(E47:E51)</f>
        <v>496.45818066789741</v>
      </c>
    </row>
    <row r="61" spans="2:10" x14ac:dyDescent="0.25">
      <c r="B61" s="129" t="s">
        <v>118</v>
      </c>
      <c r="C61" s="97">
        <f>(E37-E24-E25-E26-E27)*0.9825+G42+G43+G44</f>
        <v>4300.1704633332238</v>
      </c>
      <c r="D61" s="126">
        <v>6.8000000000000005E-2</v>
      </c>
      <c r="E61" s="127">
        <f>D61*C61</f>
        <v>292.41159150665925</v>
      </c>
      <c r="F61" s="128"/>
      <c r="G61" s="125"/>
      <c r="I61" s="11" t="s">
        <v>247</v>
      </c>
      <c r="J61" s="368">
        <f>J60/E37</f>
        <v>0.11178521830197533</v>
      </c>
    </row>
    <row r="62" spans="2:10" x14ac:dyDescent="0.25">
      <c r="B62" s="129" t="s">
        <v>119</v>
      </c>
      <c r="C62" s="97">
        <f>C61</f>
        <v>4300.1704633332238</v>
      </c>
      <c r="D62" s="126">
        <v>2.9000000000000001E-2</v>
      </c>
      <c r="E62" s="127">
        <f>D62*C62</f>
        <v>124.7049434366635</v>
      </c>
      <c r="F62" s="128"/>
      <c r="G62" s="125"/>
      <c r="I62" s="11" t="s">
        <v>248</v>
      </c>
    </row>
    <row r="63" spans="2:10" ht="35.25" customHeight="1" x14ac:dyDescent="0.25">
      <c r="B63" s="141" t="s">
        <v>120</v>
      </c>
      <c r="C63" s="97">
        <f>(E23+E24+E25)*0.9825</f>
        <v>272.71873145645156</v>
      </c>
      <c r="D63" s="126">
        <v>9.7000000000000003E-2</v>
      </c>
      <c r="E63" s="127">
        <f>D63*C63</f>
        <v>26.453716951275801</v>
      </c>
      <c r="F63" s="128"/>
      <c r="G63" s="125"/>
    </row>
    <row r="64" spans="2:10" ht="24.75" customHeight="1" x14ac:dyDescent="0.25">
      <c r="B64" s="389" t="s">
        <v>266</v>
      </c>
      <c r="C64" s="126"/>
      <c r="D64" s="126"/>
      <c r="E64" s="127"/>
      <c r="F64" s="128"/>
      <c r="G64" s="138">
        <f>-I124</f>
        <v>0</v>
      </c>
    </row>
    <row r="65" spans="2:8" ht="21" customHeight="1" x14ac:dyDescent="0.25">
      <c r="B65" s="389" t="s">
        <v>266</v>
      </c>
      <c r="C65" s="142">
        <f>E23+E24+E25</f>
        <v>277.57631700402192</v>
      </c>
      <c r="D65" s="126">
        <f>-J61</f>
        <v>-0.11178521830197533</v>
      </c>
      <c r="E65" s="127">
        <f>D65*C65</f>
        <v>-31.028929191752894</v>
      </c>
      <c r="F65" s="128"/>
      <c r="G65" s="125"/>
    </row>
    <row r="66" spans="2:8" ht="15.75" thickBot="1" x14ac:dyDescent="0.3">
      <c r="B66" s="143" t="s">
        <v>123</v>
      </c>
      <c r="C66" s="367">
        <f>IF(AND(J4=151.67,J6&lt;20),C24+C25,0)+C23</f>
        <v>8.75</v>
      </c>
      <c r="D66" s="145"/>
      <c r="E66" s="146"/>
      <c r="F66" s="147">
        <v>-1.5</v>
      </c>
      <c r="G66" s="148">
        <f>F66*C66</f>
        <v>-13.125</v>
      </c>
    </row>
    <row r="67" spans="2:8" ht="15.75" thickBot="1" x14ac:dyDescent="0.3">
      <c r="B67" s="149" t="s">
        <v>124</v>
      </c>
      <c r="C67" s="150"/>
      <c r="D67" s="151"/>
      <c r="E67" s="152">
        <f>SUM(E41:E66)</f>
        <v>950.06538636645746</v>
      </c>
      <c r="F67" s="153"/>
      <c r="G67" s="154">
        <f>SUM(G41:G66)</f>
        <v>1868.0122615157252</v>
      </c>
    </row>
    <row r="68" spans="2:8" x14ac:dyDescent="0.25">
      <c r="B68" s="155"/>
      <c r="C68" s="156"/>
      <c r="D68" s="157"/>
      <c r="E68" s="158"/>
      <c r="F68" s="159"/>
      <c r="G68" s="160"/>
    </row>
    <row r="69" spans="2:8" x14ac:dyDescent="0.25">
      <c r="B69" s="121" t="s">
        <v>125</v>
      </c>
      <c r="C69" s="127"/>
      <c r="D69" s="161"/>
      <c r="E69" s="162"/>
      <c r="F69" s="163"/>
      <c r="G69" s="164"/>
    </row>
    <row r="70" spans="2:8" x14ac:dyDescent="0.25">
      <c r="B70" s="121" t="s">
        <v>126</v>
      </c>
      <c r="C70" s="127"/>
      <c r="D70" s="161"/>
      <c r="E70" s="162"/>
      <c r="F70" s="163"/>
      <c r="G70" s="164"/>
    </row>
    <row r="71" spans="2:8" x14ac:dyDescent="0.25">
      <c r="B71" s="121" t="s">
        <v>127</v>
      </c>
      <c r="C71" s="127"/>
      <c r="D71" s="161"/>
      <c r="E71" s="127"/>
      <c r="F71" s="163"/>
      <c r="G71" s="164"/>
    </row>
    <row r="72" spans="2:8" ht="15.75" customHeight="1" x14ac:dyDescent="0.25">
      <c r="B72" s="165" t="s">
        <v>128</v>
      </c>
      <c r="C72" s="363">
        <v>20</v>
      </c>
      <c r="D72" s="161">
        <f>7*0.4</f>
        <v>2.8000000000000003</v>
      </c>
      <c r="E72" s="166">
        <f>-D72*C72</f>
        <v>-56.000000000000007</v>
      </c>
      <c r="F72" s="163"/>
      <c r="G72" s="164"/>
    </row>
    <row r="73" spans="2:8" x14ac:dyDescent="0.25">
      <c r="B73" s="167" t="s">
        <v>129</v>
      </c>
      <c r="D73" s="168"/>
      <c r="E73" s="169"/>
      <c r="F73" s="170"/>
      <c r="G73" s="164"/>
    </row>
    <row r="74" spans="2:8" x14ac:dyDescent="0.25">
      <c r="B74" s="171" t="s">
        <v>219</v>
      </c>
      <c r="C74" s="127"/>
      <c r="D74" s="161"/>
      <c r="E74" s="172"/>
      <c r="F74" s="163"/>
      <c r="G74" s="164"/>
    </row>
    <row r="75" spans="2:8" ht="15.75" thickBot="1" x14ac:dyDescent="0.3">
      <c r="B75" s="143"/>
      <c r="C75" s="146"/>
      <c r="D75" s="173"/>
      <c r="E75" s="174"/>
      <c r="F75" s="175"/>
      <c r="G75" s="148"/>
    </row>
    <row r="76" spans="2:8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3435.1137624434587</v>
      </c>
    </row>
    <row r="77" spans="2:8" ht="28.5" x14ac:dyDescent="0.25">
      <c r="B77" s="178" t="s">
        <v>131</v>
      </c>
      <c r="C77" s="179"/>
      <c r="D77" s="180"/>
      <c r="E77" s="181"/>
      <c r="F77" s="182"/>
      <c r="G77" s="183">
        <f>E110</f>
        <v>62.158026876087888</v>
      </c>
    </row>
    <row r="78" spans="2:8" x14ac:dyDescent="0.25">
      <c r="B78" s="390" t="s">
        <v>132</v>
      </c>
      <c r="C78" s="390" t="s">
        <v>133</v>
      </c>
      <c r="D78" s="390" t="s">
        <v>96</v>
      </c>
      <c r="E78" s="391" t="s">
        <v>134</v>
      </c>
      <c r="F78" s="391"/>
      <c r="G78" s="392" t="s">
        <v>267</v>
      </c>
    </row>
    <row r="79" spans="2:8" x14ac:dyDescent="0.25">
      <c r="B79" s="393" t="s">
        <v>268</v>
      </c>
      <c r="C79" s="394"/>
      <c r="D79" s="395"/>
      <c r="E79" s="396">
        <f>E20+E28+E36+G44+E62+E63-E67</f>
        <v>3408.6961058273764</v>
      </c>
      <c r="F79" s="397"/>
      <c r="G79" s="398"/>
      <c r="H79" s="321"/>
    </row>
    <row r="80" spans="2:8" x14ac:dyDescent="0.25">
      <c r="B80" s="393" t="s">
        <v>269</v>
      </c>
      <c r="C80" s="399">
        <f>E79</f>
        <v>3408.6961058273764</v>
      </c>
      <c r="D80" s="400">
        <v>8.5000000000000006E-2</v>
      </c>
      <c r="E80" s="396">
        <f>D80*C80</f>
        <v>289.73916899532702</v>
      </c>
      <c r="F80" s="397"/>
      <c r="G80" s="398"/>
    </row>
    <row r="81" spans="1:9" x14ac:dyDescent="0.25">
      <c r="B81" s="393" t="s">
        <v>270</v>
      </c>
      <c r="C81" s="394"/>
      <c r="D81" s="396"/>
      <c r="E81" s="395"/>
      <c r="F81" s="397"/>
      <c r="G81" s="398"/>
    </row>
    <row r="82" spans="1:9" x14ac:dyDescent="0.25">
      <c r="B82" s="393"/>
      <c r="C82" s="394"/>
      <c r="D82" s="395"/>
      <c r="E82" s="395"/>
      <c r="F82" s="397"/>
      <c r="G82" s="401"/>
    </row>
    <row r="83" spans="1:9" x14ac:dyDescent="0.25">
      <c r="B83" s="402" t="s">
        <v>271</v>
      </c>
      <c r="C83" s="395"/>
      <c r="D83" s="395"/>
      <c r="E83" s="396">
        <f>G76-E80</f>
        <v>3145.3745934481317</v>
      </c>
      <c r="F83" s="397"/>
      <c r="G83" s="398"/>
    </row>
    <row r="84" spans="1:9" x14ac:dyDescent="0.25">
      <c r="B84" s="393" t="s">
        <v>272</v>
      </c>
      <c r="C84" s="395"/>
      <c r="D84" s="395"/>
      <c r="E84" s="396">
        <f>E118</f>
        <v>359.53697360717342</v>
      </c>
      <c r="F84" s="397"/>
      <c r="G84" s="398"/>
    </row>
    <row r="85" spans="1:9" x14ac:dyDescent="0.25">
      <c r="B85" s="393" t="s">
        <v>273</v>
      </c>
      <c r="C85" s="403"/>
      <c r="D85" s="395"/>
      <c r="E85" s="396">
        <f>E37+G67</f>
        <v>6309.1914103256413</v>
      </c>
      <c r="F85" s="397"/>
      <c r="G85" s="398"/>
      <c r="I85" s="321">
        <f>C86-K39</f>
        <v>0</v>
      </c>
    </row>
    <row r="86" spans="1:9" ht="15.75" thickBot="1" x14ac:dyDescent="0.3">
      <c r="A86" s="409"/>
      <c r="B86" s="410" t="s">
        <v>138</v>
      </c>
      <c r="C86" s="187"/>
      <c r="D86" s="187"/>
      <c r="E86" s="187"/>
      <c r="F86" s="405"/>
      <c r="G86" s="406"/>
    </row>
    <row r="87" spans="1:9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1:9" s="189" customFormat="1" ht="15.75" thickBot="1" x14ac:dyDescent="0.3">
      <c r="B90" s="456" t="s">
        <v>116</v>
      </c>
      <c r="C90" s="457"/>
      <c r="D90" s="11"/>
      <c r="E90" s="11"/>
    </row>
    <row r="91" spans="1:9" s="189" customFormat="1" x14ac:dyDescent="0.25">
      <c r="B91" s="190"/>
      <c r="C91" s="191"/>
      <c r="D91" s="458">
        <f>+E37</f>
        <v>4441.1791488099161</v>
      </c>
      <c r="E91" s="192"/>
    </row>
    <row r="92" spans="1:9" s="189" customFormat="1" x14ac:dyDescent="0.25">
      <c r="B92" s="193" t="s">
        <v>139</v>
      </c>
      <c r="C92" s="194">
        <f>IF(J6&gt;=11,J8,0)</f>
        <v>0</v>
      </c>
      <c r="D92" s="459"/>
      <c r="E92" s="195">
        <f>C92*$D$91</f>
        <v>0</v>
      </c>
    </row>
    <row r="93" spans="1:9" s="189" customFormat="1" x14ac:dyDescent="0.25">
      <c r="B93" s="193" t="s">
        <v>140</v>
      </c>
      <c r="C93" s="194">
        <f>IF(J6&lt;50,0%,0.5%)</f>
        <v>0</v>
      </c>
      <c r="D93" s="459"/>
      <c r="E93" s="195">
        <f t="shared" ref="E93:E98" si="4">C93*$D$91</f>
        <v>0</v>
      </c>
    </row>
    <row r="94" spans="1:9" s="189" customFormat="1" x14ac:dyDescent="0.25">
      <c r="B94" s="193" t="s">
        <v>141</v>
      </c>
      <c r="C94" s="194"/>
      <c r="D94" s="459"/>
      <c r="E94" s="195">
        <f t="shared" si="4"/>
        <v>0</v>
      </c>
    </row>
    <row r="95" spans="1:9" s="189" customFormat="1" x14ac:dyDescent="0.25">
      <c r="B95" s="193" t="s">
        <v>142</v>
      </c>
      <c r="C95" s="194">
        <v>3.0000000000000001E-3</v>
      </c>
      <c r="D95" s="459"/>
      <c r="E95" s="195">
        <f t="shared" si="4"/>
        <v>13.323537446429748</v>
      </c>
    </row>
    <row r="96" spans="1:9" s="189" customFormat="1" x14ac:dyDescent="0.25">
      <c r="B96" s="193" t="s">
        <v>143</v>
      </c>
      <c r="C96" s="194">
        <v>6.7999999999999996E-3</v>
      </c>
      <c r="D96" s="459"/>
      <c r="E96" s="195">
        <f t="shared" si="4"/>
        <v>30.200018211907427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9"/>
      <c r="E97" s="195">
        <f t="shared" si="4"/>
        <v>24.426485318454542</v>
      </c>
    </row>
    <row r="98" spans="2:5" s="189" customFormat="1" x14ac:dyDescent="0.25">
      <c r="B98" s="193"/>
      <c r="C98" s="194">
        <f>IF(J6&lt;=50,0,0.45%)</f>
        <v>0</v>
      </c>
      <c r="D98" s="459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IF(J6&lt;50,J18,0)</f>
        <v>3428</v>
      </c>
      <c r="D101" s="200">
        <v>1E-3</v>
      </c>
      <c r="E101" s="201">
        <f>D101*C101</f>
        <v>3.4279999999999999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71.378040976791709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60" t="s">
        <v>148</v>
      </c>
      <c r="C105" s="461"/>
      <c r="D105" s="461"/>
      <c r="E105" s="462"/>
    </row>
    <row r="106" spans="2:5" s="189" customFormat="1" x14ac:dyDescent="0.25">
      <c r="B106" s="205" t="s">
        <v>149</v>
      </c>
      <c r="C106" s="206">
        <f>C107</f>
        <v>4441.1791488099161</v>
      </c>
      <c r="D106" s="207">
        <v>2.4E-2</v>
      </c>
      <c r="E106" s="208">
        <f>D106*C106</f>
        <v>106.58829957143799</v>
      </c>
    </row>
    <row r="107" spans="2:5" s="189" customFormat="1" x14ac:dyDescent="0.25">
      <c r="B107" s="209" t="s">
        <v>17</v>
      </c>
      <c r="C107" s="206">
        <f>E37</f>
        <v>4441.1791488099161</v>
      </c>
      <c r="D107" s="210">
        <v>7.4999999999999997E-3</v>
      </c>
      <c r="E107" s="211">
        <f t="shared" ref="E107:E108" si="5">D107*C107</f>
        <v>33.30884361607437</v>
      </c>
    </row>
    <row r="108" spans="2:5" s="189" customFormat="1" x14ac:dyDescent="0.25">
      <c r="B108" s="209" t="s">
        <v>150</v>
      </c>
      <c r="C108" s="206">
        <f>C61+C63</f>
        <v>4572.8891947896755</v>
      </c>
      <c r="D108" s="210">
        <v>-1.7000000000000001E-2</v>
      </c>
      <c r="E108" s="211">
        <f t="shared" si="5"/>
        <v>-77.739116311424482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62.158026876087888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60" t="s">
        <v>152</v>
      </c>
      <c r="C113" s="461"/>
      <c r="D113" s="461"/>
      <c r="E113" s="462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>
        <f>C23+C24+C25</f>
        <v>8.75</v>
      </c>
      <c r="D115" s="224">
        <v>1.5</v>
      </c>
      <c r="E115" s="225">
        <f>D115*C115</f>
        <v>13.125</v>
      </c>
    </row>
    <row r="116" spans="2:9" s="189" customFormat="1" ht="15.75" customHeight="1" x14ac:dyDescent="0.25">
      <c r="B116" s="222" t="s">
        <v>155</v>
      </c>
      <c r="C116" s="226">
        <f>E37</f>
        <v>4441.1791488099161</v>
      </c>
      <c r="D116" s="210">
        <v>1.7999999999999999E-2</v>
      </c>
      <c r="E116" s="225">
        <f>D116*C116</f>
        <v>79.941224678578479</v>
      </c>
    </row>
    <row r="117" spans="2:9" s="189" customFormat="1" ht="15.75" customHeight="1" x14ac:dyDescent="0.25">
      <c r="B117" s="222" t="s">
        <v>156</v>
      </c>
      <c r="C117" s="226">
        <f>C116</f>
        <v>4441.1791488099161</v>
      </c>
      <c r="D117" s="210">
        <v>0.06</v>
      </c>
      <c r="E117" s="225">
        <f>D117*C117</f>
        <v>266.47074892859496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359.53697360717342</v>
      </c>
    </row>
    <row r="121" spans="2:9" ht="15.75" hidden="1" thickBot="1" x14ac:dyDescent="0.3">
      <c r="B121" s="230" t="s">
        <v>158</v>
      </c>
      <c r="C121" s="231">
        <f>J20</f>
        <v>0.31950000000000001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3" t="s">
        <v>168</v>
      </c>
      <c r="C127" s="464"/>
      <c r="D127" s="464"/>
      <c r="E127" s="464"/>
    </row>
    <row r="128" spans="2:9" hidden="1" x14ac:dyDescent="0.25"/>
    <row r="129" spans="2:14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14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14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14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14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14" ht="15.75" hidden="1" thickBot="1" x14ac:dyDescent="0.3">
      <c r="B134" s="250" t="s">
        <v>178</v>
      </c>
      <c r="C134" s="2"/>
      <c r="D134" s="465" t="s">
        <v>179</v>
      </c>
      <c r="E134" s="465"/>
      <c r="F134" s="466"/>
    </row>
    <row r="135" spans="2:14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14" hidden="1" x14ac:dyDescent="0.25">
      <c r="D136" s="10" t="s">
        <v>235</v>
      </c>
      <c r="E136"/>
      <c r="F136"/>
      <c r="G136"/>
      <c r="H136"/>
      <c r="I136"/>
    </row>
    <row r="137" spans="2:14" ht="15.75" thickBot="1" x14ac:dyDescent="0.3">
      <c r="D137"/>
      <c r="E137"/>
      <c r="F137"/>
      <c r="G137"/>
      <c r="H137"/>
      <c r="I137"/>
    </row>
    <row r="138" spans="2:14" x14ac:dyDescent="0.25">
      <c r="B138" s="355"/>
      <c r="C138" s="6" t="s">
        <v>236</v>
      </c>
      <c r="D138" s="6" t="s">
        <v>241</v>
      </c>
      <c r="E138" s="6" t="s">
        <v>237</v>
      </c>
      <c r="F138" s="6" t="s">
        <v>238</v>
      </c>
      <c r="G138" s="358" t="s">
        <v>239</v>
      </c>
    </row>
    <row r="139" spans="2:14" ht="15.75" thickBot="1" x14ac:dyDescent="0.3">
      <c r="B139" s="359" t="s">
        <v>240</v>
      </c>
      <c r="C139" s="356">
        <v>43.75</v>
      </c>
      <c r="D139" s="356">
        <f>+C139-35</f>
        <v>8.75</v>
      </c>
      <c r="E139" s="356">
        <v>4</v>
      </c>
      <c r="F139" s="356">
        <v>4</v>
      </c>
      <c r="G139" s="357">
        <f>D139-E139-F139</f>
        <v>0.75</v>
      </c>
    </row>
    <row r="141" spans="2:14" ht="18.75" customHeight="1" x14ac:dyDescent="0.25">
      <c r="B141" s="10" t="s">
        <v>242</v>
      </c>
      <c r="C141"/>
      <c r="D141" s="9"/>
      <c r="G141"/>
      <c r="J141"/>
      <c r="K141"/>
      <c r="L141"/>
      <c r="M141"/>
      <c r="N141"/>
    </row>
    <row r="142" spans="2:14" ht="18.75" customHeight="1" thickBot="1" x14ac:dyDescent="0.3">
      <c r="B142"/>
      <c r="C142"/>
      <c r="D142" s="9"/>
      <c r="G142"/>
      <c r="J142"/>
      <c r="K142"/>
      <c r="L142"/>
      <c r="M142"/>
      <c r="N142"/>
    </row>
    <row r="143" spans="2:14" ht="18.75" customHeight="1" thickBot="1" x14ac:dyDescent="0.3">
      <c r="B143" s="361" t="s">
        <v>243</v>
      </c>
      <c r="C143" s="360">
        <v>7</v>
      </c>
      <c r="D143" s="9"/>
      <c r="G143"/>
      <c r="J143"/>
      <c r="K143"/>
      <c r="L143"/>
      <c r="M143"/>
      <c r="N143"/>
    </row>
    <row r="144" spans="2:14" ht="18.75" customHeight="1" x14ac:dyDescent="0.25">
      <c r="D144" s="9"/>
      <c r="G144"/>
      <c r="J144"/>
      <c r="K144"/>
      <c r="L144"/>
      <c r="M144"/>
      <c r="N144"/>
    </row>
    <row r="145" spans="2:14" ht="18.75" customHeight="1" x14ac:dyDescent="0.25">
      <c r="B145" s="9"/>
      <c r="C145" s="254"/>
      <c r="D145" s="255"/>
      <c r="E145" s="9"/>
      <c r="F145" s="9"/>
      <c r="I145"/>
      <c r="J145"/>
      <c r="K145"/>
      <c r="L145"/>
      <c r="M145"/>
      <c r="N145"/>
    </row>
    <row r="146" spans="2:14" ht="18.75" customHeight="1" x14ac:dyDescent="0.25">
      <c r="B146" s="9"/>
      <c r="C146" s="254"/>
      <c r="D146" s="255"/>
      <c r="E146" s="9"/>
      <c r="F146" s="9"/>
      <c r="I146"/>
      <c r="J146"/>
      <c r="K146"/>
      <c r="L146"/>
      <c r="M146"/>
      <c r="N146"/>
    </row>
    <row r="147" spans="2:14" ht="18.75" customHeight="1" x14ac:dyDescent="0.25">
      <c r="B147" s="9"/>
      <c r="C147" s="254"/>
      <c r="D147" s="255"/>
      <c r="E147" s="9"/>
      <c r="F147" s="9"/>
      <c r="I147"/>
      <c r="J147"/>
      <c r="K147"/>
      <c r="L147"/>
      <c r="M147"/>
      <c r="N147"/>
    </row>
    <row r="148" spans="2:14" ht="18.75" x14ac:dyDescent="0.25">
      <c r="B148" s="463" t="s">
        <v>9</v>
      </c>
      <c r="C148" s="464"/>
      <c r="D148" s="464"/>
      <c r="E148" s="464"/>
      <c r="K148"/>
      <c r="L148"/>
      <c r="M148"/>
      <c r="N148"/>
    </row>
    <row r="149" spans="2:14" ht="15.75" thickBot="1" x14ac:dyDescent="0.3">
      <c r="K149"/>
      <c r="L149"/>
      <c r="M149"/>
      <c r="N149"/>
    </row>
    <row r="150" spans="2:14" x14ac:dyDescent="0.25">
      <c r="B150" s="453" t="s">
        <v>10</v>
      </c>
      <c r="C150" s="454"/>
      <c r="D150" s="454"/>
      <c r="E150" s="455"/>
      <c r="K150"/>
      <c r="L150"/>
      <c r="M150"/>
      <c r="N150"/>
    </row>
    <row r="151" spans="2:14" x14ac:dyDescent="0.25">
      <c r="B151" s="256" t="s">
        <v>11</v>
      </c>
      <c r="C151" s="257"/>
      <c r="D151" s="257"/>
      <c r="E151" s="271"/>
      <c r="I151"/>
      <c r="J151"/>
      <c r="K151"/>
      <c r="L151"/>
      <c r="M151"/>
      <c r="N151"/>
    </row>
    <row r="152" spans="2:14" x14ac:dyDescent="0.25">
      <c r="B152" s="256" t="s">
        <v>12</v>
      </c>
      <c r="C152" s="257"/>
      <c r="D152" s="257"/>
      <c r="E152" s="258"/>
    </row>
    <row r="153" spans="2:14" x14ac:dyDescent="0.25">
      <c r="B153" s="256" t="s">
        <v>13</v>
      </c>
      <c r="C153" s="257"/>
      <c r="D153" s="257"/>
      <c r="E153" s="275"/>
    </row>
    <row r="154" spans="2:14" ht="15.75" thickBot="1" x14ac:dyDescent="0.3">
      <c r="B154" s="256" t="s">
        <v>14</v>
      </c>
      <c r="C154" s="257"/>
      <c r="D154" s="257"/>
      <c r="E154" s="272"/>
    </row>
    <row r="155" spans="2:14" ht="16.5" thickTop="1" thickBot="1" x14ac:dyDescent="0.3">
      <c r="B155" s="259" t="s">
        <v>15</v>
      </c>
      <c r="C155" s="260"/>
      <c r="D155" s="261"/>
      <c r="E155" s="276">
        <f>E153*E154</f>
        <v>0</v>
      </c>
    </row>
    <row r="156" spans="2:14" ht="15.75" thickBot="1" x14ac:dyDescent="0.3">
      <c r="B156" s="262"/>
      <c r="C156" s="262"/>
      <c r="D156" s="262"/>
      <c r="E156" s="262"/>
    </row>
    <row r="157" spans="2:14" ht="15.75" thickBot="1" x14ac:dyDescent="0.3">
      <c r="B157" s="460" t="s">
        <v>16</v>
      </c>
      <c r="C157" s="461"/>
      <c r="D157" s="461"/>
      <c r="E157" s="462"/>
    </row>
    <row r="158" spans="2:14" x14ac:dyDescent="0.25">
      <c r="B158" s="263" t="s">
        <v>17</v>
      </c>
      <c r="C158" s="264"/>
      <c r="D158" s="265" t="s">
        <v>18</v>
      </c>
      <c r="E158" s="266" t="s">
        <v>19</v>
      </c>
    </row>
    <row r="159" spans="2:14" x14ac:dyDescent="0.25">
      <c r="B159" s="209" t="s">
        <v>20</v>
      </c>
      <c r="C159" s="273"/>
      <c r="D159" s="274"/>
      <c r="E159" s="277"/>
    </row>
    <row r="160" spans="2:14" x14ac:dyDescent="0.25">
      <c r="B160" s="209" t="s">
        <v>21</v>
      </c>
      <c r="C160" s="273"/>
      <c r="D160" s="274"/>
      <c r="E160" s="277"/>
    </row>
    <row r="161" spans="2:5" x14ac:dyDescent="0.25">
      <c r="B161" s="209" t="s">
        <v>22</v>
      </c>
      <c r="C161" s="273"/>
      <c r="D161" s="274"/>
      <c r="E161" s="277"/>
    </row>
    <row r="162" spans="2:5" x14ac:dyDescent="0.25">
      <c r="B162" s="209" t="s">
        <v>23</v>
      </c>
      <c r="C162" s="267"/>
      <c r="D162" s="267"/>
      <c r="E162" s="211"/>
    </row>
    <row r="163" spans="2:5" x14ac:dyDescent="0.25">
      <c r="B163" s="209" t="s">
        <v>24</v>
      </c>
      <c r="C163" s="267"/>
      <c r="D163" s="267"/>
      <c r="E163" s="211"/>
    </row>
    <row r="164" spans="2:5" x14ac:dyDescent="0.25">
      <c r="B164" s="209" t="s">
        <v>181</v>
      </c>
      <c r="C164" s="267"/>
      <c r="D164" s="279"/>
      <c r="E164" s="268"/>
    </row>
    <row r="165" spans="2:5" x14ac:dyDescent="0.25">
      <c r="B165" s="209" t="s">
        <v>25</v>
      </c>
      <c r="C165" s="267"/>
      <c r="D165" s="267"/>
      <c r="E165" s="283">
        <f>E164*E163</f>
        <v>0</v>
      </c>
    </row>
    <row r="166" spans="2:5" x14ac:dyDescent="0.25">
      <c r="B166" s="209" t="s">
        <v>26</v>
      </c>
      <c r="C166" s="267"/>
      <c r="D166" s="267"/>
      <c r="E166" s="211">
        <f>E165*6.7%</f>
        <v>0</v>
      </c>
    </row>
    <row r="167" spans="2:5" ht="15.75" thickBot="1" x14ac:dyDescent="0.3">
      <c r="B167" s="269" t="s">
        <v>27</v>
      </c>
      <c r="C167" s="270"/>
      <c r="D167" s="270"/>
      <c r="E167" s="278">
        <f>E165-E166</f>
        <v>0</v>
      </c>
    </row>
    <row r="168" spans="2:5" ht="15.75" thickBot="1" x14ac:dyDescent="0.3"/>
    <row r="169" spans="2:5" x14ac:dyDescent="0.25">
      <c r="B169" s="453" t="s">
        <v>28</v>
      </c>
      <c r="C169" s="454"/>
      <c r="D169" s="454"/>
      <c r="E169" s="455"/>
    </row>
    <row r="170" spans="2:5" x14ac:dyDescent="0.25">
      <c r="B170" s="256" t="s">
        <v>29</v>
      </c>
      <c r="C170" s="257"/>
      <c r="D170" s="257"/>
      <c r="E170" s="280"/>
    </row>
    <row r="171" spans="2:5" ht="15.75" thickBot="1" x14ac:dyDescent="0.3">
      <c r="B171" s="256" t="s">
        <v>30</v>
      </c>
      <c r="C171" s="257"/>
      <c r="D171" s="257"/>
      <c r="E171" s="258">
        <f>E153*0.9</f>
        <v>0</v>
      </c>
    </row>
    <row r="172" spans="2:5" ht="16.5" thickTop="1" thickBot="1" x14ac:dyDescent="0.3">
      <c r="B172" s="256" t="s">
        <v>31</v>
      </c>
      <c r="C172" s="257"/>
      <c r="D172" s="257"/>
      <c r="E172" s="276">
        <f>E170*E171</f>
        <v>0</v>
      </c>
    </row>
    <row r="173" spans="2:5" ht="16.5" thickTop="1" thickBot="1" x14ac:dyDescent="0.3">
      <c r="B173" s="209" t="s">
        <v>32</v>
      </c>
      <c r="C173" s="257"/>
      <c r="D173" s="257"/>
      <c r="E173" s="281">
        <f>E163</f>
        <v>0</v>
      </c>
    </row>
    <row r="174" spans="2:5" ht="16.5" thickTop="1" thickBot="1" x14ac:dyDescent="0.3">
      <c r="B174" s="259" t="s">
        <v>33</v>
      </c>
      <c r="C174" s="284">
        <f>E170</f>
        <v>0</v>
      </c>
      <c r="D174" s="282">
        <f>E173</f>
        <v>0</v>
      </c>
      <c r="E174" s="276">
        <f>D174*C174</f>
        <v>0</v>
      </c>
    </row>
  </sheetData>
  <mergeCells count="12">
    <mergeCell ref="C17:D17"/>
    <mergeCell ref="F17:G17"/>
    <mergeCell ref="B169:E169"/>
    <mergeCell ref="B90:C90"/>
    <mergeCell ref="D91:D98"/>
    <mergeCell ref="B105:E105"/>
    <mergeCell ref="B113:E113"/>
    <mergeCell ref="B127:E127"/>
    <mergeCell ref="D134:F134"/>
    <mergeCell ref="B148:E148"/>
    <mergeCell ref="B150:E150"/>
    <mergeCell ref="B157:E1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3FE6-FAEC-4054-9C91-D7CFBD29D16A}">
  <dimension ref="A3:H11"/>
  <sheetViews>
    <sheetView workbookViewId="0">
      <selection activeCell="E15" sqref="E15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3" spans="1:8" ht="21.75" thickBot="1" x14ac:dyDescent="0.3">
      <c r="A3" s="448" t="s">
        <v>275</v>
      </c>
      <c r="B3" s="449"/>
      <c r="C3" s="449"/>
      <c r="D3" s="449"/>
      <c r="E3" s="449"/>
      <c r="F3" s="449"/>
      <c r="G3" s="449"/>
      <c r="H3" s="449"/>
    </row>
    <row r="4" spans="1:8" ht="15.75" thickBot="1" x14ac:dyDescent="0.3">
      <c r="A4" s="230" t="s">
        <v>158</v>
      </c>
      <c r="B4" s="374">
        <v>0.3196</v>
      </c>
    </row>
    <row r="5" spans="1:8" ht="15.75" thickBot="1" x14ac:dyDescent="0.3"/>
    <row r="6" spans="1:8" ht="30" x14ac:dyDescent="0.25">
      <c r="A6" s="3" t="s">
        <v>159</v>
      </c>
      <c r="B6" s="233" t="s">
        <v>160</v>
      </c>
      <c r="C6" s="233" t="s">
        <v>161</v>
      </c>
      <c r="D6" s="296" t="s">
        <v>162</v>
      </c>
      <c r="E6" s="235" t="s">
        <v>163</v>
      </c>
      <c r="F6" s="235" t="s">
        <v>164</v>
      </c>
      <c r="G6" s="235" t="s">
        <v>165</v>
      </c>
      <c r="H6" s="236" t="s">
        <v>166</v>
      </c>
    </row>
    <row r="7" spans="1:8" x14ac:dyDescent="0.25">
      <c r="A7" s="290" t="s">
        <v>191</v>
      </c>
      <c r="B7" s="411">
        <v>1650</v>
      </c>
      <c r="C7" s="308">
        <f>B7</f>
        <v>1650</v>
      </c>
      <c r="D7" s="375">
        <v>1603.12</v>
      </c>
      <c r="E7" s="307">
        <f>+D7</f>
        <v>1603.12</v>
      </c>
      <c r="F7" s="309">
        <f>ROUND(($B$4/0.6)*((1.6*E7/C7)-1),4)</f>
        <v>0.2954</v>
      </c>
      <c r="G7" s="308">
        <f>IF(F7&gt;0,F7*C7,0)</f>
        <v>487.40999999999997</v>
      </c>
      <c r="H7" s="322">
        <f>G7</f>
        <v>487.40999999999997</v>
      </c>
    </row>
    <row r="8" spans="1:8" x14ac:dyDescent="0.25">
      <c r="A8" s="290" t="s">
        <v>192</v>
      </c>
      <c r="B8" s="411">
        <v>1650</v>
      </c>
      <c r="C8" s="308">
        <f>C7+B8</f>
        <v>3300</v>
      </c>
      <c r="D8" s="375">
        <v>1603.12</v>
      </c>
      <c r="E8" s="307">
        <f>D8+E7</f>
        <v>3206.24</v>
      </c>
      <c r="F8" s="309">
        <f t="shared" ref="F8:F11" si="0">ROUND(($B$4/0.6)*((1.6*E8/C8)-1),4)</f>
        <v>0.2954</v>
      </c>
      <c r="G8" s="308">
        <f>IF(F8&gt;0,F8*C8,0)</f>
        <v>974.81999999999994</v>
      </c>
      <c r="H8" s="322">
        <f>G8-G7</f>
        <v>487.40999999999997</v>
      </c>
    </row>
    <row r="9" spans="1:8" x14ac:dyDescent="0.25">
      <c r="A9" s="290" t="s">
        <v>193</v>
      </c>
      <c r="B9" s="411">
        <v>1650</v>
      </c>
      <c r="C9" s="308">
        <f t="shared" ref="C9:C11" si="1">C8+B9</f>
        <v>4950</v>
      </c>
      <c r="D9" s="375">
        <v>1603.12</v>
      </c>
      <c r="E9" s="307">
        <f t="shared" ref="E9:E11" si="2">D9+E8</f>
        <v>4809.3599999999997</v>
      </c>
      <c r="F9" s="309">
        <f t="shared" si="0"/>
        <v>0.2954</v>
      </c>
      <c r="G9" s="308">
        <f t="shared" ref="G9:G11" si="3">IF(F9&gt;0,F9*C9,0)</f>
        <v>1462.23</v>
      </c>
      <c r="H9" s="322">
        <f t="shared" ref="H9:H11" si="4">G9-G8</f>
        <v>487.41000000000008</v>
      </c>
    </row>
    <row r="10" spans="1:8" x14ac:dyDescent="0.25">
      <c r="A10" s="290" t="s">
        <v>194</v>
      </c>
      <c r="B10" s="411">
        <v>1650</v>
      </c>
      <c r="C10" s="308">
        <f t="shared" si="1"/>
        <v>6600</v>
      </c>
      <c r="D10" s="375">
        <v>1603.12</v>
      </c>
      <c r="E10" s="307">
        <f t="shared" si="2"/>
        <v>6412.48</v>
      </c>
      <c r="F10" s="309">
        <f t="shared" si="0"/>
        <v>0.2954</v>
      </c>
      <c r="G10" s="308">
        <f t="shared" si="3"/>
        <v>1949.6399999999999</v>
      </c>
      <c r="H10" s="322">
        <f t="shared" si="4"/>
        <v>487.40999999999985</v>
      </c>
    </row>
    <row r="11" spans="1:8" x14ac:dyDescent="0.25">
      <c r="A11" s="290" t="s">
        <v>195</v>
      </c>
      <c r="B11" s="411">
        <f>'Bulletin SALVI'!E37</f>
        <v>1812.3107692307692</v>
      </c>
      <c r="C11" s="308">
        <f t="shared" si="1"/>
        <v>8412.3107692307694</v>
      </c>
      <c r="D11" s="375">
        <f t="shared" ref="D11" si="5">10.85*151.6667</f>
        <v>1645.5836949999998</v>
      </c>
      <c r="E11" s="307">
        <f t="shared" si="2"/>
        <v>8058.0636949999989</v>
      </c>
      <c r="F11" s="309">
        <f t="shared" si="0"/>
        <v>0.28370000000000001</v>
      </c>
      <c r="G11" s="308">
        <f t="shared" si="3"/>
        <v>2386.5725652307692</v>
      </c>
      <c r="H11" s="322">
        <f t="shared" si="4"/>
        <v>436.93256523076934</v>
      </c>
    </row>
  </sheetData>
  <mergeCells count="1"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A379-1AD0-49C6-9C48-ADF3D637B6BB}">
  <dimension ref="B1:P186"/>
  <sheetViews>
    <sheetView topLeftCell="A95" zoomScaleNormal="100" workbookViewId="0">
      <selection activeCell="E110" sqref="E110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2.42578125" style="11" bestFit="1" customWidth="1"/>
    <col min="11" max="11" width="12" style="11" bestFit="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1650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10.57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/>
    </row>
    <row r="17" spans="2:16" ht="15.75" thickBot="1" x14ac:dyDescent="0.3">
      <c r="B17" s="45" t="s">
        <v>71</v>
      </c>
      <c r="C17" s="450"/>
      <c r="D17" s="451"/>
      <c r="E17" s="46" t="s">
        <v>72</v>
      </c>
      <c r="F17" s="450"/>
      <c r="G17" s="452"/>
      <c r="I17" s="28" t="s">
        <v>73</v>
      </c>
      <c r="J17" s="323">
        <f>+E37</f>
        <v>1812.3107692307692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47">
        <v>0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51">
        <v>0.31950000000000001</v>
      </c>
    </row>
    <row r="20" spans="2:16" s="56" customFormat="1" x14ac:dyDescent="0.25">
      <c r="B20" s="19" t="s">
        <v>11</v>
      </c>
      <c r="C20" s="57"/>
      <c r="D20" s="58"/>
      <c r="E20" s="26">
        <f>J3</f>
        <v>1650</v>
      </c>
      <c r="F20" s="59"/>
      <c r="G20" s="60"/>
      <c r="H20" s="11"/>
      <c r="I20" s="61" t="s">
        <v>80</v>
      </c>
      <c r="J20" s="62">
        <v>0.02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23" t="s">
        <v>81</v>
      </c>
      <c r="J21" s="72">
        <v>35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>
        <f>+J11</f>
        <v>0</v>
      </c>
      <c r="D22" s="69">
        <f>E20/J5</f>
        <v>11.224489795918368</v>
      </c>
      <c r="E22" s="66">
        <f>-D22*C22</f>
        <v>0</v>
      </c>
      <c r="F22" s="67"/>
      <c r="G22" s="68"/>
      <c r="I22" s="23" t="s">
        <v>83</v>
      </c>
      <c r="J22" s="72">
        <v>40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13.598602228522452</v>
      </c>
      <c r="E24" s="72">
        <f>D24*C24</f>
        <v>0</v>
      </c>
      <c r="F24" s="73"/>
      <c r="G24" s="74"/>
      <c r="I24" s="40" t="s">
        <v>85</v>
      </c>
      <c r="J24" s="70"/>
    </row>
    <row r="25" spans="2:16" ht="16.5" thickBot="1" x14ac:dyDescent="0.3">
      <c r="B25" s="23" t="s">
        <v>66</v>
      </c>
      <c r="C25" s="24">
        <f>J13</f>
        <v>0</v>
      </c>
      <c r="D25" s="71">
        <f>IF($J$4&gt;=151.67,$J$3/151.67*1.5,0)</f>
        <v>16.318322674226941</v>
      </c>
      <c r="E25" s="72">
        <f>D25*C25</f>
        <v>0</v>
      </c>
      <c r="F25" s="73"/>
      <c r="G25" s="76"/>
      <c r="I25" s="4" t="s">
        <v>86</v>
      </c>
      <c r="J25" s="75">
        <v>0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87</v>
      </c>
      <c r="J26" s="77"/>
    </row>
    <row r="27" spans="2:16" ht="15.75" thickBot="1" x14ac:dyDescent="0.3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  <c r="J27" s="80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>
        <v>6</v>
      </c>
      <c r="D29" s="71">
        <f>E171</f>
        <v>63.46153846153846</v>
      </c>
      <c r="E29" s="72">
        <f>+-D29*C29</f>
        <v>-380.76923076923077</v>
      </c>
      <c r="F29" s="82"/>
      <c r="G29" s="83"/>
      <c r="I29" s="84"/>
    </row>
    <row r="30" spans="2:16" x14ac:dyDescent="0.25">
      <c r="B30" s="23" t="s">
        <v>89</v>
      </c>
      <c r="C30" s="81"/>
      <c r="D30" s="24"/>
      <c r="E30" s="72">
        <f>E186</f>
        <v>543.07999999999993</v>
      </c>
      <c r="F30" s="82"/>
      <c r="G30" s="83"/>
    </row>
    <row r="31" spans="2:16" x14ac:dyDescent="0.25">
      <c r="B31" s="23"/>
      <c r="C31" s="85"/>
      <c r="D31" s="86"/>
      <c r="E31" s="87"/>
      <c r="F31" s="88"/>
      <c r="G31" s="89"/>
    </row>
    <row r="32" spans="2:16" ht="15.75" thickBot="1" x14ac:dyDescent="0.3">
      <c r="B32" s="90" t="s">
        <v>90</v>
      </c>
      <c r="C32" s="91"/>
      <c r="D32" s="92"/>
      <c r="E32" s="93"/>
      <c r="F32" s="94"/>
      <c r="G32" s="95"/>
    </row>
    <row r="33" spans="2:7" x14ac:dyDescent="0.25">
      <c r="B33" s="96" t="s">
        <v>91</v>
      </c>
      <c r="C33" s="97"/>
      <c r="D33" s="98"/>
      <c r="E33" s="99"/>
      <c r="F33" s="100"/>
      <c r="G33" s="101"/>
    </row>
    <row r="34" spans="2:7" x14ac:dyDescent="0.25">
      <c r="B34" s="90" t="s">
        <v>28</v>
      </c>
      <c r="C34" s="97"/>
      <c r="D34" s="98"/>
      <c r="E34" s="99"/>
      <c r="F34" s="100"/>
      <c r="G34" s="101"/>
    </row>
    <row r="35" spans="2:7" x14ac:dyDescent="0.25">
      <c r="B35" s="96"/>
      <c r="C35" s="97"/>
      <c r="D35" s="98"/>
      <c r="E35" s="99"/>
      <c r="F35" s="100"/>
      <c r="G35" s="101"/>
    </row>
    <row r="36" spans="2:7" ht="15.75" thickBot="1" x14ac:dyDescent="0.3">
      <c r="B36" s="102" t="s">
        <v>92</v>
      </c>
      <c r="C36" s="97">
        <f>J26</f>
        <v>0</v>
      </c>
      <c r="D36" s="98">
        <f>J25</f>
        <v>0</v>
      </c>
      <c r="E36" s="103">
        <f>C36*D36</f>
        <v>0</v>
      </c>
      <c r="F36" s="100"/>
      <c r="G36" s="101"/>
    </row>
    <row r="37" spans="2:7" ht="16.5" thickTop="1" thickBot="1" x14ac:dyDescent="0.3">
      <c r="B37" s="104" t="s">
        <v>93</v>
      </c>
      <c r="C37" s="105"/>
      <c r="D37" s="106"/>
      <c r="E37" s="107">
        <f>SUM(E20:E36)</f>
        <v>1812.3107692307692</v>
      </c>
      <c r="F37" s="100"/>
      <c r="G37" s="101"/>
    </row>
    <row r="38" spans="2:7" ht="15.75" thickBot="1" x14ac:dyDescent="0.3">
      <c r="B38" s="108"/>
      <c r="C38" s="109"/>
      <c r="D38" s="110"/>
      <c r="E38" s="110"/>
      <c r="F38" s="111"/>
      <c r="G38" s="112"/>
    </row>
    <row r="39" spans="2:7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</row>
    <row r="40" spans="2:7" x14ac:dyDescent="0.25">
      <c r="B40" s="116" t="s">
        <v>99</v>
      </c>
      <c r="C40" s="117"/>
      <c r="D40" s="118"/>
      <c r="E40" s="118"/>
      <c r="F40" s="119"/>
      <c r="G40" s="120"/>
    </row>
    <row r="41" spans="2:7" x14ac:dyDescent="0.25">
      <c r="B41" s="121" t="s">
        <v>100</v>
      </c>
      <c r="C41" s="97">
        <f>$E$37</f>
        <v>1812.3107692307692</v>
      </c>
      <c r="D41" s="122"/>
      <c r="E41" s="123"/>
      <c r="F41" s="124">
        <f>IF(E37&lt;=2.5*J9*151.6667,7%,13%)</f>
        <v>7.0000000000000007E-2</v>
      </c>
      <c r="G41" s="125">
        <f>F41*C41</f>
        <v>126.86175384615386</v>
      </c>
    </row>
    <row r="42" spans="2:7" x14ac:dyDescent="0.25">
      <c r="B42" s="121" t="s">
        <v>101</v>
      </c>
      <c r="C42" s="97">
        <f>$J$17</f>
        <v>1812.3107692307692</v>
      </c>
      <c r="D42" s="126"/>
      <c r="E42" s="127"/>
      <c r="F42" s="128">
        <f>J24</f>
        <v>0</v>
      </c>
      <c r="G42" s="125">
        <f>F42*C42</f>
        <v>0</v>
      </c>
    </row>
    <row r="43" spans="2:7" x14ac:dyDescent="0.25">
      <c r="B43" s="121" t="s">
        <v>102</v>
      </c>
      <c r="C43" s="97">
        <f>$J$18</f>
        <v>0</v>
      </c>
      <c r="D43" s="126"/>
      <c r="E43" s="127"/>
      <c r="F43" s="128"/>
      <c r="G43" s="125">
        <f>F43*C43</f>
        <v>0</v>
      </c>
    </row>
    <row r="44" spans="2:7" x14ac:dyDescent="0.25">
      <c r="B44" s="121" t="s">
        <v>103</v>
      </c>
      <c r="C44" s="97"/>
      <c r="D44" s="126"/>
      <c r="E44" s="127">
        <f>'CALCULS DIVERS'!F5</f>
        <v>35</v>
      </c>
      <c r="F44" s="128"/>
      <c r="G44" s="125">
        <f>'CALCULS DIVERS'!G5</f>
        <v>40</v>
      </c>
    </row>
    <row r="45" spans="2:7" x14ac:dyDescent="0.25">
      <c r="B45" s="129" t="s">
        <v>104</v>
      </c>
      <c r="C45" s="97">
        <f>J17+J18</f>
        <v>1812.3107692307692</v>
      </c>
      <c r="E45" s="97"/>
      <c r="F45" s="130">
        <f>J7</f>
        <v>3.5999999999999997E-2</v>
      </c>
      <c r="G45" s="125">
        <f>F45*C45</f>
        <v>65.243187692307686</v>
      </c>
    </row>
    <row r="46" spans="2:7" x14ac:dyDescent="0.25">
      <c r="B46" s="116" t="s">
        <v>105</v>
      </c>
      <c r="C46" s="117"/>
      <c r="D46" s="118"/>
      <c r="E46" s="118"/>
      <c r="F46" s="119"/>
      <c r="G46" s="120"/>
    </row>
    <row r="47" spans="2:7" x14ac:dyDescent="0.25">
      <c r="B47" s="121" t="s">
        <v>106</v>
      </c>
      <c r="C47" s="97">
        <f>$J$17</f>
        <v>1812.3107692307692</v>
      </c>
      <c r="D47" s="126">
        <v>6.9000000000000006E-2</v>
      </c>
      <c r="E47" s="127">
        <f>D47*C47</f>
        <v>125.04944307692308</v>
      </c>
      <c r="F47" s="128">
        <v>8.5500000000000007E-2</v>
      </c>
      <c r="G47" s="125">
        <f>F47*C47</f>
        <v>154.95257076923079</v>
      </c>
    </row>
    <row r="48" spans="2:7" x14ac:dyDescent="0.25">
      <c r="B48" s="121" t="s">
        <v>107</v>
      </c>
      <c r="C48" s="97">
        <f>$E$37</f>
        <v>1812.3107692307692</v>
      </c>
      <c r="D48" s="126">
        <v>4.0000000000000001E-3</v>
      </c>
      <c r="E48" s="127">
        <f t="shared" ref="E48:E51" si="1">D48*C48</f>
        <v>7.2492430769230767</v>
      </c>
      <c r="F48" s="128">
        <v>1.9E-2</v>
      </c>
      <c r="G48" s="125">
        <f t="shared" ref="G48:G51" si="2">F48*C48</f>
        <v>34.433904615384613</v>
      </c>
    </row>
    <row r="49" spans="2:7" x14ac:dyDescent="0.25">
      <c r="B49" s="121" t="s">
        <v>108</v>
      </c>
      <c r="C49" s="97">
        <f>$J$17</f>
        <v>1812.3107692307692</v>
      </c>
      <c r="D49" s="126">
        <v>4.0099999999999997E-2</v>
      </c>
      <c r="E49" s="127">
        <f t="shared" si="1"/>
        <v>72.673661846153834</v>
      </c>
      <c r="F49" s="128">
        <v>6.0100000000000001E-2</v>
      </c>
      <c r="G49" s="125">
        <f t="shared" si="2"/>
        <v>108.91987723076923</v>
      </c>
    </row>
    <row r="50" spans="2:7" x14ac:dyDescent="0.25">
      <c r="B50" s="121" t="s">
        <v>109</v>
      </c>
      <c r="C50" s="97">
        <f>+J18</f>
        <v>0</v>
      </c>
      <c r="D50" s="126">
        <v>9.7199999999999995E-2</v>
      </c>
      <c r="E50" s="127">
        <f t="shared" si="1"/>
        <v>0</v>
      </c>
      <c r="F50" s="128">
        <v>0.1457</v>
      </c>
      <c r="G50" s="125">
        <f t="shared" si="2"/>
        <v>0</v>
      </c>
    </row>
    <row r="51" spans="2:7" x14ac:dyDescent="0.25">
      <c r="B51" s="121" t="s">
        <v>110</v>
      </c>
      <c r="C51" s="97"/>
      <c r="D51" s="126">
        <v>1.4E-3</v>
      </c>
      <c r="E51" s="127">
        <f t="shared" si="1"/>
        <v>0</v>
      </c>
      <c r="F51" s="128">
        <v>2.0999999999999999E-3</v>
      </c>
      <c r="G51" s="125">
        <f t="shared" si="2"/>
        <v>0</v>
      </c>
    </row>
    <row r="52" spans="2:7" x14ac:dyDescent="0.25">
      <c r="B52" s="121" t="s">
        <v>111</v>
      </c>
      <c r="C52" s="97"/>
      <c r="D52" s="126"/>
      <c r="E52" s="127"/>
      <c r="F52" s="128"/>
      <c r="G52" s="125"/>
    </row>
    <row r="53" spans="2:7" x14ac:dyDescent="0.25">
      <c r="B53" s="116" t="s">
        <v>112</v>
      </c>
      <c r="C53" s="97">
        <f>$E$37</f>
        <v>1812.3107692307692</v>
      </c>
      <c r="D53" s="131"/>
      <c r="E53" s="97"/>
      <c r="F53" s="128">
        <v>3.4500000000000003E-2</v>
      </c>
      <c r="G53" s="132">
        <f>F53*C53</f>
        <v>62.524721538461542</v>
      </c>
    </row>
    <row r="54" spans="2:7" x14ac:dyDescent="0.25">
      <c r="B54" s="116" t="s">
        <v>113</v>
      </c>
      <c r="C54" s="97"/>
      <c r="D54" s="131"/>
      <c r="E54" s="97"/>
      <c r="F54" s="133"/>
      <c r="G54" s="125"/>
    </row>
    <row r="55" spans="2:7" x14ac:dyDescent="0.25">
      <c r="B55" s="121" t="s">
        <v>114</v>
      </c>
      <c r="C55" s="97">
        <f>E37</f>
        <v>1812.3107692307692</v>
      </c>
      <c r="D55" s="131"/>
      <c r="E55" s="97"/>
      <c r="F55" s="134">
        <v>4.2000000000000003E-2</v>
      </c>
      <c r="G55" s="125">
        <f t="shared" ref="G55" si="3">F55*C55</f>
        <v>76.117052307692305</v>
      </c>
    </row>
    <row r="56" spans="2:7" x14ac:dyDescent="0.25">
      <c r="B56" s="121" t="s">
        <v>115</v>
      </c>
      <c r="C56" s="97">
        <f>+E37</f>
        <v>1812.3107692307692</v>
      </c>
      <c r="D56" s="135">
        <v>2.4000000000000001E-4</v>
      </c>
      <c r="E56" s="136">
        <f>D56*C56</f>
        <v>0.43495458461538461</v>
      </c>
      <c r="F56" s="133">
        <v>3.6000000000000002E-4</v>
      </c>
      <c r="G56" s="137">
        <f>C56*F56</f>
        <v>0.65243187692307691</v>
      </c>
    </row>
    <row r="57" spans="2:7" x14ac:dyDescent="0.25">
      <c r="B57" s="116" t="s">
        <v>116</v>
      </c>
      <c r="C57" s="97"/>
      <c r="D57" s="131"/>
      <c r="E57" s="97"/>
      <c r="F57" s="133"/>
      <c r="G57" s="125">
        <f>E103</f>
        <v>29.540665538461539</v>
      </c>
    </row>
    <row r="58" spans="2:7" x14ac:dyDescent="0.25">
      <c r="B58" s="129"/>
      <c r="C58" s="97"/>
      <c r="D58" s="97"/>
      <c r="E58" s="97"/>
      <c r="F58" s="97"/>
      <c r="G58" s="138"/>
    </row>
    <row r="59" spans="2:7" ht="25.5" x14ac:dyDescent="0.25">
      <c r="B59" s="139" t="s">
        <v>117</v>
      </c>
      <c r="C59" s="97"/>
      <c r="D59" s="97"/>
      <c r="E59" s="97"/>
      <c r="F59" s="97"/>
      <c r="G59" s="138"/>
    </row>
    <row r="60" spans="2:7" x14ac:dyDescent="0.25">
      <c r="B60" s="129"/>
      <c r="C60" s="97"/>
      <c r="D60" s="135"/>
      <c r="E60" s="97"/>
      <c r="F60" s="140"/>
      <c r="G60" s="125"/>
    </row>
    <row r="61" spans="2:7" x14ac:dyDescent="0.25">
      <c r="B61" s="129" t="s">
        <v>118</v>
      </c>
      <c r="C61" s="97">
        <f>(E37-E24-E25-E26-E27)*0.9825+G42+G43+G44</f>
        <v>1820.5953307692307</v>
      </c>
      <c r="D61" s="126">
        <v>6.8000000000000005E-2</v>
      </c>
      <c r="E61" s="127">
        <f>D61*C61</f>
        <v>123.80048249230769</v>
      </c>
      <c r="F61" s="128"/>
      <c r="G61" s="125"/>
    </row>
    <row r="62" spans="2:7" x14ac:dyDescent="0.25">
      <c r="B62" s="129" t="s">
        <v>119</v>
      </c>
      <c r="C62" s="97">
        <f>C61</f>
        <v>1820.5953307692307</v>
      </c>
      <c r="D62" s="126">
        <v>2.9000000000000001E-2</v>
      </c>
      <c r="E62" s="127">
        <f>D62*C62</f>
        <v>52.797264592307691</v>
      </c>
      <c r="F62" s="128"/>
      <c r="G62" s="125"/>
    </row>
    <row r="63" spans="2:7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7" x14ac:dyDescent="0.25">
      <c r="B64" s="389" t="s">
        <v>266</v>
      </c>
      <c r="C64" s="126"/>
      <c r="D64" s="126"/>
      <c r="E64" s="127"/>
      <c r="F64" s="128"/>
      <c r="G64" s="125">
        <f>-'REGUL SALVI'!H11</f>
        <v>-436.93256523076934</v>
      </c>
    </row>
    <row r="65" spans="2:7" x14ac:dyDescent="0.25">
      <c r="B65" s="141"/>
      <c r="C65" s="142"/>
      <c r="D65" s="126"/>
      <c r="E65" s="127"/>
      <c r="F65" s="128"/>
      <c r="G65" s="125"/>
    </row>
    <row r="66" spans="2:7" ht="15.75" thickBot="1" x14ac:dyDescent="0.3">
      <c r="B66" s="143"/>
      <c r="C66" s="144">
        <f>IF(AND(J4=151.67,J6&lt;20),C24+C25,0)</f>
        <v>0</v>
      </c>
      <c r="D66" s="145"/>
      <c r="E66" s="146"/>
      <c r="F66" s="147"/>
      <c r="G66" s="148"/>
    </row>
    <row r="67" spans="2:7" ht="15.75" thickBot="1" x14ac:dyDescent="0.3">
      <c r="B67" s="149" t="s">
        <v>124</v>
      </c>
      <c r="C67" s="150"/>
      <c r="D67" s="151"/>
      <c r="E67" s="152">
        <f>SUM(E41:E66)</f>
        <v>417.00504966923074</v>
      </c>
      <c r="F67" s="153"/>
      <c r="G67" s="154">
        <f>SUM(G41:G66)</f>
        <v>262.31360018461544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363">
        <v>18</v>
      </c>
      <c r="D72" s="161">
        <f>7*0.4</f>
        <v>2.8000000000000003</v>
      </c>
      <c r="E72" s="166">
        <f>-D72*C72</f>
        <v>-50.400000000000006</v>
      </c>
      <c r="F72" s="163"/>
      <c r="G72" s="164"/>
    </row>
    <row r="73" spans="2:7" x14ac:dyDescent="0.25">
      <c r="B73" s="167" t="s">
        <v>129</v>
      </c>
      <c r="D73" s="168"/>
      <c r="E73" s="169"/>
      <c r="F73" s="170"/>
      <c r="G73" s="164"/>
    </row>
    <row r="74" spans="2:7" x14ac:dyDescent="0.25">
      <c r="B74" s="171"/>
      <c r="C74" s="127"/>
      <c r="D74" s="161"/>
      <c r="E74" s="172"/>
      <c r="F74" s="163"/>
      <c r="G74" s="164"/>
    </row>
    <row r="75" spans="2:7" ht="15.75" thickBot="1" x14ac:dyDescent="0.3">
      <c r="B75" s="143"/>
      <c r="C75" s="146"/>
      <c r="D75" s="173"/>
      <c r="E75" s="174"/>
      <c r="F75" s="175"/>
      <c r="G75" s="148"/>
    </row>
    <row r="76" spans="2:7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1344.9057195615383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>
        <f>E110</f>
        <v>26.137668607692309</v>
      </c>
    </row>
    <row r="78" spans="2:7" x14ac:dyDescent="0.25">
      <c r="B78" s="390" t="s">
        <v>132</v>
      </c>
      <c r="C78" s="390" t="s">
        <v>133</v>
      </c>
      <c r="D78" s="390" t="s">
        <v>96</v>
      </c>
      <c r="E78" s="391" t="s">
        <v>134</v>
      </c>
      <c r="F78" s="391"/>
      <c r="G78" s="392" t="s">
        <v>267</v>
      </c>
    </row>
    <row r="79" spans="2:7" x14ac:dyDescent="0.25">
      <c r="B79" s="393" t="s">
        <v>268</v>
      </c>
      <c r="C79" s="394"/>
      <c r="D79" s="395"/>
      <c r="E79" s="396">
        <f>E37+G44+E62-E67</f>
        <v>1488.1029841538461</v>
      </c>
      <c r="F79" s="397"/>
      <c r="G79" s="398"/>
    </row>
    <row r="80" spans="2:7" x14ac:dyDescent="0.25">
      <c r="B80" s="393" t="s">
        <v>269</v>
      </c>
      <c r="C80" s="399">
        <f>E79</f>
        <v>1488.1029841538461</v>
      </c>
      <c r="D80" s="400">
        <v>0.02</v>
      </c>
      <c r="E80" s="396">
        <f>D80*C80</f>
        <v>29.762059683076924</v>
      </c>
      <c r="F80" s="397"/>
      <c r="G80" s="398"/>
    </row>
    <row r="81" spans="2:7" x14ac:dyDescent="0.25">
      <c r="B81" s="393" t="s">
        <v>270</v>
      </c>
      <c r="C81" s="394"/>
      <c r="D81" s="396"/>
      <c r="E81" s="395"/>
      <c r="F81" s="397"/>
      <c r="G81" s="398"/>
    </row>
    <row r="82" spans="2:7" x14ac:dyDescent="0.25">
      <c r="B82" s="393"/>
      <c r="C82" s="394"/>
      <c r="D82" s="395"/>
      <c r="E82" s="395"/>
      <c r="F82" s="397"/>
      <c r="G82" s="401"/>
    </row>
    <row r="83" spans="2:7" x14ac:dyDescent="0.25">
      <c r="B83" s="402" t="s">
        <v>271</v>
      </c>
      <c r="C83" s="395"/>
      <c r="D83" s="395"/>
      <c r="E83" s="395"/>
      <c r="F83" s="397"/>
      <c r="G83" s="398"/>
    </row>
    <row r="84" spans="2:7" x14ac:dyDescent="0.25">
      <c r="B84" s="393" t="s">
        <v>272</v>
      </c>
      <c r="C84" s="395"/>
      <c r="D84" s="395"/>
      <c r="E84" s="396">
        <f>E118</f>
        <v>578.29280523076932</v>
      </c>
      <c r="F84" s="397"/>
      <c r="G84" s="398"/>
    </row>
    <row r="85" spans="2:7" x14ac:dyDescent="0.25">
      <c r="B85" s="393" t="s">
        <v>273</v>
      </c>
      <c r="C85" s="403"/>
      <c r="D85" s="395"/>
      <c r="E85" s="396">
        <f>E37+G67</f>
        <v>2074.6243694153845</v>
      </c>
      <c r="F85" s="397"/>
      <c r="G85" s="398"/>
    </row>
    <row r="86" spans="2:7" ht="15" customHeight="1" thickBot="1" x14ac:dyDescent="0.3">
      <c r="B86" s="404" t="s">
        <v>138</v>
      </c>
      <c r="C86" s="187"/>
      <c r="D86" s="187"/>
      <c r="E86" s="187"/>
      <c r="F86" s="405"/>
      <c r="G86" s="406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6" t="s">
        <v>116</v>
      </c>
      <c r="C90" s="457"/>
      <c r="D90" s="11"/>
      <c r="E90" s="11"/>
    </row>
    <row r="91" spans="2:7" s="189" customFormat="1" x14ac:dyDescent="0.25">
      <c r="B91" s="190"/>
      <c r="C91" s="191"/>
      <c r="D91" s="458">
        <f>+E37</f>
        <v>1812.3107692307692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9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9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9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9"/>
      <c r="E95" s="195">
        <f t="shared" si="4"/>
        <v>5.4369323076923077</v>
      </c>
    </row>
    <row r="96" spans="2:7" s="189" customFormat="1" x14ac:dyDescent="0.25">
      <c r="B96" s="193" t="s">
        <v>143</v>
      </c>
      <c r="C96" s="194">
        <v>6.7999999999999996E-3</v>
      </c>
      <c r="D96" s="459"/>
      <c r="E96" s="195">
        <f t="shared" si="4"/>
        <v>12.323713230769229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9"/>
      <c r="E97" s="195">
        <f t="shared" si="4"/>
        <v>9.9677092307692323</v>
      </c>
    </row>
    <row r="98" spans="2:5" s="189" customFormat="1" x14ac:dyDescent="0.25">
      <c r="B98" s="193"/>
      <c r="C98" s="194">
        <f>IF(J6&lt;=50,0,0.45%)</f>
        <v>0</v>
      </c>
      <c r="D98" s="459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1812.3107692307692</v>
      </c>
      <c r="D101" s="200">
        <v>1E-3</v>
      </c>
      <c r="E101" s="201">
        <f>D101*C101</f>
        <v>1.8123107692307692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29.540665538461539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60" t="s">
        <v>148</v>
      </c>
      <c r="C105" s="461"/>
      <c r="D105" s="461"/>
      <c r="E105" s="462"/>
    </row>
    <row r="106" spans="2:5" s="189" customFormat="1" x14ac:dyDescent="0.25">
      <c r="B106" s="205" t="s">
        <v>149</v>
      </c>
      <c r="C106" s="206">
        <f>E37</f>
        <v>1812.3107692307692</v>
      </c>
      <c r="D106" s="207">
        <v>2.4E-2</v>
      </c>
      <c r="E106" s="208">
        <f>D106*C106</f>
        <v>43.495458461538462</v>
      </c>
    </row>
    <row r="107" spans="2:5" s="189" customFormat="1" x14ac:dyDescent="0.25">
      <c r="B107" s="209" t="s">
        <v>17</v>
      </c>
      <c r="C107" s="206">
        <f>C106</f>
        <v>1812.3107692307692</v>
      </c>
      <c r="D107" s="210">
        <v>7.4999999999999997E-3</v>
      </c>
      <c r="E107" s="211">
        <f t="shared" ref="E107:E108" si="5">D107*C107</f>
        <v>13.592330769230768</v>
      </c>
    </row>
    <row r="108" spans="2:5" s="189" customFormat="1" x14ac:dyDescent="0.25">
      <c r="B108" s="209" t="s">
        <v>150</v>
      </c>
      <c r="C108" s="206">
        <f>C61+C63</f>
        <v>1820.5953307692307</v>
      </c>
      <c r="D108" s="210">
        <v>-1.7000000000000001E-2</v>
      </c>
      <c r="E108" s="211">
        <f t="shared" si="5"/>
        <v>-30.950120623076923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26.137668607692309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60" t="s">
        <v>152</v>
      </c>
      <c r="C113" s="461"/>
      <c r="D113" s="461"/>
      <c r="E113" s="462"/>
    </row>
    <row r="114" spans="2:9" s="189" customFormat="1" ht="15.75" customHeight="1" x14ac:dyDescent="0.25">
      <c r="B114" s="219" t="s">
        <v>153</v>
      </c>
      <c r="C114" s="220"/>
      <c r="D114" s="220"/>
      <c r="E114" s="221">
        <f>G64*-1</f>
        <v>436.93256523076934</v>
      </c>
    </row>
    <row r="115" spans="2:9" s="189" customFormat="1" ht="15.75" customHeight="1" x14ac:dyDescent="0.25">
      <c r="B115" s="222" t="s">
        <v>154</v>
      </c>
      <c r="C115" s="223">
        <f>C66</f>
        <v>0</v>
      </c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f>E37</f>
        <v>1812.3107692307692</v>
      </c>
      <c r="D116" s="210">
        <v>1.7999999999999999E-2</v>
      </c>
      <c r="E116" s="225">
        <f>D116*C116</f>
        <v>32.621593846153843</v>
      </c>
    </row>
    <row r="117" spans="2:9" s="189" customFormat="1" ht="15.75" customHeight="1" x14ac:dyDescent="0.25">
      <c r="B117" s="222" t="s">
        <v>156</v>
      </c>
      <c r="C117" s="226">
        <f>C116</f>
        <v>1812.3107692307692</v>
      </c>
      <c r="D117" s="210">
        <v>0.06</v>
      </c>
      <c r="E117" s="225">
        <f>D117*C117</f>
        <v>108.73864615384615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578.29280523076932</v>
      </c>
    </row>
    <row r="121" spans="2:9" ht="15.75" hidden="1" thickBot="1" x14ac:dyDescent="0.3">
      <c r="B121" s="230" t="s">
        <v>158</v>
      </c>
      <c r="C121" s="231">
        <f>J19</f>
        <v>0.31950000000000001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3" t="s">
        <v>168</v>
      </c>
      <c r="C127" s="464"/>
      <c r="D127" s="464"/>
      <c r="E127" s="464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5" t="s">
        <v>179</v>
      </c>
      <c r="E134" s="465"/>
      <c r="F134" s="466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x14ac:dyDescent="0.25">
      <c r="B138" s="463" t="s">
        <v>9</v>
      </c>
      <c r="C138" s="464"/>
      <c r="D138" s="464"/>
      <c r="E138" s="464"/>
    </row>
    <row r="139" spans="2:6" ht="15.75" thickBot="1" x14ac:dyDescent="0.3"/>
    <row r="140" spans="2:6" x14ac:dyDescent="0.25">
      <c r="B140" s="453" t="s">
        <v>10</v>
      </c>
      <c r="C140" s="454"/>
      <c r="D140" s="454"/>
      <c r="E140" s="455"/>
    </row>
    <row r="141" spans="2:6" x14ac:dyDescent="0.25">
      <c r="B141" s="256" t="s">
        <v>11</v>
      </c>
      <c r="C141" s="257"/>
      <c r="D141" s="257"/>
      <c r="E141" s="271"/>
    </row>
    <row r="142" spans="2:6" x14ac:dyDescent="0.25">
      <c r="B142" s="256" t="s">
        <v>12</v>
      </c>
      <c r="C142" s="257"/>
      <c r="D142" s="257"/>
      <c r="E142" s="258"/>
    </row>
    <row r="143" spans="2:6" x14ac:dyDescent="0.25">
      <c r="B143" s="256" t="s">
        <v>13</v>
      </c>
      <c r="C143" s="257"/>
      <c r="D143" s="257"/>
      <c r="E143" s="275"/>
    </row>
    <row r="144" spans="2:6" ht="15.75" thickBot="1" x14ac:dyDescent="0.3">
      <c r="B144" s="256" t="s">
        <v>14</v>
      </c>
      <c r="C144" s="257"/>
      <c r="D144" s="257"/>
      <c r="E144" s="272"/>
    </row>
    <row r="145" spans="2:5" ht="16.5" thickTop="1" thickBot="1" x14ac:dyDescent="0.3">
      <c r="B145" s="259" t="s">
        <v>15</v>
      </c>
      <c r="C145" s="260"/>
      <c r="D145" s="261"/>
      <c r="E145" s="276">
        <f>E143*E144</f>
        <v>0</v>
      </c>
    </row>
    <row r="146" spans="2:5" ht="15.75" thickBot="1" x14ac:dyDescent="0.3">
      <c r="B146" s="262"/>
      <c r="C146" s="262"/>
      <c r="D146" s="262"/>
      <c r="E146" s="262"/>
    </row>
    <row r="147" spans="2:5" ht="15.75" thickBot="1" x14ac:dyDescent="0.3">
      <c r="B147" s="460" t="s">
        <v>16</v>
      </c>
      <c r="C147" s="461"/>
      <c r="D147" s="461"/>
      <c r="E147" s="462"/>
    </row>
    <row r="148" spans="2:5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x14ac:dyDescent="0.25">
      <c r="B149" s="209" t="s">
        <v>20</v>
      </c>
      <c r="C149" s="273"/>
      <c r="D149" s="274"/>
      <c r="E149" s="277"/>
    </row>
    <row r="150" spans="2:5" x14ac:dyDescent="0.25">
      <c r="B150" s="209" t="s">
        <v>21</v>
      </c>
      <c r="C150" s="273"/>
      <c r="D150" s="274"/>
      <c r="E150" s="277"/>
    </row>
    <row r="151" spans="2:5" x14ac:dyDescent="0.25">
      <c r="B151" s="209" t="s">
        <v>22</v>
      </c>
      <c r="C151" s="273"/>
      <c r="D151" s="274"/>
      <c r="E151" s="277"/>
    </row>
    <row r="152" spans="2:5" x14ac:dyDescent="0.25">
      <c r="B152" s="209" t="s">
        <v>23</v>
      </c>
      <c r="C152" s="267"/>
      <c r="D152" s="267"/>
      <c r="E152" s="211"/>
    </row>
    <row r="153" spans="2:5" x14ac:dyDescent="0.25">
      <c r="B153" s="209" t="s">
        <v>24</v>
      </c>
      <c r="C153" s="267"/>
      <c r="D153" s="267"/>
      <c r="E153" s="211"/>
    </row>
    <row r="154" spans="2:5" x14ac:dyDescent="0.25">
      <c r="B154" s="209" t="s">
        <v>181</v>
      </c>
      <c r="C154" s="267"/>
      <c r="D154" s="279" t="s">
        <v>182</v>
      </c>
      <c r="E154" s="268"/>
    </row>
    <row r="155" spans="2:5" x14ac:dyDescent="0.25">
      <c r="B155" s="209" t="s">
        <v>25</v>
      </c>
      <c r="C155" s="267"/>
      <c r="D155" s="267"/>
      <c r="E155" s="283">
        <f>E154*E153</f>
        <v>0</v>
      </c>
    </row>
    <row r="156" spans="2:5" x14ac:dyDescent="0.25">
      <c r="B156" s="209" t="s">
        <v>26</v>
      </c>
      <c r="C156" s="267"/>
      <c r="D156" s="267"/>
      <c r="E156" s="211">
        <f>E155*6.7%</f>
        <v>0</v>
      </c>
    </row>
    <row r="157" spans="2:5" ht="15.75" thickBot="1" x14ac:dyDescent="0.3">
      <c r="B157" s="269" t="s">
        <v>27</v>
      </c>
      <c r="C157" s="270"/>
      <c r="D157" s="270"/>
      <c r="E157" s="278">
        <f>E155-E156</f>
        <v>0</v>
      </c>
    </row>
    <row r="158" spans="2:5" ht="15.75" thickBot="1" x14ac:dyDescent="0.3"/>
    <row r="159" spans="2:5" x14ac:dyDescent="0.25">
      <c r="B159" s="453" t="s">
        <v>28</v>
      </c>
      <c r="C159" s="454"/>
      <c r="D159" s="454"/>
      <c r="E159" s="455"/>
    </row>
    <row r="160" spans="2:5" x14ac:dyDescent="0.25">
      <c r="B160" s="256" t="s">
        <v>29</v>
      </c>
      <c r="C160" s="257"/>
      <c r="D160" s="257"/>
      <c r="E160" s="280"/>
    </row>
    <row r="161" spans="2:5" ht="15.75" thickBot="1" x14ac:dyDescent="0.3">
      <c r="B161" s="256" t="s">
        <v>30</v>
      </c>
      <c r="C161" s="257"/>
      <c r="D161" s="257"/>
      <c r="E161" s="258">
        <f>E143*0.9</f>
        <v>0</v>
      </c>
    </row>
    <row r="162" spans="2:5" ht="16.5" thickTop="1" thickBot="1" x14ac:dyDescent="0.3">
      <c r="B162" s="256" t="s">
        <v>31</v>
      </c>
      <c r="C162" s="257"/>
      <c r="D162" s="257"/>
      <c r="E162" s="276">
        <f>E160*E161</f>
        <v>0</v>
      </c>
    </row>
    <row r="163" spans="2:5" ht="16.5" thickTop="1" thickBot="1" x14ac:dyDescent="0.3">
      <c r="B163" s="209" t="s">
        <v>32</v>
      </c>
      <c r="C163" s="257"/>
      <c r="D163" s="257"/>
      <c r="E163" s="281">
        <f>E153</f>
        <v>0</v>
      </c>
    </row>
    <row r="164" spans="2:5" ht="16.5" thickTop="1" thickBot="1" x14ac:dyDescent="0.3">
      <c r="B164" s="259" t="s">
        <v>33</v>
      </c>
      <c r="C164" s="284">
        <f>E160</f>
        <v>0</v>
      </c>
      <c r="D164" s="282">
        <f>E163</f>
        <v>0</v>
      </c>
      <c r="E164" s="276">
        <f>D164*C164</f>
        <v>0</v>
      </c>
    </row>
    <row r="167" spans="2:5" ht="18.75" x14ac:dyDescent="0.25">
      <c r="B167" s="463" t="s">
        <v>253</v>
      </c>
      <c r="C167" s="464"/>
      <c r="D167" s="464"/>
      <c r="E167" s="464"/>
    </row>
    <row r="169" spans="2:5" ht="15.75" thickBot="1" x14ac:dyDescent="0.3">
      <c r="B169" s="33" t="s">
        <v>28</v>
      </c>
    </row>
    <row r="170" spans="2:5" x14ac:dyDescent="0.25">
      <c r="B170" s="19" t="s">
        <v>11</v>
      </c>
      <c r="C170" s="17"/>
      <c r="D170" s="17"/>
      <c r="E170" s="26">
        <v>1650</v>
      </c>
    </row>
    <row r="171" spans="2:5" x14ac:dyDescent="0.25">
      <c r="B171" s="369" t="s">
        <v>249</v>
      </c>
      <c r="C171" s="24"/>
      <c r="D171" s="24"/>
      <c r="E171" s="72">
        <f>E170/26</f>
        <v>63.46153846153846</v>
      </c>
    </row>
    <row r="172" spans="2:5" x14ac:dyDescent="0.25">
      <c r="B172" s="23" t="s">
        <v>250</v>
      </c>
      <c r="C172" s="24"/>
      <c r="D172" s="24"/>
      <c r="E172" s="25">
        <v>6</v>
      </c>
    </row>
    <row r="173" spans="2:5" x14ac:dyDescent="0.25">
      <c r="B173" s="23" t="s">
        <v>251</v>
      </c>
      <c r="C173" s="24"/>
      <c r="D173" s="24"/>
      <c r="E173" s="72">
        <f>E172*E171</f>
        <v>380.76923076923077</v>
      </c>
    </row>
    <row r="174" spans="2:5" ht="15.75" thickBot="1" x14ac:dyDescent="0.3">
      <c r="B174" s="40" t="s">
        <v>15</v>
      </c>
      <c r="C174" s="43"/>
      <c r="D174" s="43"/>
      <c r="E174" s="370">
        <f>E173</f>
        <v>380.76923076923077</v>
      </c>
    </row>
    <row r="175" spans="2:5" ht="15.75" thickBot="1" x14ac:dyDescent="0.3"/>
    <row r="176" spans="2:5" ht="15.75" thickBot="1" x14ac:dyDescent="0.3">
      <c r="B176" s="19" t="s">
        <v>252</v>
      </c>
      <c r="C176" s="17"/>
      <c r="D176" s="17"/>
      <c r="E176" s="370">
        <v>1476.92</v>
      </c>
    </row>
    <row r="178" spans="2:5" ht="15.75" thickBot="1" x14ac:dyDescent="0.3">
      <c r="B178" s="11" t="s">
        <v>254</v>
      </c>
    </row>
    <row r="179" spans="2:5" ht="15.75" thickBot="1" x14ac:dyDescent="0.3">
      <c r="B179" s="19" t="s">
        <v>255</v>
      </c>
      <c r="C179" s="17"/>
      <c r="D179" s="17" t="s">
        <v>265</v>
      </c>
      <c r="E179" s="26">
        <f>1600*12</f>
        <v>19200</v>
      </c>
    </row>
    <row r="180" spans="2:5" x14ac:dyDescent="0.25">
      <c r="B180" s="23" t="s">
        <v>256</v>
      </c>
      <c r="C180" s="24"/>
      <c r="D180" s="24"/>
      <c r="E180" s="26">
        <v>1000</v>
      </c>
    </row>
    <row r="181" spans="2:5" x14ac:dyDescent="0.25">
      <c r="B181" s="23" t="s">
        <v>257</v>
      </c>
      <c r="C181" s="24"/>
      <c r="D181" s="24"/>
      <c r="E181" s="323">
        <f>SUM(E179:E180)</f>
        <v>20200</v>
      </c>
    </row>
    <row r="182" spans="2:5" x14ac:dyDescent="0.25">
      <c r="B182" s="372" t="s">
        <v>258</v>
      </c>
      <c r="C182" s="24"/>
      <c r="D182" s="24"/>
      <c r="E182" s="323">
        <f>E181/10</f>
        <v>2020</v>
      </c>
    </row>
    <row r="183" spans="2:5" x14ac:dyDescent="0.25">
      <c r="B183" s="23" t="s">
        <v>252</v>
      </c>
      <c r="C183" s="24"/>
      <c r="D183" s="24"/>
      <c r="E183" s="323">
        <f>E176</f>
        <v>1476.92</v>
      </c>
    </row>
    <row r="184" spans="2:5" ht="15.75" thickBot="1" x14ac:dyDescent="0.3">
      <c r="B184" s="40" t="s">
        <v>259</v>
      </c>
      <c r="C184" s="43"/>
      <c r="D184" s="43"/>
      <c r="E184" s="324">
        <f>E182-E183</f>
        <v>543.07999999999993</v>
      </c>
    </row>
    <row r="185" spans="2:5" ht="15.75" thickBot="1" x14ac:dyDescent="0.3"/>
    <row r="186" spans="2:5" ht="15.75" thickBot="1" x14ac:dyDescent="0.3">
      <c r="B186" s="202" t="s">
        <v>260</v>
      </c>
      <c r="C186" s="203"/>
      <c r="D186" s="203"/>
      <c r="E186" s="373">
        <f>MAX(E184,E174)</f>
        <v>543.07999999999993</v>
      </c>
    </row>
  </sheetData>
  <mergeCells count="13">
    <mergeCell ref="C17:D17"/>
    <mergeCell ref="F17:G17"/>
    <mergeCell ref="B167:E16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7F5C-5E4B-461A-8481-E7F71E2848F0}">
  <dimension ref="A2:K54"/>
  <sheetViews>
    <sheetView topLeftCell="A31" workbookViewId="0">
      <selection activeCell="F22" sqref="F22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0" ht="23.25" x14ac:dyDescent="0.25">
      <c r="A2" s="285" t="s">
        <v>183</v>
      </c>
      <c r="B2" s="286"/>
      <c r="C2" s="286"/>
      <c r="D2" s="286"/>
      <c r="E2" s="286"/>
      <c r="F2" s="286"/>
      <c r="G2" s="286"/>
      <c r="H2" s="286"/>
    </row>
    <row r="4" spans="1:10" ht="18.75" x14ac:dyDescent="0.25">
      <c r="A4" s="287" t="s">
        <v>184</v>
      </c>
      <c r="D4" s="288">
        <v>3428</v>
      </c>
      <c r="F4" s="304" t="s">
        <v>216</v>
      </c>
      <c r="H4" s="317" t="s">
        <v>261</v>
      </c>
      <c r="I4" s="304">
        <v>21</v>
      </c>
    </row>
    <row r="5" spans="1:10" ht="15.75" thickBot="1" x14ac:dyDescent="0.3"/>
    <row r="6" spans="1:10" ht="30" x14ac:dyDescent="0.25">
      <c r="A6" s="289" t="s">
        <v>159</v>
      </c>
      <c r="B6" s="233" t="s">
        <v>136</v>
      </c>
      <c r="C6" s="233" t="s">
        <v>185</v>
      </c>
      <c r="D6" s="233" t="s">
        <v>186</v>
      </c>
      <c r="E6" s="235" t="s">
        <v>187</v>
      </c>
      <c r="F6" s="235" t="s">
        <v>188</v>
      </c>
      <c r="G6" s="235" t="s">
        <v>189</v>
      </c>
      <c r="H6" s="236" t="s">
        <v>190</v>
      </c>
      <c r="J6" s="304" t="s">
        <v>233</v>
      </c>
    </row>
    <row r="7" spans="1:10" x14ac:dyDescent="0.25">
      <c r="A7" s="290" t="s">
        <v>191</v>
      </c>
      <c r="B7" s="411">
        <v>3784</v>
      </c>
      <c r="C7" s="441">
        <f>B7</f>
        <v>3784</v>
      </c>
      <c r="D7" s="441">
        <v>3428</v>
      </c>
      <c r="E7" s="441">
        <f>D7</f>
        <v>3428</v>
      </c>
      <c r="F7" s="441">
        <f>MIN(C7,E7)</f>
        <v>3428</v>
      </c>
      <c r="G7" s="441">
        <f>F7</f>
        <v>3428</v>
      </c>
      <c r="H7" s="442">
        <f t="shared" ref="H7" si="0">B7-G7</f>
        <v>356</v>
      </c>
      <c r="J7" s="304" t="s">
        <v>234</v>
      </c>
    </row>
    <row r="8" spans="1:10" x14ac:dyDescent="0.25">
      <c r="A8" s="290" t="s">
        <v>192</v>
      </c>
      <c r="B8" s="411">
        <v>3784</v>
      </c>
      <c r="C8" s="441">
        <f>C7+B8</f>
        <v>7568</v>
      </c>
      <c r="D8" s="441">
        <v>3428</v>
      </c>
      <c r="E8" s="441">
        <f>E7+D8</f>
        <v>6856</v>
      </c>
      <c r="F8" s="443">
        <f t="shared" ref="F8:F11" si="1">MIN(C8,E8)</f>
        <v>6856</v>
      </c>
      <c r="G8" s="441">
        <f>F8-F7</f>
        <v>3428</v>
      </c>
      <c r="H8" s="442">
        <f>B8-G8</f>
        <v>356</v>
      </c>
    </row>
    <row r="9" spans="1:10" x14ac:dyDescent="0.25">
      <c r="A9" s="290" t="s">
        <v>193</v>
      </c>
      <c r="B9" s="411">
        <v>3784</v>
      </c>
      <c r="C9" s="441">
        <f t="shared" ref="C9:C11" si="2">C8+B9</f>
        <v>11352</v>
      </c>
      <c r="D9" s="441">
        <v>3428</v>
      </c>
      <c r="E9" s="441">
        <f t="shared" ref="E9:E11" si="3">E8+D9</f>
        <v>10284</v>
      </c>
      <c r="F9" s="443">
        <f t="shared" si="1"/>
        <v>10284</v>
      </c>
      <c r="G9" s="441">
        <f t="shared" ref="G9:G11" si="4">F9-F8</f>
        <v>3428</v>
      </c>
      <c r="H9" s="442">
        <f t="shared" ref="H9:H11" si="5">B9-G9</f>
        <v>356</v>
      </c>
    </row>
    <row r="10" spans="1:10" x14ac:dyDescent="0.25">
      <c r="A10" s="290" t="s">
        <v>194</v>
      </c>
      <c r="B10" s="411">
        <v>3784</v>
      </c>
      <c r="C10" s="441">
        <f t="shared" si="2"/>
        <v>15136</v>
      </c>
      <c r="D10" s="441">
        <v>3428</v>
      </c>
      <c r="E10" s="441">
        <f t="shared" si="3"/>
        <v>13712</v>
      </c>
      <c r="F10" s="443">
        <f t="shared" si="1"/>
        <v>13712</v>
      </c>
      <c r="G10" s="441">
        <f t="shared" si="4"/>
        <v>3428</v>
      </c>
      <c r="H10" s="442">
        <f t="shared" si="5"/>
        <v>356</v>
      </c>
    </row>
    <row r="11" spans="1:10" ht="15.75" thickBot="1" x14ac:dyDescent="0.3">
      <c r="A11" s="341" t="s">
        <v>195</v>
      </c>
      <c r="B11" s="444">
        <f>+'Bulletin SMITH'!E37</f>
        <v>4252.4285714285716</v>
      </c>
      <c r="C11" s="445">
        <f t="shared" si="2"/>
        <v>19388.428571428572</v>
      </c>
      <c r="D11" s="445">
        <f>3428/31*28</f>
        <v>3096.2580645161288</v>
      </c>
      <c r="E11" s="445">
        <f t="shared" si="3"/>
        <v>16808.258064516129</v>
      </c>
      <c r="F11" s="446">
        <f t="shared" si="1"/>
        <v>16808.258064516129</v>
      </c>
      <c r="G11" s="447">
        <f t="shared" si="4"/>
        <v>3096.2580645161288</v>
      </c>
      <c r="H11" s="241">
        <f t="shared" si="5"/>
        <v>1156.1705069124428</v>
      </c>
    </row>
    <row r="12" spans="1:10" x14ac:dyDescent="0.25">
      <c r="A12" s="332"/>
      <c r="B12" s="333"/>
      <c r="C12" s="334"/>
      <c r="D12" s="334" t="s">
        <v>262</v>
      </c>
    </row>
    <row r="14" spans="1:10" ht="23.25" x14ac:dyDescent="0.25">
      <c r="A14" s="293" t="s">
        <v>196</v>
      </c>
      <c r="B14" s="286"/>
      <c r="C14" s="286"/>
      <c r="D14" s="286"/>
      <c r="E14" s="286"/>
      <c r="F14" s="286"/>
      <c r="G14" s="286"/>
      <c r="H14" s="286"/>
    </row>
    <row r="16" spans="1:10" ht="15.75" thickBot="1" x14ac:dyDescent="0.3"/>
    <row r="17" spans="1:11" ht="45" x14ac:dyDescent="0.25">
      <c r="A17" s="294"/>
      <c r="B17" s="295" t="s">
        <v>136</v>
      </c>
      <c r="C17" s="295" t="s">
        <v>185</v>
      </c>
      <c r="D17" s="296" t="s">
        <v>197</v>
      </c>
      <c r="E17" s="296" t="s">
        <v>162</v>
      </c>
      <c r="F17" s="296" t="s">
        <v>198</v>
      </c>
      <c r="G17" s="296" t="s">
        <v>199</v>
      </c>
      <c r="H17" s="235" t="s">
        <v>200</v>
      </c>
      <c r="I17" s="296" t="s">
        <v>201</v>
      </c>
      <c r="J17" s="297" t="s">
        <v>202</v>
      </c>
      <c r="K17" s="298" t="s">
        <v>203</v>
      </c>
    </row>
    <row r="18" spans="1:11" x14ac:dyDescent="0.25">
      <c r="A18" s="290" t="s">
        <v>191</v>
      </c>
      <c r="B18" s="299">
        <f>+B7</f>
        <v>3784</v>
      </c>
      <c r="C18" s="299">
        <f>B18</f>
        <v>3784</v>
      </c>
      <c r="D18" s="300">
        <f>+B18</f>
        <v>3784</v>
      </c>
      <c r="E18" s="412">
        <f>E29</f>
        <v>1603.12</v>
      </c>
      <c r="F18" s="299">
        <f>2.5*E18</f>
        <v>4007.7999999999997</v>
      </c>
      <c r="G18" s="299">
        <f>F18</f>
        <v>4007.7999999999997</v>
      </c>
      <c r="H18" s="36" t="str">
        <f t="shared" ref="H18" si="6">IF(C18&gt;G18,"OUI","")</f>
        <v/>
      </c>
      <c r="I18" s="302">
        <f>IF(H18="OUI",C18,0)</f>
        <v>0</v>
      </c>
      <c r="J18" s="300">
        <f>I18</f>
        <v>0</v>
      </c>
      <c r="K18" s="303">
        <f>(D18*7%)+(J18*6%)</f>
        <v>264.88000000000005</v>
      </c>
    </row>
    <row r="19" spans="1:11" x14ac:dyDescent="0.25">
      <c r="A19" s="290" t="s">
        <v>192</v>
      </c>
      <c r="B19" s="299">
        <f t="shared" ref="B19:B22" si="7">+B8</f>
        <v>3784</v>
      </c>
      <c r="C19" s="299">
        <f>C18+B19</f>
        <v>7568</v>
      </c>
      <c r="D19" s="300">
        <f t="shared" ref="D19:D22" si="8">+B19</f>
        <v>3784</v>
      </c>
      <c r="E19" s="412">
        <f t="shared" ref="E19:E22" si="9">E30</f>
        <v>1603.12</v>
      </c>
      <c r="F19" s="299">
        <f t="shared" ref="F19:F22" si="10">2.5*E19</f>
        <v>4007.7999999999997</v>
      </c>
      <c r="G19" s="299">
        <f t="shared" ref="G19:G22" si="11">G18+F19</f>
        <v>8015.5999999999995</v>
      </c>
      <c r="H19" s="36" t="str">
        <f>IF(C19&gt;G19,"OUI","")</f>
        <v/>
      </c>
      <c r="I19" s="302">
        <f>IF(H19="OUI",C19,0)</f>
        <v>0</v>
      </c>
      <c r="J19" s="300">
        <f>I19-I18</f>
        <v>0</v>
      </c>
      <c r="K19" s="303">
        <f t="shared" ref="K19:K22" si="12">(D19*7%)+(J19*6%)</f>
        <v>264.88000000000005</v>
      </c>
    </row>
    <row r="20" spans="1:11" x14ac:dyDescent="0.25">
      <c r="A20" s="290" t="s">
        <v>193</v>
      </c>
      <c r="B20" s="299">
        <f t="shared" si="7"/>
        <v>3784</v>
      </c>
      <c r="C20" s="299">
        <f t="shared" ref="C20:C22" si="13">C19+B20</f>
        <v>11352</v>
      </c>
      <c r="D20" s="300">
        <f t="shared" si="8"/>
        <v>3784</v>
      </c>
      <c r="E20" s="412">
        <f t="shared" si="9"/>
        <v>1603.12</v>
      </c>
      <c r="F20" s="299">
        <f t="shared" si="10"/>
        <v>4007.7999999999997</v>
      </c>
      <c r="G20" s="299">
        <f t="shared" si="11"/>
        <v>12023.4</v>
      </c>
      <c r="H20" s="36" t="str">
        <f t="shared" ref="H20:H22" si="14">IF(C20&gt;G20,"OUI","")</f>
        <v/>
      </c>
      <c r="I20" s="302">
        <f t="shared" ref="I20:I22" si="15">IF(H20="OUI",C20,0)</f>
        <v>0</v>
      </c>
      <c r="J20" s="300">
        <f t="shared" ref="J20:J22" si="16">I20-I19</f>
        <v>0</v>
      </c>
      <c r="K20" s="303">
        <f t="shared" si="12"/>
        <v>264.88000000000005</v>
      </c>
    </row>
    <row r="21" spans="1:11" x14ac:dyDescent="0.25">
      <c r="A21" s="290" t="s">
        <v>194</v>
      </c>
      <c r="B21" s="299">
        <f t="shared" si="7"/>
        <v>3784</v>
      </c>
      <c r="C21" s="299">
        <f t="shared" si="13"/>
        <v>15136</v>
      </c>
      <c r="D21" s="300">
        <f t="shared" si="8"/>
        <v>3784</v>
      </c>
      <c r="E21" s="412">
        <f t="shared" si="9"/>
        <v>1603.12</v>
      </c>
      <c r="F21" s="299">
        <f t="shared" si="10"/>
        <v>4007.7999999999997</v>
      </c>
      <c r="G21" s="299">
        <f t="shared" si="11"/>
        <v>16031.199999999999</v>
      </c>
      <c r="H21" s="36" t="str">
        <f t="shared" si="14"/>
        <v/>
      </c>
      <c r="I21" s="302">
        <f t="shared" si="15"/>
        <v>0</v>
      </c>
      <c r="J21" s="300">
        <f t="shared" si="16"/>
        <v>0</v>
      </c>
      <c r="K21" s="303">
        <f t="shared" si="12"/>
        <v>264.88000000000005</v>
      </c>
    </row>
    <row r="22" spans="1:11" x14ac:dyDescent="0.25">
      <c r="A22" s="290" t="s">
        <v>195</v>
      </c>
      <c r="B22" s="299">
        <f t="shared" si="7"/>
        <v>4252.4285714285716</v>
      </c>
      <c r="C22" s="299">
        <f t="shared" si="13"/>
        <v>19388.428571428572</v>
      </c>
      <c r="D22" s="300">
        <f t="shared" si="8"/>
        <v>4252.4285714285716</v>
      </c>
      <c r="E22" s="412">
        <f t="shared" si="9"/>
        <v>1645.5836949999998</v>
      </c>
      <c r="F22" s="299">
        <f t="shared" si="10"/>
        <v>4113.9592374999993</v>
      </c>
      <c r="G22" s="299">
        <f t="shared" si="11"/>
        <v>20145.159237499996</v>
      </c>
      <c r="H22" s="36" t="str">
        <f t="shared" si="14"/>
        <v/>
      </c>
      <c r="I22" s="302">
        <f t="shared" si="15"/>
        <v>0</v>
      </c>
      <c r="J22" s="300">
        <f t="shared" si="16"/>
        <v>0</v>
      </c>
      <c r="K22" s="303">
        <f t="shared" si="12"/>
        <v>297.67</v>
      </c>
    </row>
    <row r="23" spans="1:11" x14ac:dyDescent="0.25">
      <c r="A23" s="332"/>
      <c r="B23" s="335"/>
      <c r="C23" s="335"/>
      <c r="D23" s="336"/>
      <c r="E23" s="337"/>
      <c r="F23" s="335"/>
      <c r="G23" s="335"/>
      <c r="H23" s="338"/>
      <c r="I23" s="339"/>
      <c r="J23" s="336"/>
    </row>
    <row r="25" spans="1:11" ht="23.25" x14ac:dyDescent="0.25">
      <c r="A25" s="293" t="s">
        <v>204</v>
      </c>
      <c r="B25" s="286"/>
      <c r="C25" s="286"/>
      <c r="D25" s="286"/>
      <c r="E25" s="286"/>
      <c r="F25" s="286"/>
      <c r="G25" s="286"/>
      <c r="H25" s="286"/>
    </row>
    <row r="27" spans="1:11" ht="15.75" thickBot="1" x14ac:dyDescent="0.3"/>
    <row r="28" spans="1:11" s="304" customFormat="1" ht="45" x14ac:dyDescent="0.25">
      <c r="A28" s="294"/>
      <c r="B28" s="295" t="s">
        <v>136</v>
      </c>
      <c r="C28" s="295" t="s">
        <v>185</v>
      </c>
      <c r="D28" s="296" t="s">
        <v>205</v>
      </c>
      <c r="E28" s="296" t="s">
        <v>162</v>
      </c>
      <c r="F28" s="296" t="s">
        <v>206</v>
      </c>
      <c r="G28" s="296" t="s">
        <v>207</v>
      </c>
      <c r="H28" s="235" t="s">
        <v>208</v>
      </c>
      <c r="I28" s="296" t="s">
        <v>209</v>
      </c>
      <c r="J28" s="297" t="s">
        <v>210</v>
      </c>
      <c r="K28" s="298" t="s">
        <v>203</v>
      </c>
    </row>
    <row r="29" spans="1:11" ht="21.75" customHeight="1" x14ac:dyDescent="0.25">
      <c r="A29" s="290" t="s">
        <v>191</v>
      </c>
      <c r="B29" s="299">
        <f>+B18</f>
        <v>3784</v>
      </c>
      <c r="C29" s="299">
        <f>B29</f>
        <v>3784</v>
      </c>
      <c r="D29" s="300">
        <f>+B29</f>
        <v>3784</v>
      </c>
      <c r="E29" s="412">
        <v>1603.12</v>
      </c>
      <c r="F29" s="299">
        <f>3.5*E29</f>
        <v>5610.92</v>
      </c>
      <c r="G29" s="299">
        <f>F29</f>
        <v>5610.92</v>
      </c>
      <c r="H29" s="36" t="str">
        <f>IF(C29&gt;G29,"OUI","")</f>
        <v/>
      </c>
      <c r="I29" s="302">
        <f>IF(H29="OUI",C29,0)</f>
        <v>0</v>
      </c>
      <c r="J29" s="300">
        <f>I29</f>
        <v>0</v>
      </c>
      <c r="K29" s="303">
        <f>(D29*3.45%)+(J29*1.8%)</f>
        <v>130.548</v>
      </c>
    </row>
    <row r="30" spans="1:11" ht="21.75" customHeight="1" x14ac:dyDescent="0.25">
      <c r="A30" s="290" t="s">
        <v>192</v>
      </c>
      <c r="B30" s="299">
        <f t="shared" ref="B30:B33" si="17">+B19</f>
        <v>3784</v>
      </c>
      <c r="C30" s="299">
        <f>C29+B30</f>
        <v>7568</v>
      </c>
      <c r="D30" s="300">
        <f t="shared" ref="D30:D33" si="18">B30</f>
        <v>3784</v>
      </c>
      <c r="E30" s="412">
        <v>1603.12</v>
      </c>
      <c r="F30" s="299">
        <f t="shared" ref="F30:F33" si="19">3.5*E30</f>
        <v>5610.92</v>
      </c>
      <c r="G30" s="299">
        <f t="shared" ref="G30:G33" si="20">G29+F30</f>
        <v>11221.84</v>
      </c>
      <c r="H30" s="36" t="str">
        <f t="shared" ref="H30:H33" si="21">IF(C30&gt;G30,"OUI","")</f>
        <v/>
      </c>
      <c r="I30" s="302">
        <f>IF(H30="OUI",C30,0)</f>
        <v>0</v>
      </c>
      <c r="J30" s="300">
        <f>I30-I29</f>
        <v>0</v>
      </c>
      <c r="K30" s="303">
        <f t="shared" ref="K30:K33" si="22">(D30*3.45%)+(J30*1.8%)</f>
        <v>130.548</v>
      </c>
    </row>
    <row r="31" spans="1:11" ht="21.75" customHeight="1" x14ac:dyDescent="0.25">
      <c r="A31" s="290" t="s">
        <v>193</v>
      </c>
      <c r="B31" s="299">
        <f t="shared" si="17"/>
        <v>3784</v>
      </c>
      <c r="C31" s="299">
        <f t="shared" ref="C31:C33" si="23">C30+B31</f>
        <v>11352</v>
      </c>
      <c r="D31" s="300">
        <f t="shared" si="18"/>
        <v>3784</v>
      </c>
      <c r="E31" s="412">
        <v>1603.12</v>
      </c>
      <c r="F31" s="299">
        <f t="shared" si="19"/>
        <v>5610.92</v>
      </c>
      <c r="G31" s="299">
        <f t="shared" si="20"/>
        <v>16832.760000000002</v>
      </c>
      <c r="H31" s="36" t="str">
        <f t="shared" si="21"/>
        <v/>
      </c>
      <c r="I31" s="302">
        <f t="shared" ref="I31:I33" si="24">IF(H31="OUI",C31,0)</f>
        <v>0</v>
      </c>
      <c r="J31" s="300">
        <f t="shared" ref="J31:J33" si="25">I31-I30</f>
        <v>0</v>
      </c>
      <c r="K31" s="303">
        <f t="shared" si="22"/>
        <v>130.548</v>
      </c>
    </row>
    <row r="32" spans="1:11" ht="21.75" customHeight="1" x14ac:dyDescent="0.25">
      <c r="A32" s="290" t="s">
        <v>194</v>
      </c>
      <c r="B32" s="299">
        <f t="shared" si="17"/>
        <v>3784</v>
      </c>
      <c r="C32" s="299">
        <f t="shared" si="23"/>
        <v>15136</v>
      </c>
      <c r="D32" s="300">
        <f t="shared" si="18"/>
        <v>3784</v>
      </c>
      <c r="E32" s="412">
        <v>1603.12</v>
      </c>
      <c r="F32" s="299">
        <f t="shared" si="19"/>
        <v>5610.92</v>
      </c>
      <c r="G32" s="299">
        <f t="shared" si="20"/>
        <v>22443.68</v>
      </c>
      <c r="H32" s="36" t="str">
        <f t="shared" si="21"/>
        <v/>
      </c>
      <c r="I32" s="302">
        <f t="shared" si="24"/>
        <v>0</v>
      </c>
      <c r="J32" s="300">
        <f t="shared" si="25"/>
        <v>0</v>
      </c>
      <c r="K32" s="303">
        <f t="shared" si="22"/>
        <v>130.548</v>
      </c>
    </row>
    <row r="33" spans="1:11" ht="21.75" customHeight="1" x14ac:dyDescent="0.25">
      <c r="A33" s="290" t="s">
        <v>195</v>
      </c>
      <c r="B33" s="299">
        <f t="shared" si="17"/>
        <v>4252.4285714285716</v>
      </c>
      <c r="C33" s="299">
        <f t="shared" si="23"/>
        <v>19388.428571428572</v>
      </c>
      <c r="D33" s="300">
        <f t="shared" si="18"/>
        <v>4252.4285714285716</v>
      </c>
      <c r="E33" s="412">
        <f t="shared" ref="E33" si="26">10.85*151.6667</f>
        <v>1645.5836949999998</v>
      </c>
      <c r="F33" s="299">
        <f t="shared" si="19"/>
        <v>5759.5429324999996</v>
      </c>
      <c r="G33" s="299">
        <f t="shared" si="20"/>
        <v>28203.222932500001</v>
      </c>
      <c r="H33" s="36" t="str">
        <f t="shared" si="21"/>
        <v/>
      </c>
      <c r="I33" s="302">
        <f t="shared" si="24"/>
        <v>0</v>
      </c>
      <c r="J33" s="300">
        <f t="shared" si="25"/>
        <v>0</v>
      </c>
      <c r="K33" s="303">
        <f t="shared" si="22"/>
        <v>146.70878571428574</v>
      </c>
    </row>
    <row r="34" spans="1:11" ht="21.75" customHeight="1" x14ac:dyDescent="0.25">
      <c r="A34" s="332"/>
      <c r="B34" s="335"/>
      <c r="C34" s="335"/>
      <c r="D34" s="336"/>
      <c r="E34" s="340"/>
      <c r="F34" s="335"/>
      <c r="G34" s="335"/>
      <c r="H34" s="338"/>
      <c r="I34" s="339"/>
    </row>
    <row r="35" spans="1:11" ht="21" hidden="1" x14ac:dyDescent="0.25">
      <c r="A35" s="448" t="s">
        <v>211</v>
      </c>
      <c r="B35" s="449"/>
      <c r="C35" s="449"/>
      <c r="D35" s="449"/>
      <c r="E35" s="449"/>
      <c r="F35" s="449"/>
      <c r="G35" s="449"/>
      <c r="H35" s="449"/>
      <c r="I35" s="305"/>
    </row>
    <row r="36" spans="1:11" ht="21" hidden="1" customHeight="1" thickBot="1" x14ac:dyDescent="0.3">
      <c r="A36" s="230" t="s">
        <v>158</v>
      </c>
      <c r="B36" s="306">
        <v>0.31950000000000001</v>
      </c>
    </row>
    <row r="37" spans="1:11" hidden="1" x14ac:dyDescent="0.25"/>
    <row r="38" spans="1:11" ht="30" hidden="1" x14ac:dyDescent="0.25">
      <c r="A38" s="3" t="s">
        <v>159</v>
      </c>
      <c r="B38" s="233" t="s">
        <v>160</v>
      </c>
      <c r="C38" s="233" t="s">
        <v>161</v>
      </c>
      <c r="D38" s="296" t="s">
        <v>162</v>
      </c>
      <c r="E38" s="235" t="s">
        <v>163</v>
      </c>
      <c r="F38" s="235" t="s">
        <v>164</v>
      </c>
      <c r="G38" s="235" t="s">
        <v>165</v>
      </c>
      <c r="H38" s="235" t="s">
        <v>166</v>
      </c>
      <c r="I38" s="1" t="s">
        <v>212</v>
      </c>
    </row>
    <row r="39" spans="1:11" ht="21" hidden="1" customHeight="1" x14ac:dyDescent="0.25">
      <c r="A39" s="290" t="s">
        <v>191</v>
      </c>
      <c r="B39" s="307">
        <v>1700</v>
      </c>
      <c r="C39" s="308">
        <f>B39</f>
        <v>1700</v>
      </c>
      <c r="D39" s="301">
        <v>1603.12</v>
      </c>
      <c r="E39" s="307">
        <f>+D39</f>
        <v>1603.12</v>
      </c>
      <c r="F39" s="309">
        <f>ROUND(($B$36/0.6)*((1.6*E39/C39)-1),4)</f>
        <v>0.27089999999999997</v>
      </c>
      <c r="G39" s="308">
        <f>IF(F39&gt;0,F39*C39,0)</f>
        <v>460.53</v>
      </c>
      <c r="H39" s="310">
        <f>G39</f>
        <v>460.53</v>
      </c>
      <c r="I39" s="5" t="str">
        <f>IF(F39&gt;$B$36,"ERREUR","")</f>
        <v/>
      </c>
    </row>
    <row r="40" spans="1:11" ht="21" hidden="1" customHeight="1" x14ac:dyDescent="0.25">
      <c r="A40" s="290" t="s">
        <v>192</v>
      </c>
      <c r="B40" s="307">
        <v>3000</v>
      </c>
      <c r="C40" s="308">
        <f>C39+B40</f>
        <v>4700</v>
      </c>
      <c r="D40" s="311">
        <f>156.67*10.57</f>
        <v>1656.0019</v>
      </c>
      <c r="E40" s="307">
        <f>D40+E39</f>
        <v>3259.1219000000001</v>
      </c>
      <c r="F40" s="309">
        <f>ROUND(($B$36/0.6)*((1.6*E40/C40)-1),4)</f>
        <v>5.8299999999999998E-2</v>
      </c>
      <c r="G40" s="308">
        <f t="shared" ref="G40:G43" si="27">IF(F40&gt;0,F40*C40,0)</f>
        <v>274.01</v>
      </c>
      <c r="H40" s="310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90" t="s">
        <v>193</v>
      </c>
      <c r="B41" s="307"/>
      <c r="C41" s="308">
        <f t="shared" ref="C41:C43" si="28">C40+B41</f>
        <v>4700</v>
      </c>
      <c r="D41" s="301">
        <v>1603.12</v>
      </c>
      <c r="E41" s="307">
        <f t="shared" ref="E41:E43" si="29">D41+E40</f>
        <v>4862.2419</v>
      </c>
      <c r="F41" s="309">
        <f>ROUND(($B$36/0.6)*((1.6*E41/C41)-1),4)</f>
        <v>0.34889999999999999</v>
      </c>
      <c r="G41" s="312">
        <f t="shared" si="27"/>
        <v>1639.83</v>
      </c>
      <c r="H41" s="310">
        <f t="shared" ref="H41:H43" si="30">G41-G40</f>
        <v>1365.82</v>
      </c>
      <c r="I41" s="5" t="str">
        <f>IF(F41&gt;$B$36,"ERREUR","")</f>
        <v>ERREUR</v>
      </c>
    </row>
    <row r="42" spans="1:11" ht="21" hidden="1" customHeight="1" thickBot="1" x14ac:dyDescent="0.3">
      <c r="A42" s="290" t="s">
        <v>194</v>
      </c>
      <c r="B42" s="307"/>
      <c r="C42" s="308">
        <f t="shared" si="28"/>
        <v>4700</v>
      </c>
      <c r="D42" s="301">
        <v>1603.12</v>
      </c>
      <c r="E42" s="307">
        <f t="shared" si="29"/>
        <v>6465.3618999999999</v>
      </c>
      <c r="F42" s="309">
        <f>ROUND(($B$36/0.6)*((1.6*E42/C42)-1),4)</f>
        <v>0.63949999999999996</v>
      </c>
      <c r="G42" s="308">
        <f t="shared" si="27"/>
        <v>3005.6499999999996</v>
      </c>
      <c r="H42" s="310">
        <f t="shared" si="30"/>
        <v>1365.8199999999997</v>
      </c>
      <c r="I42" s="5" t="str">
        <f>IF(F42&gt;$B$36,"ERREUR","")</f>
        <v>ERREUR</v>
      </c>
    </row>
    <row r="43" spans="1:11" ht="21" hidden="1" customHeight="1" x14ac:dyDescent="0.25">
      <c r="A43" s="290" t="s">
        <v>195</v>
      </c>
      <c r="B43" s="307"/>
      <c r="C43" s="308">
        <f t="shared" si="28"/>
        <v>4700</v>
      </c>
      <c r="D43" s="301">
        <v>1603.12</v>
      </c>
      <c r="E43" s="307">
        <f t="shared" si="29"/>
        <v>8068.4818999999998</v>
      </c>
      <c r="F43" s="309">
        <f>ROUND(($B$36/0.6)*((1.6*E43/C43)-1),4)</f>
        <v>0.93010000000000004</v>
      </c>
      <c r="G43" s="308">
        <f t="shared" si="27"/>
        <v>4371.47</v>
      </c>
      <c r="H43" s="310">
        <f t="shared" si="30"/>
        <v>1365.8200000000006</v>
      </c>
      <c r="I43" s="5" t="str">
        <f>IF(F43&gt;$B$36,"ERREUR","")</f>
        <v>ERREUR</v>
      </c>
    </row>
    <row r="45" spans="1:11" ht="23.25" x14ac:dyDescent="0.25">
      <c r="A45" s="285" t="s">
        <v>213</v>
      </c>
      <c r="B45" s="286"/>
      <c r="C45" s="286"/>
      <c r="D45" s="286"/>
      <c r="E45" s="286"/>
      <c r="F45" s="286"/>
    </row>
    <row r="47" spans="1:11" ht="18.75" x14ac:dyDescent="0.25">
      <c r="A47" s="287" t="s">
        <v>184</v>
      </c>
      <c r="D47" s="288">
        <v>3428</v>
      </c>
    </row>
    <row r="48" spans="1:11" ht="15.75" thickBot="1" x14ac:dyDescent="0.3"/>
    <row r="49" spans="1:8" ht="30" x14ac:dyDescent="0.25">
      <c r="A49" s="289" t="s">
        <v>159</v>
      </c>
      <c r="B49" s="233" t="s">
        <v>136</v>
      </c>
      <c r="C49" s="233" t="s">
        <v>185</v>
      </c>
      <c r="D49" s="233" t="s">
        <v>186</v>
      </c>
      <c r="E49" s="235" t="s">
        <v>187</v>
      </c>
      <c r="F49" s="233" t="s">
        <v>214</v>
      </c>
      <c r="G49" s="235" t="s">
        <v>215</v>
      </c>
      <c r="H49" s="236" t="s">
        <v>232</v>
      </c>
    </row>
    <row r="50" spans="1:8" ht="26.25" customHeight="1" x14ac:dyDescent="0.25">
      <c r="A50" s="290" t="s">
        <v>191</v>
      </c>
      <c r="B50" s="299">
        <f>+B29</f>
        <v>3784</v>
      </c>
      <c r="C50" s="299">
        <f>B50</f>
        <v>3784</v>
      </c>
      <c r="D50" s="292">
        <v>3428</v>
      </c>
      <c r="E50" s="313">
        <f>D50</f>
        <v>3428</v>
      </c>
      <c r="F50" s="314" t="str">
        <f>IF(E50&gt;C50,"","OUI")</f>
        <v>OUI</v>
      </c>
      <c r="G50" s="300">
        <f t="shared" ref="G50:G54" si="31">IF(C50&gt;E50,C50,0)</f>
        <v>3784</v>
      </c>
      <c r="H50" s="315">
        <f>G50</f>
        <v>3784</v>
      </c>
    </row>
    <row r="51" spans="1:8" ht="26.25" customHeight="1" x14ac:dyDescent="0.25">
      <c r="A51" s="290" t="s">
        <v>192</v>
      </c>
      <c r="B51" s="299">
        <f t="shared" ref="B51:B54" si="32">+B30</f>
        <v>3784</v>
      </c>
      <c r="C51" s="299">
        <f>C50+B51</f>
        <v>7568</v>
      </c>
      <c r="D51" s="292">
        <v>3428</v>
      </c>
      <c r="E51" s="313">
        <f>E50+D51</f>
        <v>6856</v>
      </c>
      <c r="F51" s="314" t="str">
        <f t="shared" ref="F51:F54" si="33">IF(E51&gt;C51,"","OUI")</f>
        <v>OUI</v>
      </c>
      <c r="G51" s="300">
        <f t="shared" si="31"/>
        <v>7568</v>
      </c>
      <c r="H51" s="315">
        <f>G51-G50</f>
        <v>3784</v>
      </c>
    </row>
    <row r="52" spans="1:8" ht="26.25" customHeight="1" x14ac:dyDescent="0.25">
      <c r="A52" s="290" t="s">
        <v>193</v>
      </c>
      <c r="B52" s="299">
        <f t="shared" si="32"/>
        <v>3784</v>
      </c>
      <c r="C52" s="299">
        <f t="shared" ref="C52:C54" si="34">C51+B52</f>
        <v>11352</v>
      </c>
      <c r="D52" s="292">
        <v>3428</v>
      </c>
      <c r="E52" s="313">
        <f t="shared" ref="E52:E54" si="35">E51+D52</f>
        <v>10284</v>
      </c>
      <c r="F52" s="314" t="str">
        <f t="shared" si="33"/>
        <v>OUI</v>
      </c>
      <c r="G52" s="300">
        <f t="shared" si="31"/>
        <v>11352</v>
      </c>
      <c r="H52" s="315">
        <f t="shared" ref="H52:H54" si="36">G52-G51</f>
        <v>3784</v>
      </c>
    </row>
    <row r="53" spans="1:8" ht="26.25" customHeight="1" x14ac:dyDescent="0.25">
      <c r="A53" s="290" t="s">
        <v>194</v>
      </c>
      <c r="B53" s="299">
        <f t="shared" si="32"/>
        <v>3784</v>
      </c>
      <c r="C53" s="299">
        <f t="shared" si="34"/>
        <v>15136</v>
      </c>
      <c r="D53" s="292">
        <v>3428</v>
      </c>
      <c r="E53" s="313">
        <f t="shared" si="35"/>
        <v>13712</v>
      </c>
      <c r="F53" s="314" t="str">
        <f t="shared" si="33"/>
        <v>OUI</v>
      </c>
      <c r="G53" s="300">
        <f t="shared" si="31"/>
        <v>15136</v>
      </c>
      <c r="H53" s="315">
        <f t="shared" si="36"/>
        <v>3784</v>
      </c>
    </row>
    <row r="54" spans="1:8" ht="26.25" customHeight="1" thickBot="1" x14ac:dyDescent="0.3">
      <c r="A54" s="341" t="s">
        <v>195</v>
      </c>
      <c r="B54" s="342">
        <f t="shared" si="32"/>
        <v>4252.4285714285716</v>
      </c>
      <c r="C54" s="342">
        <f t="shared" si="34"/>
        <v>19388.428571428572</v>
      </c>
      <c r="D54" s="343">
        <f>D11</f>
        <v>3096.2580645161288</v>
      </c>
      <c r="E54" s="344">
        <f t="shared" si="35"/>
        <v>16808.258064516129</v>
      </c>
      <c r="F54" s="345" t="str">
        <f t="shared" si="33"/>
        <v>OUI</v>
      </c>
      <c r="G54" s="346">
        <f t="shared" si="31"/>
        <v>19388.428571428572</v>
      </c>
      <c r="H54" s="347">
        <f t="shared" si="36"/>
        <v>4252.4285714285725</v>
      </c>
    </row>
  </sheetData>
  <mergeCells count="1">
    <mergeCell ref="A35:H3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CDB2-B4DB-47A2-BAE8-EBF85DC51B92}">
  <dimension ref="B1:P165"/>
  <sheetViews>
    <sheetView topLeftCell="A101" workbookViewId="0">
      <selection activeCell="H108" sqref="H108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4" style="11" bestFit="1" customWidth="1"/>
    <col min="11" max="11" width="12" style="11" bestFit="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3700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10.57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/>
    </row>
    <row r="17" spans="2:16" ht="15.75" thickBot="1" x14ac:dyDescent="0.3">
      <c r="B17" s="45" t="s">
        <v>71</v>
      </c>
      <c r="C17" s="450"/>
      <c r="D17" s="451"/>
      <c r="E17" s="46" t="s">
        <v>72</v>
      </c>
      <c r="F17" s="450"/>
      <c r="G17" s="452"/>
      <c r="I17" s="28" t="s">
        <v>73</v>
      </c>
      <c r="J17" s="323">
        <f>+'REGUL SMITH'!G11</f>
        <v>3096.2580645161288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47">
        <f>+'REGUL SMITH'!H11</f>
        <v>1156.1705069124428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376">
        <v>0.31950000000000001</v>
      </c>
    </row>
    <row r="20" spans="2:16" s="56" customFormat="1" x14ac:dyDescent="0.25">
      <c r="B20" s="19" t="s">
        <v>11</v>
      </c>
      <c r="C20" s="57"/>
      <c r="D20" s="58"/>
      <c r="E20" s="26">
        <f>J3</f>
        <v>3700</v>
      </c>
      <c r="F20" s="59"/>
      <c r="G20" s="60"/>
      <c r="H20" s="11"/>
      <c r="I20" s="61" t="s">
        <v>80</v>
      </c>
      <c r="J20" s="62">
        <v>4.2000000000000003E-2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23" t="s">
        <v>81</v>
      </c>
      <c r="J21" s="72"/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>
        <v>21</v>
      </c>
      <c r="D22" s="69">
        <f>E20/J5</f>
        <v>25.170068027210885</v>
      </c>
      <c r="E22" s="66">
        <f>-D22*C22</f>
        <v>-528.57142857142856</v>
      </c>
      <c r="F22" s="67"/>
      <c r="G22" s="68"/>
      <c r="I22" s="23" t="s">
        <v>83</v>
      </c>
      <c r="J22" s="72"/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30.49383530032307</v>
      </c>
      <c r="E24" s="72">
        <f>D24*C24</f>
        <v>0</v>
      </c>
      <c r="F24" s="73"/>
      <c r="G24" s="74"/>
      <c r="I24" s="40" t="s">
        <v>85</v>
      </c>
      <c r="J24" s="70"/>
    </row>
    <row r="25" spans="2:16" ht="16.5" thickBot="1" x14ac:dyDescent="0.3">
      <c r="B25" s="23" t="s">
        <v>66</v>
      </c>
      <c r="C25" s="24">
        <f>J13</f>
        <v>0</v>
      </c>
      <c r="D25" s="71">
        <f>IF($J$4&gt;=151.67,$J$3/151.67*1.5,0)</f>
        <v>36.592602360387687</v>
      </c>
      <c r="E25" s="72">
        <f>D25*C25</f>
        <v>0</v>
      </c>
      <c r="F25" s="73"/>
      <c r="G25" s="76"/>
      <c r="I25" s="4" t="s">
        <v>86</v>
      </c>
      <c r="J25" s="75">
        <v>0.04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87</v>
      </c>
      <c r="J26" s="377">
        <v>2100</v>
      </c>
    </row>
    <row r="27" spans="2:16" x14ac:dyDescent="0.25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/>
      <c r="D29" s="24"/>
      <c r="E29" s="72"/>
      <c r="F29" s="82"/>
      <c r="G29" s="83"/>
      <c r="I29" s="84"/>
    </row>
    <row r="30" spans="2:16" x14ac:dyDescent="0.25">
      <c r="B30" s="23" t="s">
        <v>89</v>
      </c>
      <c r="C30" s="81"/>
      <c r="D30" s="24"/>
      <c r="E30" s="72"/>
      <c r="F30" s="82"/>
      <c r="G30" s="83"/>
    </row>
    <row r="31" spans="2:16" ht="15.75" thickBot="1" x14ac:dyDescent="0.3">
      <c r="B31" s="23"/>
      <c r="C31" s="85"/>
      <c r="D31" s="86"/>
      <c r="E31" s="87"/>
      <c r="F31" s="88"/>
      <c r="G31" s="89"/>
    </row>
    <row r="32" spans="2:16" ht="15.75" thickBot="1" x14ac:dyDescent="0.3">
      <c r="B32" s="90" t="s">
        <v>90</v>
      </c>
      <c r="C32" s="91"/>
      <c r="D32" s="92"/>
      <c r="E32" s="93"/>
      <c r="F32" s="94"/>
      <c r="G32" s="95"/>
      <c r="I32" s="325" t="s">
        <v>220</v>
      </c>
      <c r="J32" s="17"/>
      <c r="K32" s="18"/>
    </row>
    <row r="33" spans="2:11" x14ac:dyDescent="0.25">
      <c r="B33" s="96" t="s">
        <v>91</v>
      </c>
      <c r="C33" s="97"/>
      <c r="D33" s="98"/>
      <c r="E33" s="99"/>
      <c r="F33" s="100"/>
      <c r="G33" s="101"/>
      <c r="I33" s="23"/>
      <c r="J33" s="24"/>
      <c r="K33" s="25"/>
    </row>
    <row r="34" spans="2:11" x14ac:dyDescent="0.25">
      <c r="B34" s="90" t="s">
        <v>28</v>
      </c>
      <c r="C34" s="97"/>
      <c r="D34" s="98"/>
      <c r="E34" s="99"/>
      <c r="F34" s="100"/>
      <c r="G34" s="101"/>
      <c r="I34" s="23" t="s">
        <v>11</v>
      </c>
      <c r="J34" s="24"/>
      <c r="K34" s="323">
        <f>E37</f>
        <v>4252.4285714285716</v>
      </c>
    </row>
    <row r="35" spans="2:11" x14ac:dyDescent="0.25">
      <c r="B35" s="96" t="s">
        <v>291</v>
      </c>
      <c r="C35" s="97"/>
      <c r="D35" s="98"/>
      <c r="E35" s="99">
        <v>1000</v>
      </c>
      <c r="F35" s="100"/>
      <c r="G35" s="101"/>
      <c r="I35" s="23" t="s">
        <v>221</v>
      </c>
      <c r="J35" s="24"/>
      <c r="K35" s="323">
        <f>-E67</f>
        <v>-879.43229918202769</v>
      </c>
    </row>
    <row r="36" spans="2:11" ht="15.75" thickBot="1" x14ac:dyDescent="0.3">
      <c r="B36" s="102" t="s">
        <v>92</v>
      </c>
      <c r="C36" s="97">
        <f>'CALCULS DIVERS'!B14</f>
        <v>2700</v>
      </c>
      <c r="D36" s="98">
        <v>0.03</v>
      </c>
      <c r="E36" s="103">
        <f>C36*D36</f>
        <v>81</v>
      </c>
      <c r="F36" s="100"/>
      <c r="G36" s="101"/>
      <c r="I36" s="23" t="s">
        <v>222</v>
      </c>
      <c r="J36" s="24"/>
      <c r="K36" s="323">
        <f>E62</f>
        <v>121.16232107142859</v>
      </c>
    </row>
    <row r="37" spans="2:11" ht="16.5" thickTop="1" thickBot="1" x14ac:dyDescent="0.3">
      <c r="B37" s="104" t="s">
        <v>93</v>
      </c>
      <c r="C37" s="105"/>
      <c r="D37" s="106"/>
      <c r="E37" s="107">
        <f>SUM(E20:E36)</f>
        <v>4252.4285714285716</v>
      </c>
      <c r="F37" s="100"/>
      <c r="G37" s="101"/>
      <c r="I37" s="23" t="s">
        <v>223</v>
      </c>
      <c r="J37" s="24"/>
      <c r="K37" s="323">
        <f>G42</f>
        <v>0</v>
      </c>
    </row>
    <row r="38" spans="2:11" ht="15.75" thickBot="1" x14ac:dyDescent="0.3">
      <c r="B38" s="108"/>
      <c r="C38" s="109"/>
      <c r="D38" s="110"/>
      <c r="E38" s="110"/>
      <c r="F38" s="111"/>
      <c r="G38" s="112"/>
      <c r="I38" s="23" t="s">
        <v>2</v>
      </c>
      <c r="J38" s="24"/>
      <c r="K38" s="323">
        <f>G44</f>
        <v>0</v>
      </c>
    </row>
    <row r="39" spans="2:11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  <c r="I39" s="23" t="s">
        <v>137</v>
      </c>
      <c r="J39" s="24"/>
      <c r="K39" s="323">
        <f>SUM(K34:K38)</f>
        <v>3494.1585933179726</v>
      </c>
    </row>
    <row r="40" spans="2:11" x14ac:dyDescent="0.25">
      <c r="B40" s="116" t="s">
        <v>99</v>
      </c>
      <c r="C40" s="117"/>
      <c r="D40" s="118"/>
      <c r="E40" s="118"/>
      <c r="F40" s="119"/>
      <c r="G40" s="120"/>
      <c r="I40" s="23"/>
      <c r="J40" s="24"/>
      <c r="K40" s="25"/>
    </row>
    <row r="41" spans="2:11" x14ac:dyDescent="0.25">
      <c r="B41" s="121" t="s">
        <v>100</v>
      </c>
      <c r="C41" s="97">
        <f>$E$37</f>
        <v>4252.4285714285716</v>
      </c>
      <c r="D41" s="122"/>
      <c r="E41" s="123"/>
      <c r="F41" s="124">
        <v>7.0000000000000007E-2</v>
      </c>
      <c r="G41" s="328">
        <f>F41*C41</f>
        <v>297.67</v>
      </c>
      <c r="I41" s="326" t="s">
        <v>224</v>
      </c>
      <c r="J41" s="24"/>
      <c r="K41" s="25"/>
    </row>
    <row r="42" spans="2:11" x14ac:dyDescent="0.25">
      <c r="B42" s="121" t="s">
        <v>101</v>
      </c>
      <c r="C42" s="97">
        <f>$J$17</f>
        <v>3096.2580645161288</v>
      </c>
      <c r="D42" s="126"/>
      <c r="E42" s="127"/>
      <c r="F42" s="128">
        <f>J24</f>
        <v>0</v>
      </c>
      <c r="G42" s="125">
        <f>F42*C42</f>
        <v>0</v>
      </c>
      <c r="I42" s="23"/>
      <c r="J42" s="24"/>
      <c r="K42" s="25"/>
    </row>
    <row r="43" spans="2:11" x14ac:dyDescent="0.25">
      <c r="B43" s="121" t="s">
        <v>102</v>
      </c>
      <c r="C43" s="97">
        <f>$J$18</f>
        <v>1156.1705069124428</v>
      </c>
      <c r="D43" s="126"/>
      <c r="E43" s="127"/>
      <c r="F43" s="128"/>
      <c r="G43" s="125">
        <f>F43*C43</f>
        <v>0</v>
      </c>
      <c r="I43" s="23" t="s">
        <v>225</v>
      </c>
      <c r="J43" s="24"/>
      <c r="K43" s="323" t="e">
        <f>'Calcul maladie WINCKERT'!#REF!</f>
        <v>#REF!</v>
      </c>
    </row>
    <row r="44" spans="2:11" x14ac:dyDescent="0.25">
      <c r="B44" s="121" t="s">
        <v>103</v>
      </c>
      <c r="C44" s="97"/>
      <c r="D44" s="126"/>
      <c r="E44" s="127">
        <f>'CALCULS DIVERS'!F6</f>
        <v>0</v>
      </c>
      <c r="F44" s="128"/>
      <c r="G44" s="125">
        <f>F44*C44</f>
        <v>0</v>
      </c>
      <c r="I44" s="23" t="s">
        <v>226</v>
      </c>
      <c r="J44" s="24"/>
      <c r="K44" s="323" t="e">
        <f>K43*3.8%</f>
        <v>#REF!</v>
      </c>
    </row>
    <row r="45" spans="2:11" x14ac:dyDescent="0.25">
      <c r="B45" s="129" t="s">
        <v>104</v>
      </c>
      <c r="C45" s="97">
        <f>J17+J18</f>
        <v>4252.4285714285716</v>
      </c>
      <c r="E45" s="97"/>
      <c r="F45" s="130">
        <f>J7</f>
        <v>3.5999999999999997E-2</v>
      </c>
      <c r="G45" s="125">
        <f>F45*C45</f>
        <v>153.08742857142857</v>
      </c>
      <c r="I45" s="23" t="s">
        <v>227</v>
      </c>
      <c r="J45" s="24"/>
      <c r="K45" s="323" t="e">
        <f>K43-K44</f>
        <v>#REF!</v>
      </c>
    </row>
    <row r="46" spans="2:11" x14ac:dyDescent="0.25">
      <c r="B46" s="116" t="s">
        <v>105</v>
      </c>
      <c r="C46" s="117"/>
      <c r="D46" s="118"/>
      <c r="E46" s="118"/>
      <c r="F46" s="119"/>
      <c r="G46" s="120"/>
      <c r="I46" s="329" t="s">
        <v>228</v>
      </c>
      <c r="J46" s="330" t="s">
        <v>229</v>
      </c>
      <c r="K46" s="331" t="e">
        <f>K45/2</f>
        <v>#REF!</v>
      </c>
    </row>
    <row r="47" spans="2:11" ht="15.75" thickBot="1" x14ac:dyDescent="0.3">
      <c r="B47" s="121" t="s">
        <v>106</v>
      </c>
      <c r="C47" s="97">
        <f>$J$17</f>
        <v>3096.2580645161288</v>
      </c>
      <c r="D47" s="126">
        <v>6.9000000000000006E-2</v>
      </c>
      <c r="E47" s="127">
        <f>D47*C47</f>
        <v>213.64180645161289</v>
      </c>
      <c r="F47" s="128">
        <v>8.5500000000000007E-2</v>
      </c>
      <c r="G47" s="125">
        <f>F47*C47</f>
        <v>264.730064516129</v>
      </c>
      <c r="I47" s="40" t="s">
        <v>135</v>
      </c>
      <c r="J47" s="43"/>
      <c r="K47" s="324" t="e">
        <f>K39+K45-K46</f>
        <v>#REF!</v>
      </c>
    </row>
    <row r="48" spans="2:11" x14ac:dyDescent="0.25">
      <c r="B48" s="121" t="s">
        <v>107</v>
      </c>
      <c r="C48" s="97">
        <f>$E$37</f>
        <v>4252.4285714285716</v>
      </c>
      <c r="D48" s="126">
        <v>4.0000000000000001E-3</v>
      </c>
      <c r="E48" s="127">
        <f t="shared" ref="E48:E51" si="1">D48*C48</f>
        <v>17.009714285714285</v>
      </c>
      <c r="F48" s="128">
        <v>1.9E-2</v>
      </c>
      <c r="G48" s="125">
        <f t="shared" ref="G48:G51" si="2">F48*C48</f>
        <v>80.796142857142854</v>
      </c>
    </row>
    <row r="49" spans="2:7" x14ac:dyDescent="0.25">
      <c r="B49" s="121" t="s">
        <v>108</v>
      </c>
      <c r="C49" s="97">
        <f>$J$17</f>
        <v>3096.2580645161288</v>
      </c>
      <c r="D49" s="126">
        <v>4.0099999999999997E-2</v>
      </c>
      <c r="E49" s="127">
        <f t="shared" si="1"/>
        <v>124.15994838709676</v>
      </c>
      <c r="F49" s="128">
        <v>6.0100000000000001E-2</v>
      </c>
      <c r="G49" s="125">
        <f t="shared" si="2"/>
        <v>186.08510967741935</v>
      </c>
    </row>
    <row r="50" spans="2:7" x14ac:dyDescent="0.25">
      <c r="B50" s="121" t="s">
        <v>109</v>
      </c>
      <c r="C50" s="97">
        <f>+J18</f>
        <v>1156.1705069124428</v>
      </c>
      <c r="D50" s="126">
        <v>9.7199999999999995E-2</v>
      </c>
      <c r="E50" s="127">
        <f t="shared" si="1"/>
        <v>112.37977327188943</v>
      </c>
      <c r="F50" s="128">
        <v>0.1457</v>
      </c>
      <c r="G50" s="125">
        <f t="shared" si="2"/>
        <v>168.45404285714289</v>
      </c>
    </row>
    <row r="51" spans="2:7" x14ac:dyDescent="0.25">
      <c r="B51" s="121" t="s">
        <v>110</v>
      </c>
      <c r="C51" s="97">
        <f>E37</f>
        <v>4252.4285714285716</v>
      </c>
      <c r="D51" s="126">
        <v>1.4E-3</v>
      </c>
      <c r="E51" s="127">
        <f t="shared" si="1"/>
        <v>5.9534000000000002</v>
      </c>
      <c r="F51" s="128">
        <v>2.0999999999999999E-3</v>
      </c>
      <c r="G51" s="125">
        <f t="shared" si="2"/>
        <v>8.9300999999999995</v>
      </c>
    </row>
    <row r="52" spans="2:7" x14ac:dyDescent="0.25">
      <c r="B52" s="121" t="s">
        <v>111</v>
      </c>
      <c r="C52" s="97"/>
      <c r="D52" s="126"/>
      <c r="E52" s="127"/>
      <c r="F52" s="128"/>
      <c r="G52" s="125"/>
    </row>
    <row r="53" spans="2:7" x14ac:dyDescent="0.25">
      <c r="B53" s="116" t="s">
        <v>112</v>
      </c>
      <c r="C53" s="97">
        <f>$E$37</f>
        <v>4252.4285714285716</v>
      </c>
      <c r="D53" s="131"/>
      <c r="E53" s="97"/>
      <c r="F53" s="128">
        <v>3.4500000000000003E-2</v>
      </c>
      <c r="G53" s="327">
        <f>F53*C53</f>
        <v>146.70878571428574</v>
      </c>
    </row>
    <row r="54" spans="2:7" x14ac:dyDescent="0.25">
      <c r="B54" s="116" t="s">
        <v>113</v>
      </c>
      <c r="C54" s="97"/>
      <c r="D54" s="131"/>
      <c r="E54" s="97"/>
      <c r="F54" s="133"/>
      <c r="G54" s="125"/>
    </row>
    <row r="55" spans="2:7" x14ac:dyDescent="0.25">
      <c r="B55" s="121" t="s">
        <v>114</v>
      </c>
      <c r="C55" s="97">
        <f>E37</f>
        <v>4252.4285714285716</v>
      </c>
      <c r="D55" s="131"/>
      <c r="E55" s="97"/>
      <c r="F55" s="134">
        <v>4.2000000000000003E-2</v>
      </c>
      <c r="G55" s="125">
        <f t="shared" ref="G55" si="3">F55*C55</f>
        <v>178.602</v>
      </c>
    </row>
    <row r="56" spans="2:7" x14ac:dyDescent="0.25">
      <c r="B56" s="121" t="s">
        <v>115</v>
      </c>
      <c r="C56" s="97">
        <f>+E37</f>
        <v>4252.4285714285716</v>
      </c>
      <c r="D56" s="135">
        <v>2.4000000000000001E-4</v>
      </c>
      <c r="E56" s="136">
        <f>D56*C56</f>
        <v>1.0205828571428572</v>
      </c>
      <c r="F56" s="133">
        <v>3.6000000000000002E-4</v>
      </c>
      <c r="G56" s="137">
        <f>C56*F56</f>
        <v>1.5308742857142859</v>
      </c>
    </row>
    <row r="57" spans="2:7" x14ac:dyDescent="0.25">
      <c r="B57" s="116" t="s">
        <v>116</v>
      </c>
      <c r="C57" s="97"/>
      <c r="D57" s="131"/>
      <c r="E57" s="97"/>
      <c r="F57" s="133"/>
      <c r="G57" s="125">
        <f>E103</f>
        <v>68.158415207373281</v>
      </c>
    </row>
    <row r="58" spans="2:7" x14ac:dyDescent="0.25">
      <c r="B58" s="129"/>
      <c r="C58" s="97"/>
      <c r="D58" s="97"/>
      <c r="E58" s="97"/>
      <c r="F58" s="97"/>
      <c r="G58" s="138"/>
    </row>
    <row r="59" spans="2:7" ht="25.5" x14ac:dyDescent="0.25">
      <c r="B59" s="139" t="s">
        <v>117</v>
      </c>
      <c r="C59" s="97"/>
      <c r="D59" s="97"/>
      <c r="E59" s="97"/>
      <c r="F59" s="97"/>
      <c r="G59" s="138"/>
    </row>
    <row r="60" spans="2:7" x14ac:dyDescent="0.25">
      <c r="B60" s="129"/>
      <c r="C60" s="97"/>
      <c r="D60" s="135"/>
      <c r="E60" s="97"/>
      <c r="F60" s="140"/>
      <c r="G60" s="125"/>
    </row>
    <row r="61" spans="2:7" x14ac:dyDescent="0.25">
      <c r="B61" s="129" t="s">
        <v>118</v>
      </c>
      <c r="C61" s="97">
        <f>(E37-E24-E25-E26-E27)*0.9825+G42+G43+G44</f>
        <v>4178.011071428572</v>
      </c>
      <c r="D61" s="126">
        <v>6.8000000000000005E-2</v>
      </c>
      <c r="E61" s="127">
        <f>D61*C61</f>
        <v>284.1047528571429</v>
      </c>
      <c r="F61" s="128"/>
      <c r="G61" s="125"/>
    </row>
    <row r="62" spans="2:7" x14ac:dyDescent="0.25">
      <c r="B62" s="129" t="s">
        <v>119</v>
      </c>
      <c r="C62" s="97">
        <f>C61</f>
        <v>4178.011071428572</v>
      </c>
      <c r="D62" s="126">
        <v>2.9000000000000001E-2</v>
      </c>
      <c r="E62" s="127">
        <f>D62*C62</f>
        <v>121.16232107142859</v>
      </c>
      <c r="F62" s="128"/>
      <c r="G62" s="125"/>
    </row>
    <row r="63" spans="2:7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7" x14ac:dyDescent="0.25">
      <c r="B64" s="389" t="s">
        <v>266</v>
      </c>
      <c r="C64" s="126"/>
      <c r="D64" s="126"/>
      <c r="E64" s="127"/>
      <c r="F64" s="128"/>
      <c r="G64" s="138">
        <f>-I124</f>
        <v>0</v>
      </c>
    </row>
    <row r="65" spans="2:7" x14ac:dyDescent="0.25">
      <c r="B65" s="141"/>
      <c r="C65" s="142"/>
      <c r="D65" s="126"/>
      <c r="E65" s="127"/>
      <c r="F65" s="128"/>
      <c r="G65" s="125"/>
    </row>
    <row r="66" spans="2:7" ht="15.75" thickBot="1" x14ac:dyDescent="0.3">
      <c r="B66" s="143"/>
      <c r="C66" s="144">
        <f>IF(AND(J4=151.67,J6&lt;20),C24+C25,0)</f>
        <v>0</v>
      </c>
      <c r="D66" s="145"/>
      <c r="E66" s="146"/>
      <c r="F66" s="147"/>
      <c r="G66" s="148"/>
    </row>
    <row r="67" spans="2:7" ht="15.75" thickBot="1" x14ac:dyDescent="0.3">
      <c r="B67" s="149" t="s">
        <v>124</v>
      </c>
      <c r="C67" s="150"/>
      <c r="D67" s="151"/>
      <c r="E67" s="152">
        <f>SUM(E41:E66)</f>
        <v>879.43229918202769</v>
      </c>
      <c r="F67" s="153"/>
      <c r="G67" s="154">
        <f>SUM(G41:G66)</f>
        <v>1554.7529636866363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127"/>
      <c r="D72" s="161"/>
      <c r="E72" s="166"/>
      <c r="F72" s="163"/>
      <c r="G72" s="164"/>
    </row>
    <row r="73" spans="2:7" x14ac:dyDescent="0.25">
      <c r="B73" s="167" t="s">
        <v>263</v>
      </c>
      <c r="C73" s="371">
        <v>62</v>
      </c>
      <c r="D73" s="378">
        <v>0.5</v>
      </c>
      <c r="E73" s="169">
        <f>C73*D73</f>
        <v>31</v>
      </c>
      <c r="F73" s="170"/>
      <c r="G73" s="164"/>
    </row>
    <row r="74" spans="2:7" x14ac:dyDescent="0.25">
      <c r="B74" s="171" t="s">
        <v>224</v>
      </c>
      <c r="C74" s="127"/>
      <c r="D74" s="161"/>
      <c r="E74" s="172"/>
      <c r="F74" s="163"/>
      <c r="G74" s="164"/>
    </row>
    <row r="75" spans="2:7" ht="15.75" thickBot="1" x14ac:dyDescent="0.3">
      <c r="B75" s="143"/>
      <c r="C75" s="146"/>
      <c r="D75" s="173"/>
      <c r="E75" s="174"/>
      <c r="F75" s="175"/>
      <c r="G75" s="148"/>
    </row>
    <row r="76" spans="2:7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3403.9962722465439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>
        <f>E110</f>
        <v>62.925311785714285</v>
      </c>
    </row>
    <row r="78" spans="2:7" x14ac:dyDescent="0.25">
      <c r="B78" s="390" t="s">
        <v>132</v>
      </c>
      <c r="C78" s="390" t="s">
        <v>133</v>
      </c>
      <c r="D78" s="390" t="s">
        <v>96</v>
      </c>
      <c r="E78" s="391" t="s">
        <v>134</v>
      </c>
      <c r="F78" s="391"/>
      <c r="G78" s="392" t="s">
        <v>267</v>
      </c>
    </row>
    <row r="79" spans="2:7" x14ac:dyDescent="0.25">
      <c r="B79" s="393" t="s">
        <v>268</v>
      </c>
      <c r="C79" s="394"/>
      <c r="D79" s="396">
        <f>E37+G44+E62-E67</f>
        <v>3494.1585933179726</v>
      </c>
      <c r="E79" s="396"/>
      <c r="F79" s="397"/>
      <c r="G79" s="398"/>
    </row>
    <row r="80" spans="2:7" x14ac:dyDescent="0.25">
      <c r="B80" s="393" t="s">
        <v>269</v>
      </c>
      <c r="C80" s="399">
        <f>D79</f>
        <v>3494.1585933179726</v>
      </c>
      <c r="D80" s="400">
        <v>4.2000000000000003E-2</v>
      </c>
      <c r="E80" s="396">
        <f>D80*C80</f>
        <v>146.75466091935485</v>
      </c>
      <c r="F80" s="397"/>
      <c r="G80" s="398"/>
    </row>
    <row r="81" spans="2:7" x14ac:dyDescent="0.25">
      <c r="B81" s="393" t="s">
        <v>270</v>
      </c>
      <c r="C81" s="394"/>
      <c r="D81" s="396"/>
      <c r="E81" s="395"/>
      <c r="F81" s="397"/>
      <c r="G81" s="398"/>
    </row>
    <row r="82" spans="2:7" x14ac:dyDescent="0.25">
      <c r="B82" s="393"/>
      <c r="C82" s="394"/>
      <c r="D82" s="395"/>
      <c r="E82" s="395"/>
      <c r="F82" s="397"/>
      <c r="G82" s="401"/>
    </row>
    <row r="83" spans="2:7" x14ac:dyDescent="0.25">
      <c r="B83" s="402" t="s">
        <v>271</v>
      </c>
      <c r="C83" s="395"/>
      <c r="D83" s="395"/>
      <c r="E83" s="396">
        <f>G76-E80</f>
        <v>3257.2416113271888</v>
      </c>
      <c r="F83" s="397"/>
      <c r="G83" s="398"/>
    </row>
    <row r="84" spans="2:7" x14ac:dyDescent="0.25">
      <c r="B84" s="393" t="s">
        <v>272</v>
      </c>
      <c r="C84" s="395"/>
      <c r="D84" s="395"/>
      <c r="E84" s="396">
        <f>E118</f>
        <v>331.68942857142861</v>
      </c>
      <c r="F84" s="397"/>
      <c r="G84" s="398"/>
    </row>
    <row r="85" spans="2:7" x14ac:dyDescent="0.25">
      <c r="B85" s="393" t="s">
        <v>273</v>
      </c>
      <c r="C85" s="403"/>
      <c r="D85" s="395"/>
      <c r="E85" s="396">
        <f>G67+E37</f>
        <v>5807.1815351152081</v>
      </c>
      <c r="F85" s="397"/>
      <c r="G85" s="398"/>
    </row>
    <row r="86" spans="2:7" ht="15.75" thickBot="1" x14ac:dyDescent="0.3">
      <c r="B86" s="404" t="s">
        <v>138</v>
      </c>
      <c r="C86" s="187"/>
      <c r="D86" s="187"/>
      <c r="E86" s="187"/>
      <c r="F86" s="405"/>
      <c r="G86" s="406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6" t="s">
        <v>116</v>
      </c>
      <c r="C90" s="457"/>
      <c r="D90" s="11"/>
      <c r="E90" s="11"/>
    </row>
    <row r="91" spans="2:7" s="189" customFormat="1" x14ac:dyDescent="0.25">
      <c r="B91" s="190"/>
      <c r="C91" s="191"/>
      <c r="D91" s="458">
        <f>+E37</f>
        <v>4252.4285714285716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9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9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9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9"/>
      <c r="E95" s="195">
        <f t="shared" si="4"/>
        <v>12.757285714285715</v>
      </c>
    </row>
    <row r="96" spans="2:7" s="189" customFormat="1" x14ac:dyDescent="0.25">
      <c r="B96" s="193" t="s">
        <v>143</v>
      </c>
      <c r="C96" s="194">
        <v>6.7999999999999996E-3</v>
      </c>
      <c r="D96" s="459"/>
      <c r="E96" s="195">
        <f t="shared" si="4"/>
        <v>28.916514285714285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9"/>
      <c r="E97" s="195">
        <f t="shared" si="4"/>
        <v>23.388357142857146</v>
      </c>
    </row>
    <row r="98" spans="2:5" s="189" customFormat="1" x14ac:dyDescent="0.25">
      <c r="B98" s="193"/>
      <c r="C98" s="194">
        <f>IF(J6&lt;=50,0,0.45%)</f>
        <v>0</v>
      </c>
      <c r="D98" s="459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3096.2580645161288</v>
      </c>
      <c r="D101" s="200">
        <v>1E-3</v>
      </c>
      <c r="E101" s="201">
        <f>D101*C101</f>
        <v>3.0962580645161291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68.158415207373281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60" t="s">
        <v>148</v>
      </c>
      <c r="C105" s="461"/>
      <c r="D105" s="461"/>
      <c r="E105" s="462"/>
    </row>
    <row r="106" spans="2:5" s="189" customFormat="1" x14ac:dyDescent="0.25">
      <c r="B106" s="205" t="s">
        <v>149</v>
      </c>
      <c r="C106" s="206">
        <f>E37</f>
        <v>4252.4285714285716</v>
      </c>
      <c r="D106" s="207">
        <v>2.4E-2</v>
      </c>
      <c r="E106" s="208">
        <f>D106*C106</f>
        <v>102.05828571428572</v>
      </c>
    </row>
    <row r="107" spans="2:5" s="189" customFormat="1" x14ac:dyDescent="0.25">
      <c r="B107" s="209" t="s">
        <v>17</v>
      </c>
      <c r="C107" s="206">
        <f>C106</f>
        <v>4252.4285714285716</v>
      </c>
      <c r="D107" s="210">
        <v>7.4999999999999997E-3</v>
      </c>
      <c r="E107" s="211">
        <f t="shared" ref="E107:E108" si="5">D107*C107</f>
        <v>31.893214285714286</v>
      </c>
    </row>
    <row r="108" spans="2:5" s="189" customFormat="1" x14ac:dyDescent="0.25">
      <c r="B108" s="209" t="s">
        <v>150</v>
      </c>
      <c r="C108" s="206">
        <f>C61+C63</f>
        <v>4178.011071428572</v>
      </c>
      <c r="D108" s="210">
        <v>-1.7000000000000001E-2</v>
      </c>
      <c r="E108" s="211">
        <f t="shared" si="5"/>
        <v>-71.026188214285725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62.925311785714285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60" t="s">
        <v>152</v>
      </c>
      <c r="C113" s="461"/>
      <c r="D113" s="461"/>
      <c r="E113" s="462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>
        <f>C66</f>
        <v>0</v>
      </c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f>C41</f>
        <v>4252.4285714285716</v>
      </c>
      <c r="D116" s="210">
        <v>1.7999999999999999E-2</v>
      </c>
      <c r="E116" s="225">
        <f>D116*C116</f>
        <v>76.543714285714287</v>
      </c>
    </row>
    <row r="117" spans="2:9" s="189" customFormat="1" ht="15.75" customHeight="1" x14ac:dyDescent="0.25">
      <c r="B117" s="222" t="s">
        <v>156</v>
      </c>
      <c r="C117" s="226">
        <f>C116</f>
        <v>4252.4285714285716</v>
      </c>
      <c r="D117" s="210">
        <v>0.06</v>
      </c>
      <c r="E117" s="225">
        <f>D117*C117</f>
        <v>255.14571428571429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331.68942857142861</v>
      </c>
    </row>
    <row r="121" spans="2:9" ht="15.75" hidden="1" thickBot="1" x14ac:dyDescent="0.3">
      <c r="B121" s="230" t="s">
        <v>158</v>
      </c>
      <c r="C121" s="231">
        <f>J19</f>
        <v>0.31950000000000001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3" t="s">
        <v>168</v>
      </c>
      <c r="C127" s="464"/>
      <c r="D127" s="464"/>
      <c r="E127" s="464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5" t="s">
        <v>179</v>
      </c>
      <c r="E134" s="465"/>
      <c r="F134" s="466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hidden="1" x14ac:dyDescent="0.25">
      <c r="B138" s="463" t="s">
        <v>9</v>
      </c>
      <c r="C138" s="464"/>
      <c r="D138" s="464"/>
      <c r="E138" s="464"/>
    </row>
    <row r="139" spans="2:6" ht="15.75" hidden="1" thickBot="1" x14ac:dyDescent="0.3"/>
    <row r="140" spans="2:6" hidden="1" x14ac:dyDescent="0.25">
      <c r="B140" s="453" t="s">
        <v>10</v>
      </c>
      <c r="C140" s="454"/>
      <c r="D140" s="454"/>
      <c r="E140" s="455"/>
    </row>
    <row r="141" spans="2:6" hidden="1" x14ac:dyDescent="0.25">
      <c r="B141" s="256" t="s">
        <v>11</v>
      </c>
      <c r="C141" s="257"/>
      <c r="D141" s="257"/>
      <c r="E141" s="271">
        <v>3000</v>
      </c>
    </row>
    <row r="142" spans="2:6" hidden="1" x14ac:dyDescent="0.25">
      <c r="B142" s="256" t="s">
        <v>12</v>
      </c>
      <c r="C142" s="257"/>
      <c r="D142" s="257"/>
      <c r="E142" s="258">
        <v>28</v>
      </c>
    </row>
    <row r="143" spans="2:6" hidden="1" x14ac:dyDescent="0.25">
      <c r="B143" s="256" t="s">
        <v>13</v>
      </c>
      <c r="C143" s="257"/>
      <c r="D143" s="257"/>
      <c r="E143" s="275">
        <f>+E141/E142</f>
        <v>107.14285714285714</v>
      </c>
    </row>
    <row r="144" spans="2:6" ht="15.75" hidden="1" thickBot="1" x14ac:dyDescent="0.3">
      <c r="B144" s="256" t="s">
        <v>14</v>
      </c>
      <c r="C144" s="257"/>
      <c r="D144" s="257"/>
      <c r="E144" s="272">
        <v>21</v>
      </c>
    </row>
    <row r="145" spans="2:5" ht="16.5" hidden="1" thickTop="1" thickBot="1" x14ac:dyDescent="0.3">
      <c r="B145" s="259" t="s">
        <v>15</v>
      </c>
      <c r="C145" s="260"/>
      <c r="D145" s="261"/>
      <c r="E145" s="276">
        <f>E143*E144</f>
        <v>2250</v>
      </c>
    </row>
    <row r="146" spans="2:5" ht="15.75" hidden="1" thickBot="1" x14ac:dyDescent="0.3">
      <c r="B146" s="262"/>
      <c r="C146" s="262"/>
      <c r="D146" s="262"/>
      <c r="E146" s="262"/>
    </row>
    <row r="147" spans="2:5" ht="15.75" hidden="1" thickBot="1" x14ac:dyDescent="0.3">
      <c r="B147" s="460" t="s">
        <v>16</v>
      </c>
      <c r="C147" s="461"/>
      <c r="D147" s="461"/>
      <c r="E147" s="462"/>
    </row>
    <row r="148" spans="2:5" hidden="1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hidden="1" x14ac:dyDescent="0.25">
      <c r="B149" s="209" t="s">
        <v>20</v>
      </c>
      <c r="C149" s="273">
        <v>44197</v>
      </c>
      <c r="D149" s="274">
        <v>5850</v>
      </c>
      <c r="E149" s="277">
        <f>1.8*1603.12</f>
        <v>2885.616</v>
      </c>
    </row>
    <row r="150" spans="2:5" hidden="1" x14ac:dyDescent="0.25">
      <c r="B150" s="209" t="s">
        <v>21</v>
      </c>
      <c r="C150" s="273">
        <v>44531</v>
      </c>
      <c r="D150" s="274">
        <v>3000</v>
      </c>
      <c r="E150" s="277">
        <f t="shared" ref="E150:E151" si="9">1.8*1603.12</f>
        <v>2885.616</v>
      </c>
    </row>
    <row r="151" spans="2:5" hidden="1" x14ac:dyDescent="0.25">
      <c r="B151" s="209" t="s">
        <v>22</v>
      </c>
      <c r="C151" s="273">
        <v>44501</v>
      </c>
      <c r="D151" s="274">
        <v>2900</v>
      </c>
      <c r="E151" s="277">
        <f t="shared" si="9"/>
        <v>2885.616</v>
      </c>
    </row>
    <row r="152" spans="2:5" hidden="1" x14ac:dyDescent="0.25">
      <c r="B152" s="209" t="s">
        <v>23</v>
      </c>
      <c r="C152" s="267"/>
      <c r="D152" s="267"/>
      <c r="E152" s="211">
        <f>SUM(E149:E151)</f>
        <v>8656.848</v>
      </c>
    </row>
    <row r="153" spans="2:5" hidden="1" x14ac:dyDescent="0.25">
      <c r="B153" s="209" t="s">
        <v>24</v>
      </c>
      <c r="C153" s="267"/>
      <c r="D153" s="267"/>
      <c r="E153" s="211">
        <f>E152/91.25*0.5</f>
        <v>47.434783561643833</v>
      </c>
    </row>
    <row r="154" spans="2:5" hidden="1" x14ac:dyDescent="0.25">
      <c r="B154" s="209" t="s">
        <v>181</v>
      </c>
      <c r="C154" s="267"/>
      <c r="D154" s="279" t="s">
        <v>182</v>
      </c>
      <c r="E154" s="268">
        <f>E144-3</f>
        <v>18</v>
      </c>
    </row>
    <row r="155" spans="2:5" hidden="1" x14ac:dyDescent="0.25">
      <c r="B155" s="209" t="s">
        <v>25</v>
      </c>
      <c r="C155" s="267"/>
      <c r="D155" s="267"/>
      <c r="E155" s="283">
        <f>E154*E153</f>
        <v>853.82610410958898</v>
      </c>
    </row>
    <row r="156" spans="2:5" hidden="1" x14ac:dyDescent="0.25">
      <c r="B156" s="209" t="s">
        <v>26</v>
      </c>
      <c r="C156" s="267"/>
      <c r="D156" s="267"/>
      <c r="E156" s="211">
        <f>E155*6.7%</f>
        <v>57.206348975342465</v>
      </c>
    </row>
    <row r="157" spans="2:5" ht="15.75" hidden="1" thickBot="1" x14ac:dyDescent="0.3">
      <c r="B157" s="269" t="s">
        <v>27</v>
      </c>
      <c r="C157" s="270"/>
      <c r="D157" s="270"/>
      <c r="E157" s="278">
        <f>E155-E156</f>
        <v>796.61975513424647</v>
      </c>
    </row>
    <row r="158" spans="2:5" ht="15.75" hidden="1" thickBot="1" x14ac:dyDescent="0.3"/>
    <row r="159" spans="2:5" hidden="1" x14ac:dyDescent="0.25">
      <c r="B159" s="453" t="s">
        <v>28</v>
      </c>
      <c r="C159" s="454"/>
      <c r="D159" s="454"/>
      <c r="E159" s="455"/>
    </row>
    <row r="160" spans="2:5" hidden="1" x14ac:dyDescent="0.25">
      <c r="B160" s="256" t="s">
        <v>29</v>
      </c>
      <c r="C160" s="257"/>
      <c r="D160" s="257"/>
      <c r="E160" s="280">
        <f>E144-7</f>
        <v>14</v>
      </c>
    </row>
    <row r="161" spans="2:5" ht="15.75" hidden="1" thickBot="1" x14ac:dyDescent="0.3">
      <c r="B161" s="256" t="s">
        <v>30</v>
      </c>
      <c r="C161" s="257"/>
      <c r="D161" s="257"/>
      <c r="E161" s="258">
        <f>E143*0.9</f>
        <v>96.428571428571431</v>
      </c>
    </row>
    <row r="162" spans="2:5" ht="16.5" hidden="1" thickTop="1" thickBot="1" x14ac:dyDescent="0.3">
      <c r="B162" s="256" t="s">
        <v>31</v>
      </c>
      <c r="C162" s="257"/>
      <c r="D162" s="257"/>
      <c r="E162" s="276">
        <f>E160*E161</f>
        <v>1350</v>
      </c>
    </row>
    <row r="163" spans="2:5" ht="16.5" hidden="1" thickTop="1" thickBot="1" x14ac:dyDescent="0.3">
      <c r="B163" s="209" t="s">
        <v>32</v>
      </c>
      <c r="C163" s="257"/>
      <c r="D163" s="257"/>
      <c r="E163" s="281">
        <f>E153</f>
        <v>47.434783561643833</v>
      </c>
    </row>
    <row r="164" spans="2:5" ht="16.5" hidden="1" thickTop="1" thickBot="1" x14ac:dyDescent="0.3">
      <c r="B164" s="259" t="s">
        <v>33</v>
      </c>
      <c r="C164" s="284">
        <f>E160</f>
        <v>14</v>
      </c>
      <c r="D164" s="282">
        <f>E163</f>
        <v>47.434783561643833</v>
      </c>
      <c r="E164" s="276">
        <f>D164*C164</f>
        <v>664.08696986301368</v>
      </c>
    </row>
    <row r="165" spans="2:5" hidden="1" x14ac:dyDescent="0.25"/>
  </sheetData>
  <mergeCells count="12">
    <mergeCell ref="C17:D17"/>
    <mergeCell ref="F17:G1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CALCULS DIVERS</vt:lpstr>
      <vt:lpstr>REGUL DUMONT</vt:lpstr>
      <vt:lpstr>Bulletin DUMONT</vt:lpstr>
      <vt:lpstr>REGUL LAMBERT</vt:lpstr>
      <vt:lpstr>Bulletin LAMBERT</vt:lpstr>
      <vt:lpstr>REGUL SALVI</vt:lpstr>
      <vt:lpstr>Bulletin SALVI</vt:lpstr>
      <vt:lpstr>REGUL SMITH</vt:lpstr>
      <vt:lpstr>Bulletin SMITH</vt:lpstr>
      <vt:lpstr>ARRET WINKERT</vt:lpstr>
      <vt:lpstr>REGUL WINCKERT</vt:lpstr>
      <vt:lpstr>Bulletin WINCKERT</vt:lpstr>
      <vt:lpstr>Calcul maladie WINCKERT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2022-11-28T11:02:53Z</dcterms:modified>
</cp:coreProperties>
</file>