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\Desktop\foad paie 2020\BLOG\ARRET DE TRAVAIL ET SUBROGATION\"/>
    </mc:Choice>
  </mc:AlternateContent>
  <xr:revisionPtr revIDLastSave="0" documentId="13_ncr:1_{E3A889AD-FED9-4DF5-B2BD-9CAAF41E0DC7}" xr6:coauthVersionLast="47" xr6:coauthVersionMax="47" xr10:uidLastSave="{00000000-0000-0000-0000-000000000000}"/>
  <bookViews>
    <workbookView xWindow="-120" yWindow="-120" windowWidth="24240" windowHeight="13140" tabRatio="944" firstSheet="6" activeTab="10" xr2:uid="{00000000-000D-0000-FFFF-FFFF00000000}"/>
  </bookViews>
  <sheets>
    <sheet name="Calcul maladie BP1" sheetId="15" state="hidden" r:id="rId1"/>
    <sheet name="CALCULS MARTINEZ" sheetId="25" state="hidden" r:id="rId2"/>
    <sheet name="REGUL MARTINEZ" sheetId="14" state="hidden" r:id="rId3"/>
    <sheet name="Bulletin MARTINEZ" sheetId="13" state="hidden" r:id="rId4"/>
    <sheet name="REGUL DE OLIVEIRA" sheetId="21" state="hidden" r:id="rId5"/>
    <sheet name="Bulletin DE OLIVEIRA" sheetId="16" state="hidden" r:id="rId6"/>
    <sheet name="REGUL MALADIE" sheetId="19" r:id="rId7"/>
    <sheet name="BULLETIN AVEC SUBROGATION" sheetId="18" r:id="rId8"/>
    <sheet name="BULLETIN SANS SUBROGATION (2)" sheetId="26" r:id="rId9"/>
    <sheet name="REGUL ACCIDENT DU TRAVAIL" sheetId="28" r:id="rId10"/>
    <sheet name="BULLETIN ACCIDENT DU TRAVAIL" sheetId="27" r:id="rId11"/>
    <sheet name="Bulletin MALLAURY" sheetId="20" state="hidden" r:id="rId12"/>
    <sheet name="REGUL BONNELLE" sheetId="23" state="hidden" r:id="rId13"/>
    <sheet name="Bulletin BONNELLE" sheetId="24" state="hidden" r:id="rId14"/>
    <sheet name="Feuil1" sheetId="11" state="hidden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4" i="27" l="1"/>
  <c r="E109" i="27" s="1"/>
  <c r="D9" i="28"/>
  <c r="B9" i="28"/>
  <c r="E7" i="28"/>
  <c r="E8" i="28" s="1"/>
  <c r="C7" i="28"/>
  <c r="C8" i="28" s="1"/>
  <c r="C9" i="28" s="1"/>
  <c r="J74" i="27"/>
  <c r="E156" i="27"/>
  <c r="E154" i="27"/>
  <c r="C154" i="27"/>
  <c r="C148" i="27"/>
  <c r="E147" i="27"/>
  <c r="E149" i="27" s="1"/>
  <c r="E155" i="27"/>
  <c r="E140" i="27"/>
  <c r="E138" i="27"/>
  <c r="E128" i="27"/>
  <c r="D128" i="27"/>
  <c r="F128" i="27" s="1"/>
  <c r="D127" i="27"/>
  <c r="E127" i="27" s="1"/>
  <c r="F126" i="27"/>
  <c r="E126" i="27"/>
  <c r="D126" i="27"/>
  <c r="D125" i="27"/>
  <c r="F125" i="27" s="1"/>
  <c r="F119" i="27"/>
  <c r="D119" i="27"/>
  <c r="G119" i="27" s="1"/>
  <c r="H119" i="27" s="1"/>
  <c r="C116" i="27"/>
  <c r="E110" i="27"/>
  <c r="C95" i="27"/>
  <c r="E95" i="27" s="1"/>
  <c r="C93" i="27"/>
  <c r="C92" i="27"/>
  <c r="C88" i="27"/>
  <c r="C87" i="27"/>
  <c r="D74" i="27"/>
  <c r="N71" i="27"/>
  <c r="M71" i="27"/>
  <c r="G56" i="27"/>
  <c r="E56" i="27"/>
  <c r="G51" i="27"/>
  <c r="E51" i="27"/>
  <c r="C50" i="27"/>
  <c r="G50" i="27" s="1"/>
  <c r="F45" i="27"/>
  <c r="F44" i="27"/>
  <c r="F42" i="27"/>
  <c r="E36" i="27"/>
  <c r="D36" i="27"/>
  <c r="C36" i="27"/>
  <c r="D34" i="27"/>
  <c r="D32" i="27"/>
  <c r="C32" i="27"/>
  <c r="E32" i="27" s="1"/>
  <c r="E27" i="27"/>
  <c r="D27" i="27"/>
  <c r="D26" i="27"/>
  <c r="E26" i="27" s="1"/>
  <c r="E25" i="27"/>
  <c r="D25" i="27"/>
  <c r="D24" i="27"/>
  <c r="E24" i="27" s="1"/>
  <c r="E20" i="27"/>
  <c r="N71" i="18"/>
  <c r="M71" i="18"/>
  <c r="E178" i="26"/>
  <c r="E175" i="26"/>
  <c r="E174" i="26"/>
  <c r="E176" i="26" s="1"/>
  <c r="E171" i="26"/>
  <c r="E170" i="26"/>
  <c r="E169" i="26"/>
  <c r="E168" i="26"/>
  <c r="E167" i="26"/>
  <c r="E166" i="26"/>
  <c r="E165" i="26"/>
  <c r="E162" i="26"/>
  <c r="C74" i="26"/>
  <c r="E154" i="26"/>
  <c r="E147" i="26"/>
  <c r="E149" i="26" s="1"/>
  <c r="E138" i="26"/>
  <c r="E155" i="26" s="1"/>
  <c r="D128" i="26"/>
  <c r="F128" i="26" s="1"/>
  <c r="F127" i="26"/>
  <c r="D127" i="26"/>
  <c r="E127" i="26" s="1"/>
  <c r="F126" i="26"/>
  <c r="E126" i="26"/>
  <c r="D126" i="26"/>
  <c r="D125" i="26"/>
  <c r="F125" i="26" s="1"/>
  <c r="F119" i="26"/>
  <c r="G119" i="26" s="1"/>
  <c r="H119" i="26" s="1"/>
  <c r="D119" i="26"/>
  <c r="C116" i="26"/>
  <c r="E110" i="26"/>
  <c r="E109" i="26"/>
  <c r="C95" i="26"/>
  <c r="E95" i="26" s="1"/>
  <c r="C93" i="26"/>
  <c r="C92" i="26"/>
  <c r="C88" i="26"/>
  <c r="C87" i="26"/>
  <c r="D74" i="26"/>
  <c r="G64" i="26"/>
  <c r="G56" i="26"/>
  <c r="E56" i="26"/>
  <c r="G51" i="26"/>
  <c r="E51" i="26"/>
  <c r="E50" i="26"/>
  <c r="C50" i="26"/>
  <c r="G50" i="26" s="1"/>
  <c r="F45" i="26"/>
  <c r="F44" i="26"/>
  <c r="F42" i="26"/>
  <c r="D36" i="26"/>
  <c r="C36" i="26"/>
  <c r="E36" i="26" s="1"/>
  <c r="D33" i="26"/>
  <c r="D32" i="26"/>
  <c r="D34" i="26" s="1"/>
  <c r="C32" i="26"/>
  <c r="E32" i="26" s="1"/>
  <c r="D27" i="26"/>
  <c r="E27" i="26" s="1"/>
  <c r="D26" i="26"/>
  <c r="E26" i="26" s="1"/>
  <c r="D25" i="26"/>
  <c r="E25" i="26" s="1"/>
  <c r="D24" i="26"/>
  <c r="E24" i="26" s="1"/>
  <c r="E20" i="26"/>
  <c r="E34" i="18"/>
  <c r="D34" i="18"/>
  <c r="C34" i="18"/>
  <c r="E33" i="18"/>
  <c r="C33" i="18"/>
  <c r="D33" i="18"/>
  <c r="E32" i="18"/>
  <c r="D32" i="18"/>
  <c r="C32" i="18"/>
  <c r="E20" i="18"/>
  <c r="D24" i="18"/>
  <c r="E24" i="18" s="1"/>
  <c r="D25" i="18"/>
  <c r="D26" i="18"/>
  <c r="E26" i="18" s="1"/>
  <c r="D27" i="18"/>
  <c r="C36" i="18"/>
  <c r="D36" i="18"/>
  <c r="C50" i="18"/>
  <c r="E50" i="18" s="1"/>
  <c r="E51" i="18"/>
  <c r="G51" i="18"/>
  <c r="E56" i="18"/>
  <c r="G56" i="18"/>
  <c r="D125" i="18"/>
  <c r="E125" i="18" s="1"/>
  <c r="D126" i="18"/>
  <c r="E126" i="18" s="1"/>
  <c r="D127" i="18"/>
  <c r="E127" i="18" s="1"/>
  <c r="D128" i="18"/>
  <c r="E128" i="18" s="1"/>
  <c r="F44" i="18"/>
  <c r="E154" i="18"/>
  <c r="C158" i="18" s="1"/>
  <c r="F8" i="28" l="1"/>
  <c r="G8" i="28" s="1"/>
  <c r="E9" i="28"/>
  <c r="F9" i="28" s="1"/>
  <c r="G9" i="28" s="1"/>
  <c r="H9" i="28" s="1"/>
  <c r="F7" i="28"/>
  <c r="G7" i="28" s="1"/>
  <c r="H7" i="28" s="1"/>
  <c r="D33" i="27"/>
  <c r="E150" i="27"/>
  <c r="E151" i="27" s="1"/>
  <c r="E68" i="27" s="1"/>
  <c r="J72" i="27"/>
  <c r="F127" i="27"/>
  <c r="F130" i="27" s="1"/>
  <c r="D130" i="27"/>
  <c r="E157" i="27"/>
  <c r="D158" i="27" s="1"/>
  <c r="E125" i="27"/>
  <c r="E130" i="27" s="1"/>
  <c r="C158" i="27"/>
  <c r="C33" i="27" s="1"/>
  <c r="C34" i="27" s="1"/>
  <c r="E34" i="27" s="1"/>
  <c r="E50" i="27"/>
  <c r="E150" i="26"/>
  <c r="J72" i="26"/>
  <c r="E151" i="26"/>
  <c r="E34" i="26"/>
  <c r="F130" i="26"/>
  <c r="E156" i="26"/>
  <c r="D130" i="26"/>
  <c r="E140" i="26"/>
  <c r="E157" i="26"/>
  <c r="D158" i="26" s="1"/>
  <c r="E125" i="26"/>
  <c r="C158" i="26"/>
  <c r="C33" i="26" s="1"/>
  <c r="C34" i="26" s="1"/>
  <c r="E128" i="26"/>
  <c r="E25" i="18"/>
  <c r="E36" i="18"/>
  <c r="E27" i="18"/>
  <c r="G50" i="18"/>
  <c r="F128" i="18"/>
  <c r="F127" i="18"/>
  <c r="E130" i="18"/>
  <c r="F125" i="18"/>
  <c r="F126" i="18"/>
  <c r="D130" i="18"/>
  <c r="H8" i="28" l="1"/>
  <c r="E158" i="27"/>
  <c r="E33" i="27"/>
  <c r="E37" i="27" s="1"/>
  <c r="F41" i="27" s="1"/>
  <c r="J73" i="27"/>
  <c r="E33" i="26"/>
  <c r="E37" i="26" s="1"/>
  <c r="E130" i="26"/>
  <c r="J73" i="26"/>
  <c r="J74" i="26" s="1"/>
  <c r="E158" i="26"/>
  <c r="F130" i="18"/>
  <c r="C41" i="27" l="1"/>
  <c r="G41" i="27" s="1"/>
  <c r="C80" i="27"/>
  <c r="C55" i="27"/>
  <c r="G55" i="27" s="1"/>
  <c r="C101" i="27"/>
  <c r="C102" i="27" s="1"/>
  <c r="E102" i="27" s="1"/>
  <c r="C111" i="27"/>
  <c r="E111" i="27" s="1"/>
  <c r="J66" i="27"/>
  <c r="C44" i="27"/>
  <c r="G44" i="27" s="1"/>
  <c r="J69" i="27" s="1"/>
  <c r="J38" i="27"/>
  <c r="C96" i="27" s="1"/>
  <c r="E96" i="27" s="1"/>
  <c r="D86" i="27"/>
  <c r="E87" i="27" s="1"/>
  <c r="C53" i="27"/>
  <c r="G53" i="27" s="1"/>
  <c r="C48" i="27"/>
  <c r="G48" i="27" s="1"/>
  <c r="F41" i="26"/>
  <c r="G41" i="26" s="1"/>
  <c r="C111" i="26"/>
  <c r="C80" i="26"/>
  <c r="J66" i="26"/>
  <c r="C55" i="26"/>
  <c r="G55" i="26" s="1"/>
  <c r="C41" i="26"/>
  <c r="C101" i="26"/>
  <c r="C48" i="26"/>
  <c r="J38" i="26"/>
  <c r="D86" i="26"/>
  <c r="C53" i="26"/>
  <c r="G53" i="26" s="1"/>
  <c r="C44" i="26"/>
  <c r="G44" i="26" s="1"/>
  <c r="J69" i="26" s="1"/>
  <c r="C45" i="27" l="1"/>
  <c r="G45" i="27" s="1"/>
  <c r="E92" i="27"/>
  <c r="C47" i="27"/>
  <c r="G47" i="27" s="1"/>
  <c r="C112" i="27"/>
  <c r="E112" i="27" s="1"/>
  <c r="E113" i="27" s="1"/>
  <c r="E90" i="27"/>
  <c r="C42" i="27"/>
  <c r="G42" i="27" s="1"/>
  <c r="C61" i="27" s="1"/>
  <c r="C62" i="27" s="1"/>
  <c r="E62" i="27" s="1"/>
  <c r="E48" i="27"/>
  <c r="E101" i="27"/>
  <c r="E88" i="27"/>
  <c r="E91" i="27"/>
  <c r="C49" i="27"/>
  <c r="E49" i="27" s="1"/>
  <c r="E89" i="27"/>
  <c r="E93" i="27"/>
  <c r="E61" i="27"/>
  <c r="C103" i="27"/>
  <c r="E103" i="27" s="1"/>
  <c r="C45" i="26"/>
  <c r="G45" i="26" s="1"/>
  <c r="C96" i="26"/>
  <c r="E96" i="26" s="1"/>
  <c r="C47" i="26"/>
  <c r="C42" i="26"/>
  <c r="G42" i="26" s="1"/>
  <c r="C61" i="26" s="1"/>
  <c r="C49" i="26"/>
  <c r="G48" i="26"/>
  <c r="E48" i="26"/>
  <c r="C102" i="26"/>
  <c r="E102" i="26" s="1"/>
  <c r="E101" i="26"/>
  <c r="E91" i="26"/>
  <c r="E90" i="26"/>
  <c r="E87" i="26"/>
  <c r="E89" i="26"/>
  <c r="E88" i="26"/>
  <c r="E93" i="26"/>
  <c r="E92" i="26"/>
  <c r="E111" i="26"/>
  <c r="C112" i="26"/>
  <c r="E112" i="26" s="1"/>
  <c r="E105" i="27" l="1"/>
  <c r="E47" i="27"/>
  <c r="E65" i="27"/>
  <c r="D76" i="27" s="1"/>
  <c r="G49" i="27"/>
  <c r="E98" i="27"/>
  <c r="G57" i="27" s="1"/>
  <c r="J68" i="27"/>
  <c r="E113" i="26"/>
  <c r="E98" i="26"/>
  <c r="G57" i="26" s="1"/>
  <c r="G49" i="26"/>
  <c r="E49" i="26"/>
  <c r="E47" i="26"/>
  <c r="G47" i="26"/>
  <c r="C103" i="26"/>
  <c r="E103" i="26" s="1"/>
  <c r="E105" i="26" s="1"/>
  <c r="C62" i="26"/>
  <c r="E62" i="26" s="1"/>
  <c r="E61" i="26"/>
  <c r="G70" i="27" l="1"/>
  <c r="J67" i="27"/>
  <c r="J70" i="27" s="1"/>
  <c r="J76" i="27" s="1"/>
  <c r="C74" i="27" s="1"/>
  <c r="G74" i="27" s="1"/>
  <c r="C81" i="27"/>
  <c r="G65" i="27"/>
  <c r="G65" i="26"/>
  <c r="J68" i="26"/>
  <c r="E65" i="26"/>
  <c r="G75" i="27" l="1"/>
  <c r="J67" i="26"/>
  <c r="J70" i="26" s="1"/>
  <c r="J76" i="26" s="1"/>
  <c r="G74" i="26" s="1"/>
  <c r="G70" i="26"/>
  <c r="C81" i="26"/>
  <c r="D76" i="26"/>
  <c r="G75" i="26" l="1"/>
  <c r="E27" i="13" l="1"/>
  <c r="E21" i="13"/>
  <c r="D30" i="13" l="1"/>
  <c r="J70" i="25"/>
  <c r="J67" i="25"/>
  <c r="J68" i="25" s="1"/>
  <c r="J64" i="25"/>
  <c r="J62" i="25"/>
  <c r="J59" i="25"/>
  <c r="J58" i="25"/>
  <c r="J57" i="25"/>
  <c r="J56" i="25"/>
  <c r="D22" i="24" l="1"/>
  <c r="D24" i="20"/>
  <c r="E144" i="24" l="1"/>
  <c r="D10" i="23" l="1"/>
  <c r="E21" i="23"/>
  <c r="E20" i="23"/>
  <c r="C50" i="16"/>
  <c r="C48" i="16"/>
  <c r="C43" i="16"/>
  <c r="D47" i="25"/>
  <c r="E23" i="13"/>
  <c r="E22" i="23" l="1"/>
  <c r="E22" i="16" l="1"/>
  <c r="D22" i="16"/>
  <c r="E147" i="18" l="1"/>
  <c r="D47" i="21"/>
  <c r="D48" i="21"/>
  <c r="D49" i="21"/>
  <c r="D46" i="21"/>
  <c r="B48" i="21"/>
  <c r="F58" i="21"/>
  <c r="F57" i="21"/>
  <c r="B57" i="21"/>
  <c r="D57" i="21" s="1"/>
  <c r="F56" i="21"/>
  <c r="G55" i="21"/>
  <c r="G56" i="21" s="1"/>
  <c r="G57" i="21" s="1"/>
  <c r="G58" i="21" s="1"/>
  <c r="F55" i="21"/>
  <c r="E46" i="21"/>
  <c r="D38" i="21"/>
  <c r="E24" i="21"/>
  <c r="B35" i="21" s="1"/>
  <c r="B46" i="21" s="1"/>
  <c r="E25" i="21"/>
  <c r="B36" i="21" s="1"/>
  <c r="B47" i="21" s="1"/>
  <c r="B56" i="21" s="1"/>
  <c r="D56" i="21" s="1"/>
  <c r="E26" i="21"/>
  <c r="B37" i="21" s="1"/>
  <c r="E35" i="21"/>
  <c r="E36" i="21" s="1"/>
  <c r="E37" i="21" s="1"/>
  <c r="E38" i="21" s="1"/>
  <c r="E72" i="16"/>
  <c r="A16" i="21"/>
  <c r="A15" i="21"/>
  <c r="D15" i="21" s="1"/>
  <c r="A14" i="21"/>
  <c r="D14" i="21" s="1"/>
  <c r="B9" i="14"/>
  <c r="B7" i="14"/>
  <c r="E29" i="13"/>
  <c r="I22" i="25"/>
  <c r="I6" i="25"/>
  <c r="I7" i="25" s="1"/>
  <c r="I9" i="25" s="1"/>
  <c r="D5" i="25"/>
  <c r="D4" i="25"/>
  <c r="F59" i="14"/>
  <c r="F58" i="14"/>
  <c r="F57" i="14"/>
  <c r="F56" i="14"/>
  <c r="G56" i="14" s="1"/>
  <c r="G57" i="14" s="1"/>
  <c r="G58" i="14" s="1"/>
  <c r="G59" i="14" s="1"/>
  <c r="J55" i="25"/>
  <c r="D71" i="25"/>
  <c r="D63" i="25"/>
  <c r="D55" i="25"/>
  <c r="C46" i="21" l="1"/>
  <c r="B55" i="21"/>
  <c r="D55" i="21" s="1"/>
  <c r="E47" i="21"/>
  <c r="G46" i="21"/>
  <c r="H46" i="21" s="1"/>
  <c r="E48" i="21"/>
  <c r="C55" i="21"/>
  <c r="F46" i="21"/>
  <c r="C47" i="21"/>
  <c r="C35" i="21"/>
  <c r="I31" i="25"/>
  <c r="I8" i="25"/>
  <c r="I11" i="25" s="1"/>
  <c r="D6" i="25"/>
  <c r="D7" i="25" s="1"/>
  <c r="D8" i="25" s="1"/>
  <c r="E31" i="24"/>
  <c r="E30" i="24"/>
  <c r="E168" i="24"/>
  <c r="E167" i="24"/>
  <c r="E166" i="24"/>
  <c r="E165" i="24"/>
  <c r="E164" i="24"/>
  <c r="E161" i="24"/>
  <c r="E159" i="24"/>
  <c r="E158" i="24"/>
  <c r="E153" i="24"/>
  <c r="E152" i="24"/>
  <c r="E49" i="21" l="1"/>
  <c r="C56" i="21"/>
  <c r="H55" i="21"/>
  <c r="I55" i="21" s="1"/>
  <c r="J55" i="21" s="1"/>
  <c r="K55" i="21" s="1"/>
  <c r="G47" i="21"/>
  <c r="H47" i="21" s="1"/>
  <c r="C48" i="21"/>
  <c r="F47" i="21"/>
  <c r="C36" i="21"/>
  <c r="F35" i="21"/>
  <c r="G35" i="21" s="1"/>
  <c r="H35" i="21" s="1"/>
  <c r="D10" i="25"/>
  <c r="D9" i="25"/>
  <c r="D28" i="20"/>
  <c r="D50" i="14"/>
  <c r="C57" i="21" l="1"/>
  <c r="H56" i="21"/>
  <c r="I56" i="21" s="1"/>
  <c r="J56" i="21" s="1"/>
  <c r="K56" i="21" s="1"/>
  <c r="G48" i="21"/>
  <c r="H48" i="21" s="1"/>
  <c r="F48" i="21"/>
  <c r="C37" i="21"/>
  <c r="F36" i="21"/>
  <c r="G36" i="21" s="1"/>
  <c r="H36" i="21" s="1"/>
  <c r="D11" i="25"/>
  <c r="D13" i="25" s="1"/>
  <c r="D15" i="25" s="1"/>
  <c r="E148" i="24"/>
  <c r="H57" i="21" l="1"/>
  <c r="I57" i="21" s="1"/>
  <c r="J57" i="21" s="1"/>
  <c r="K57" i="21" s="1"/>
  <c r="F37" i="21"/>
  <c r="G37" i="21" s="1"/>
  <c r="H37" i="21" s="1"/>
  <c r="D26" i="25"/>
  <c r="D27" i="25" s="1"/>
  <c r="D28" i="25" s="1"/>
  <c r="D30" i="25" s="1"/>
  <c r="D31" i="25" s="1"/>
  <c r="J33" i="25" s="1"/>
  <c r="J35" i="25" s="1"/>
  <c r="D45" i="25" s="1"/>
  <c r="D48" i="25" s="1"/>
  <c r="B10" i="14" s="1"/>
  <c r="D44" i="25"/>
  <c r="D81" i="13"/>
  <c r="E72" i="24"/>
  <c r="E72" i="20"/>
  <c r="E73" i="13"/>
  <c r="B18" i="14"/>
  <c r="B19" i="14"/>
  <c r="B17" i="14" l="1"/>
  <c r="F8" i="23" l="1"/>
  <c r="F9" i="23"/>
  <c r="F7" i="23"/>
  <c r="C8" i="23"/>
  <c r="C9" i="23" s="1"/>
  <c r="E7" i="23"/>
  <c r="E8" i="23" s="1"/>
  <c r="C7" i="23"/>
  <c r="E9" i="23" l="1"/>
  <c r="G8" i="23"/>
  <c r="G7" i="23"/>
  <c r="H7" i="23" s="1"/>
  <c r="H8" i="23" l="1"/>
  <c r="G9" i="23"/>
  <c r="H9" i="23" s="1"/>
  <c r="E10" i="23"/>
  <c r="E149" i="24" l="1"/>
  <c r="E150" i="24"/>
  <c r="E151" i="24" s="1"/>
  <c r="G156" i="24" s="1"/>
  <c r="H156" i="24" s="1"/>
  <c r="H157" i="24" s="1"/>
  <c r="E142" i="24"/>
  <c r="E145" i="24" s="1"/>
  <c r="E29" i="24" s="1"/>
  <c r="C61" i="20"/>
  <c r="C24" i="20"/>
  <c r="E20" i="20"/>
  <c r="E28" i="20" s="1"/>
  <c r="E138" i="18" l="1"/>
  <c r="D81" i="16"/>
  <c r="G45" i="16"/>
  <c r="D21" i="13"/>
  <c r="C21" i="13"/>
  <c r="D36" i="13"/>
  <c r="E36" i="13" s="1"/>
  <c r="D69" i="25"/>
  <c r="D70" i="25" s="1"/>
  <c r="D72" i="25" s="1"/>
  <c r="D61" i="25"/>
  <c r="D62" i="25" s="1"/>
  <c r="D64" i="25" s="1"/>
  <c r="B8" i="14" s="1"/>
  <c r="B48" i="14" s="1"/>
  <c r="B57" i="14" s="1"/>
  <c r="D57" i="14" s="1"/>
  <c r="D53" i="25"/>
  <c r="D54" i="25" s="1"/>
  <c r="D56" i="25" s="1"/>
  <c r="D46" i="25"/>
  <c r="D42" i="25"/>
  <c r="D43" i="25" s="1"/>
  <c r="E155" i="18" l="1"/>
  <c r="E156" i="18" s="1"/>
  <c r="B47" i="14"/>
  <c r="B56" i="14" s="1"/>
  <c r="C7" i="14"/>
  <c r="C8" i="14" s="1"/>
  <c r="B49" i="14"/>
  <c r="B58" i="14" s="1"/>
  <c r="D58" i="14" s="1"/>
  <c r="C9" i="14" l="1"/>
  <c r="D56" i="14"/>
  <c r="C56" i="14"/>
  <c r="E71" i="13"/>
  <c r="H56" i="14" l="1"/>
  <c r="I56" i="14" s="1"/>
  <c r="J56" i="14" s="1"/>
  <c r="K56" i="14" s="1"/>
  <c r="C57" i="14"/>
  <c r="G44" i="24"/>
  <c r="E44" i="24"/>
  <c r="D134" i="24"/>
  <c r="E134" i="24" s="1"/>
  <c r="D133" i="24"/>
  <c r="F133" i="24" s="1"/>
  <c r="D132" i="24"/>
  <c r="F132" i="24" s="1"/>
  <c r="D131" i="24"/>
  <c r="F125" i="24"/>
  <c r="D125" i="24"/>
  <c r="C122" i="24"/>
  <c r="E115" i="24"/>
  <c r="C101" i="24"/>
  <c r="E101" i="24" s="1"/>
  <c r="C99" i="24"/>
  <c r="C98" i="24"/>
  <c r="C94" i="24"/>
  <c r="C93" i="24"/>
  <c r="D80" i="24"/>
  <c r="E73" i="24"/>
  <c r="F45" i="24"/>
  <c r="F42" i="24"/>
  <c r="D36" i="24"/>
  <c r="C36" i="24"/>
  <c r="D27" i="24"/>
  <c r="C27" i="24"/>
  <c r="D26" i="24"/>
  <c r="C26" i="24"/>
  <c r="D25" i="24"/>
  <c r="C25" i="24"/>
  <c r="D24" i="24"/>
  <c r="C24" i="24"/>
  <c r="E20" i="24"/>
  <c r="E22" i="24" s="1"/>
  <c r="E73" i="20"/>
  <c r="E7" i="19"/>
  <c r="E8" i="19" s="1"/>
  <c r="C7" i="19"/>
  <c r="C8" i="19" s="1"/>
  <c r="H57" i="14" l="1"/>
  <c r="I57" i="14" s="1"/>
  <c r="J57" i="14" s="1"/>
  <c r="K57" i="14" s="1"/>
  <c r="C58" i="14"/>
  <c r="G125" i="24"/>
  <c r="H125" i="24" s="1"/>
  <c r="E25" i="24"/>
  <c r="C66" i="24"/>
  <c r="G66" i="24" s="1"/>
  <c r="F134" i="24"/>
  <c r="E26" i="24"/>
  <c r="E133" i="24"/>
  <c r="E24" i="24"/>
  <c r="E132" i="24"/>
  <c r="F8" i="19"/>
  <c r="G8" i="19" s="1"/>
  <c r="F7" i="19"/>
  <c r="G7" i="19" s="1"/>
  <c r="H7" i="19" s="1"/>
  <c r="E36" i="24"/>
  <c r="E27" i="24"/>
  <c r="F131" i="24"/>
  <c r="E131" i="24"/>
  <c r="D136" i="24"/>
  <c r="H58" i="14" l="1"/>
  <c r="I58" i="14" s="1"/>
  <c r="J58" i="14" s="1"/>
  <c r="K58" i="14" s="1"/>
  <c r="F136" i="24"/>
  <c r="C116" i="24"/>
  <c r="E116" i="24" s="1"/>
  <c r="C65" i="24"/>
  <c r="E65" i="24" s="1"/>
  <c r="E136" i="24"/>
  <c r="H8" i="19"/>
  <c r="E37" i="24"/>
  <c r="C63" i="24"/>
  <c r="E63" i="24" s="1"/>
  <c r="J17" i="24" l="1"/>
  <c r="B10" i="23"/>
  <c r="C10" i="23" s="1"/>
  <c r="F10" i="23" s="1"/>
  <c r="G10" i="23" s="1"/>
  <c r="C55" i="24"/>
  <c r="G55" i="24" s="1"/>
  <c r="C86" i="24"/>
  <c r="D92" i="24"/>
  <c r="C53" i="24"/>
  <c r="G53" i="24" s="1"/>
  <c r="C107" i="24"/>
  <c r="C48" i="24"/>
  <c r="C41" i="24"/>
  <c r="H10" i="23" l="1"/>
  <c r="G64" i="24" s="1"/>
  <c r="C108" i="24"/>
  <c r="E108" i="24" s="1"/>
  <c r="E107" i="24"/>
  <c r="E97" i="24"/>
  <c r="E96" i="24"/>
  <c r="E95" i="24"/>
  <c r="E94" i="24"/>
  <c r="E93" i="24"/>
  <c r="E99" i="24"/>
  <c r="E98" i="24"/>
  <c r="E51" i="24"/>
  <c r="E67" i="24" s="1"/>
  <c r="G51" i="24"/>
  <c r="G48" i="24"/>
  <c r="E48" i="24"/>
  <c r="G56" i="24"/>
  <c r="E56" i="24"/>
  <c r="C117" i="24"/>
  <c r="G41" i="24"/>
  <c r="C50" i="24" l="1"/>
  <c r="E117" i="24"/>
  <c r="C118" i="24"/>
  <c r="E118" i="24" s="1"/>
  <c r="C102" i="24"/>
  <c r="E102" i="24" s="1"/>
  <c r="E104" i="24" s="1"/>
  <c r="G57" i="24" s="1"/>
  <c r="C47" i="24"/>
  <c r="C42" i="24"/>
  <c r="G42" i="24" s="1"/>
  <c r="C49" i="24"/>
  <c r="C45" i="24" l="1"/>
  <c r="G45" i="24" s="1"/>
  <c r="E119" i="24"/>
  <c r="G82" i="24" s="1"/>
  <c r="C43" i="24"/>
  <c r="G43" i="24" s="1"/>
  <c r="C61" i="24" s="1"/>
  <c r="G49" i="24"/>
  <c r="E49" i="24"/>
  <c r="E50" i="24"/>
  <c r="G50" i="24"/>
  <c r="G47" i="24"/>
  <c r="E47" i="24"/>
  <c r="G67" i="24" l="1"/>
  <c r="G83" i="24" s="1"/>
  <c r="C62" i="24"/>
  <c r="E62" i="24" s="1"/>
  <c r="E61" i="24"/>
  <c r="C109" i="24"/>
  <c r="E109" i="24" s="1"/>
  <c r="E111" i="24" s="1"/>
  <c r="G76" i="24" l="1"/>
  <c r="C87" i="24"/>
  <c r="C80" i="24" s="1"/>
  <c r="G80" i="24" s="1"/>
  <c r="D74" i="18" l="1"/>
  <c r="E73" i="16"/>
  <c r="C23" i="16"/>
  <c r="G45" i="13"/>
  <c r="E45" i="13"/>
  <c r="F28" i="14"/>
  <c r="F29" i="14"/>
  <c r="F30" i="14"/>
  <c r="F19" i="14"/>
  <c r="F20" i="14"/>
  <c r="D19" i="14"/>
  <c r="B27" i="14"/>
  <c r="C47" i="14" s="1"/>
  <c r="E161" i="20"/>
  <c r="E155" i="20"/>
  <c r="E152" i="20"/>
  <c r="E151" i="20"/>
  <c r="E150" i="20"/>
  <c r="E153" i="20" s="1"/>
  <c r="E154" i="20" s="1"/>
  <c r="E164" i="20" s="1"/>
  <c r="D165" i="20" s="1"/>
  <c r="E144" i="20"/>
  <c r="E146" i="20" s="1"/>
  <c r="D134" i="20"/>
  <c r="F134" i="20" s="1"/>
  <c r="D133" i="20"/>
  <c r="F133" i="20" s="1"/>
  <c r="F132" i="20"/>
  <c r="D132" i="20"/>
  <c r="E132" i="20" s="1"/>
  <c r="F131" i="20"/>
  <c r="E131" i="20"/>
  <c r="D131" i="20"/>
  <c r="D136" i="20" s="1"/>
  <c r="F125" i="20"/>
  <c r="D125" i="20"/>
  <c r="C122" i="20"/>
  <c r="E115" i="20"/>
  <c r="C99" i="20"/>
  <c r="C98" i="20"/>
  <c r="C94" i="20"/>
  <c r="C93" i="20"/>
  <c r="D80" i="20"/>
  <c r="G64" i="20"/>
  <c r="F45" i="20"/>
  <c r="F42" i="20"/>
  <c r="E36" i="20"/>
  <c r="D27" i="20"/>
  <c r="D26" i="20"/>
  <c r="C26" i="20"/>
  <c r="D25" i="20"/>
  <c r="E149" i="18"/>
  <c r="E157" i="18"/>
  <c r="D158" i="18" s="1"/>
  <c r="E140" i="18"/>
  <c r="F119" i="18"/>
  <c r="D119" i="18"/>
  <c r="C93" i="18"/>
  <c r="C92" i="18"/>
  <c r="C88" i="18"/>
  <c r="C87" i="18"/>
  <c r="F45" i="18"/>
  <c r="F42" i="18"/>
  <c r="E181" i="16"/>
  <c r="D182" i="16" s="1"/>
  <c r="E163" i="16"/>
  <c r="E32" i="16" s="1"/>
  <c r="D135" i="16"/>
  <c r="F135" i="16" s="1"/>
  <c r="D134" i="16"/>
  <c r="F134" i="16" s="1"/>
  <c r="D133" i="16"/>
  <c r="E133" i="16" s="1"/>
  <c r="D132" i="16"/>
  <c r="F126" i="16"/>
  <c r="D126" i="16"/>
  <c r="C123" i="16"/>
  <c r="C100" i="16"/>
  <c r="C99" i="16"/>
  <c r="C95" i="16"/>
  <c r="C94" i="16"/>
  <c r="F46" i="16"/>
  <c r="F43" i="16"/>
  <c r="D36" i="16"/>
  <c r="C36" i="16"/>
  <c r="D27" i="16"/>
  <c r="D26" i="16"/>
  <c r="C26" i="16"/>
  <c r="D25" i="16"/>
  <c r="D24" i="16"/>
  <c r="C24" i="16"/>
  <c r="E20" i="16"/>
  <c r="J72" i="18" l="1"/>
  <c r="D27" i="21"/>
  <c r="E27" i="21" s="1"/>
  <c r="B38" i="21" s="1"/>
  <c r="E26" i="20"/>
  <c r="G125" i="20"/>
  <c r="H125" i="20" s="1"/>
  <c r="D22" i="20"/>
  <c r="E22" i="20" s="1"/>
  <c r="E24" i="20"/>
  <c r="F133" i="16"/>
  <c r="D137" i="16"/>
  <c r="E132" i="16"/>
  <c r="F132" i="16"/>
  <c r="E28" i="16"/>
  <c r="D23" i="16"/>
  <c r="E23" i="16" s="1"/>
  <c r="E24" i="16"/>
  <c r="E36" i="16"/>
  <c r="E26" i="16"/>
  <c r="B29" i="14"/>
  <c r="F136" i="20"/>
  <c r="E156" i="20"/>
  <c r="E134" i="20"/>
  <c r="C165" i="20"/>
  <c r="E165" i="20" s="1"/>
  <c r="E133" i="20"/>
  <c r="E136" i="20" s="1"/>
  <c r="E162" i="20"/>
  <c r="E163" i="20" s="1"/>
  <c r="E150" i="18"/>
  <c r="E151" i="18" s="1"/>
  <c r="E68" i="18" s="1"/>
  <c r="E158" i="18"/>
  <c r="E173" i="16"/>
  <c r="E135" i="16"/>
  <c r="E134" i="16"/>
  <c r="E179" i="16"/>
  <c r="E180" i="16" s="1"/>
  <c r="E34" i="16" s="1"/>
  <c r="C182" i="16"/>
  <c r="E182" i="16" s="1"/>
  <c r="E33" i="16" s="1"/>
  <c r="J73" i="18" l="1"/>
  <c r="J74" i="18" s="1"/>
  <c r="C38" i="21"/>
  <c r="F38" i="21" s="1"/>
  <c r="G38" i="21" s="1"/>
  <c r="H38" i="21" s="1"/>
  <c r="B49" i="21"/>
  <c r="F137" i="16"/>
  <c r="E137" i="16"/>
  <c r="D29" i="14"/>
  <c r="E157" i="20"/>
  <c r="E158" i="20"/>
  <c r="C25" i="20"/>
  <c r="C27" i="20"/>
  <c r="E27" i="20" s="1"/>
  <c r="C25" i="16"/>
  <c r="C67" i="16" s="1"/>
  <c r="C27" i="16"/>
  <c r="E27" i="16" s="1"/>
  <c r="E174" i="16"/>
  <c r="E175" i="16" s="1"/>
  <c r="J18" i="16" l="1"/>
  <c r="B58" i="21"/>
  <c r="C49" i="21"/>
  <c r="E25" i="20"/>
  <c r="C63" i="20" s="1"/>
  <c r="E63" i="20" s="1"/>
  <c r="C66" i="20"/>
  <c r="E25" i="16"/>
  <c r="E37" i="16" s="1"/>
  <c r="C65" i="20"/>
  <c r="E65" i="20" s="1"/>
  <c r="E37" i="20"/>
  <c r="J19" i="16" l="1"/>
  <c r="C51" i="16" s="1"/>
  <c r="D58" i="21"/>
  <c r="C58" i="21"/>
  <c r="H58" i="21" s="1"/>
  <c r="I58" i="21" s="1"/>
  <c r="J58" i="21" s="1"/>
  <c r="G49" i="21"/>
  <c r="H49" i="21" s="1"/>
  <c r="F49" i="21"/>
  <c r="C46" i="16"/>
  <c r="J17" i="20"/>
  <c r="C107" i="20"/>
  <c r="C118" i="16"/>
  <c r="C119" i="16" s="1"/>
  <c r="E119" i="16" s="1"/>
  <c r="E139" i="16"/>
  <c r="C108" i="16"/>
  <c r="E108" i="16" s="1"/>
  <c r="C103" i="16"/>
  <c r="G81" i="24"/>
  <c r="C55" i="20"/>
  <c r="G55" i="20" s="1"/>
  <c r="G66" i="20"/>
  <c r="C116" i="20"/>
  <c r="E116" i="20" s="1"/>
  <c r="E37" i="18"/>
  <c r="E110" i="18"/>
  <c r="C64" i="16"/>
  <c r="E64" i="16" s="1"/>
  <c r="C117" i="16"/>
  <c r="E117" i="16" s="1"/>
  <c r="G67" i="16"/>
  <c r="C66" i="16"/>
  <c r="C56" i="16"/>
  <c r="G56" i="16" s="1"/>
  <c r="D92" i="20"/>
  <c r="C41" i="20"/>
  <c r="C86" i="20"/>
  <c r="C53" i="20"/>
  <c r="G53" i="20" s="1"/>
  <c r="C48" i="20"/>
  <c r="C54" i="16"/>
  <c r="G54" i="16" s="1"/>
  <c r="C49" i="16"/>
  <c r="D93" i="16"/>
  <c r="C41" i="16"/>
  <c r="G41" i="16" s="1"/>
  <c r="C87" i="16"/>
  <c r="J38" i="18" l="1"/>
  <c r="C44" i="18"/>
  <c r="G44" i="18" s="1"/>
  <c r="J69" i="18" s="1"/>
  <c r="B9" i="19"/>
  <c r="K58" i="21"/>
  <c r="C42" i="16"/>
  <c r="G42" i="16" s="1"/>
  <c r="J66" i="18"/>
  <c r="C109" i="16"/>
  <c r="E109" i="16" s="1"/>
  <c r="E118" i="16"/>
  <c r="C111" i="18"/>
  <c r="C117" i="20"/>
  <c r="G41" i="20"/>
  <c r="C108" i="20"/>
  <c r="E108" i="20" s="1"/>
  <c r="E107" i="20"/>
  <c r="C102" i="20"/>
  <c r="E102" i="20" s="1"/>
  <c r="C101" i="18"/>
  <c r="C55" i="18"/>
  <c r="G55" i="18" s="1"/>
  <c r="C53" i="18"/>
  <c r="G53" i="18" s="1"/>
  <c r="C41" i="18"/>
  <c r="C116" i="18"/>
  <c r="G119" i="18" s="1"/>
  <c r="H119" i="18" s="1"/>
  <c r="C96" i="18"/>
  <c r="E96" i="18" s="1"/>
  <c r="C80" i="18"/>
  <c r="F41" i="18"/>
  <c r="C48" i="18"/>
  <c r="G48" i="18" s="1"/>
  <c r="D86" i="18"/>
  <c r="E91" i="18" s="1"/>
  <c r="G44" i="20"/>
  <c r="G48" i="20"/>
  <c r="E48" i="20"/>
  <c r="G56" i="20"/>
  <c r="E56" i="20"/>
  <c r="E95" i="20"/>
  <c r="E96" i="20"/>
  <c r="E97" i="20"/>
  <c r="E93" i="20"/>
  <c r="E98" i="20"/>
  <c r="E99" i="20"/>
  <c r="E94" i="20"/>
  <c r="E57" i="16"/>
  <c r="G57" i="16"/>
  <c r="G49" i="16"/>
  <c r="E49" i="16"/>
  <c r="E96" i="16"/>
  <c r="E98" i="16"/>
  <c r="E97" i="16"/>
  <c r="E94" i="16"/>
  <c r="E100" i="16"/>
  <c r="E99" i="16"/>
  <c r="E95" i="16"/>
  <c r="D9" i="19" l="1"/>
  <c r="E9" i="19" s="1"/>
  <c r="C9" i="19"/>
  <c r="C112" i="18"/>
  <c r="E112" i="18" s="1"/>
  <c r="E111" i="18"/>
  <c r="C118" i="20"/>
  <c r="E118" i="20" s="1"/>
  <c r="E117" i="20"/>
  <c r="G41" i="18"/>
  <c r="E88" i="18"/>
  <c r="C102" i="18"/>
  <c r="E102" i="18" s="1"/>
  <c r="E101" i="18"/>
  <c r="E48" i="18"/>
  <c r="E87" i="18"/>
  <c r="E90" i="18"/>
  <c r="E93" i="18"/>
  <c r="E89" i="18"/>
  <c r="E92" i="18"/>
  <c r="F9" i="19" l="1"/>
  <c r="G9" i="19" s="1"/>
  <c r="H9" i="19" s="1"/>
  <c r="G64" i="18" s="1"/>
  <c r="E109" i="18" s="1"/>
  <c r="E113" i="18" s="1"/>
  <c r="E119" i="20"/>
  <c r="G82" i="20" s="1"/>
  <c r="E120" i="16"/>
  <c r="G83" i="16" s="1"/>
  <c r="C45" i="18"/>
  <c r="G45" i="18" s="1"/>
  <c r="C47" i="18"/>
  <c r="C42" i="18"/>
  <c r="G42" i="18" s="1"/>
  <c r="C49" i="18"/>
  <c r="C45" i="20"/>
  <c r="G45" i="20" s="1"/>
  <c r="C49" i="20"/>
  <c r="C42" i="20"/>
  <c r="G42" i="20" s="1"/>
  <c r="C47" i="20"/>
  <c r="C50" i="20"/>
  <c r="C43" i="20"/>
  <c r="G43" i="20" s="1"/>
  <c r="C61" i="18" l="1"/>
  <c r="C103" i="18" s="1"/>
  <c r="G47" i="20"/>
  <c r="E47" i="20"/>
  <c r="E47" i="18"/>
  <c r="G47" i="18"/>
  <c r="E49" i="18"/>
  <c r="G49" i="18"/>
  <c r="C101" i="20"/>
  <c r="E101" i="20" s="1"/>
  <c r="E104" i="20" s="1"/>
  <c r="G57" i="20" s="1"/>
  <c r="C95" i="18"/>
  <c r="E95" i="18" s="1"/>
  <c r="E98" i="18" s="1"/>
  <c r="G57" i="18" s="1"/>
  <c r="G49" i="20"/>
  <c r="E49" i="20"/>
  <c r="E51" i="20"/>
  <c r="G51" i="20"/>
  <c r="E50" i="20"/>
  <c r="G50" i="20"/>
  <c r="G67" i="20" l="1"/>
  <c r="G83" i="20" s="1"/>
  <c r="C62" i="18"/>
  <c r="E62" i="18" s="1"/>
  <c r="E103" i="18"/>
  <c r="E105" i="18" s="1"/>
  <c r="E61" i="18"/>
  <c r="G65" i="18"/>
  <c r="C62" i="20"/>
  <c r="E62" i="20" s="1"/>
  <c r="C109" i="20"/>
  <c r="E109" i="20" s="1"/>
  <c r="E111" i="20" s="1"/>
  <c r="E61" i="20"/>
  <c r="J68" i="18" l="1"/>
  <c r="E65" i="18"/>
  <c r="G70" i="18" s="1"/>
  <c r="E67" i="20"/>
  <c r="G76" i="20" s="1"/>
  <c r="D25" i="15"/>
  <c r="D24" i="15"/>
  <c r="D18" i="15"/>
  <c r="D15" i="15"/>
  <c r="D14" i="15"/>
  <c r="D13" i="15"/>
  <c r="D16" i="15" s="1"/>
  <c r="D17" i="15" s="1"/>
  <c r="D27" i="15" s="1"/>
  <c r="C28" i="15" s="1"/>
  <c r="D7" i="15"/>
  <c r="D9" i="15" s="1"/>
  <c r="F18" i="14"/>
  <c r="C17" i="14"/>
  <c r="E154" i="13"/>
  <c r="E155" i="13" s="1"/>
  <c r="E165" i="13" s="1"/>
  <c r="D166" i="13" s="1"/>
  <c r="E145" i="13"/>
  <c r="E147" i="13" s="1"/>
  <c r="E32" i="13" s="1"/>
  <c r="E47" i="14"/>
  <c r="E48" i="14" s="1"/>
  <c r="E49" i="14" s="1"/>
  <c r="E50" i="14" s="1"/>
  <c r="D37" i="14"/>
  <c r="E36" i="14"/>
  <c r="C36" i="14"/>
  <c r="C37" i="14" s="1"/>
  <c r="C38" i="14" s="1"/>
  <c r="C39" i="14" s="1"/>
  <c r="C40" i="14" s="1"/>
  <c r="F27" i="14"/>
  <c r="G27" i="14" s="1"/>
  <c r="F17" i="14"/>
  <c r="G17" i="14" s="1"/>
  <c r="E7" i="14"/>
  <c r="D76" i="18" l="1"/>
  <c r="J67" i="18"/>
  <c r="J70" i="18"/>
  <c r="C81" i="18"/>
  <c r="C87" i="20"/>
  <c r="C80" i="20" s="1"/>
  <c r="G80" i="20" s="1"/>
  <c r="E157" i="13"/>
  <c r="D19" i="15"/>
  <c r="B28" i="15"/>
  <c r="D28" i="15" s="1"/>
  <c r="D26" i="15"/>
  <c r="G28" i="14"/>
  <c r="G29" i="14" s="1"/>
  <c r="G30" i="14" s="1"/>
  <c r="C27" i="14"/>
  <c r="E37" i="14"/>
  <c r="E38" i="14" s="1"/>
  <c r="E39" i="14" s="1"/>
  <c r="F7" i="14"/>
  <c r="G7" i="14" s="1"/>
  <c r="H7" i="14" s="1"/>
  <c r="F36" i="14"/>
  <c r="I36" i="14" s="1"/>
  <c r="G18" i="14"/>
  <c r="G19" i="14" s="1"/>
  <c r="G20" i="14" s="1"/>
  <c r="D17" i="14"/>
  <c r="E8" i="14"/>
  <c r="E9" i="14" s="1"/>
  <c r="E10" i="14" s="1"/>
  <c r="E158" i="13"/>
  <c r="E159" i="13" s="1"/>
  <c r="E163" i="13"/>
  <c r="E164" i="13" s="1"/>
  <c r="E34" i="13" s="1"/>
  <c r="C166" i="13"/>
  <c r="E166" i="13" s="1"/>
  <c r="E33" i="13" s="1"/>
  <c r="H17" i="14"/>
  <c r="I17" i="14" s="1"/>
  <c r="J17" i="14" s="1"/>
  <c r="J76" i="18" l="1"/>
  <c r="C74" i="18" s="1"/>
  <c r="G74" i="18" s="1"/>
  <c r="G75" i="18" s="1"/>
  <c r="G81" i="20"/>
  <c r="K17" i="14"/>
  <c r="D20" i="15"/>
  <c r="D21" i="15"/>
  <c r="F37" i="14"/>
  <c r="G37" i="14" s="1"/>
  <c r="F38" i="14"/>
  <c r="G38" i="14" s="1"/>
  <c r="D27" i="14"/>
  <c r="G36" i="14"/>
  <c r="H36" i="14" s="1"/>
  <c r="H27" i="14"/>
  <c r="I27" i="14" s="1"/>
  <c r="J27" i="14" s="1"/>
  <c r="E40" i="14"/>
  <c r="F40" i="14" s="1"/>
  <c r="F39" i="14"/>
  <c r="K27" i="14" l="1"/>
  <c r="I38" i="14"/>
  <c r="I37" i="14"/>
  <c r="G47" i="14"/>
  <c r="H47" i="14" s="1"/>
  <c r="F47" i="14"/>
  <c r="H37" i="14"/>
  <c r="G39" i="14"/>
  <c r="H39" i="14" s="1"/>
  <c r="I39" i="14"/>
  <c r="I40" i="14"/>
  <c r="G40" i="14"/>
  <c r="H38" i="14"/>
  <c r="H40" i="14" l="1"/>
  <c r="D135" i="13" l="1"/>
  <c r="E135" i="13" s="1"/>
  <c r="D134" i="13"/>
  <c r="F134" i="13" s="1"/>
  <c r="D133" i="13"/>
  <c r="F133" i="13" s="1"/>
  <c r="D132" i="13"/>
  <c r="F132" i="13" s="1"/>
  <c r="F126" i="13"/>
  <c r="C123" i="13"/>
  <c r="C100" i="13"/>
  <c r="F46" i="13"/>
  <c r="F43" i="13"/>
  <c r="C26" i="13"/>
  <c r="D25" i="13"/>
  <c r="D24" i="13"/>
  <c r="C24" i="13"/>
  <c r="E20" i="13"/>
  <c r="C94" i="13"/>
  <c r="D22" i="13" l="1"/>
  <c r="E22" i="13" s="1"/>
  <c r="B20" i="14"/>
  <c r="E24" i="13"/>
  <c r="E134" i="13"/>
  <c r="F135" i="13"/>
  <c r="F137" i="13" s="1"/>
  <c r="D27" i="13"/>
  <c r="D26" i="13"/>
  <c r="E26" i="13" s="1"/>
  <c r="C95" i="13"/>
  <c r="E133" i="13"/>
  <c r="D137" i="13"/>
  <c r="C99" i="13"/>
  <c r="E132" i="13"/>
  <c r="D20" i="14" l="1"/>
  <c r="B30" i="14"/>
  <c r="D30" i="14" s="1"/>
  <c r="E137" i="13"/>
  <c r="C25" i="13"/>
  <c r="C27" i="13"/>
  <c r="E25" i="13" l="1"/>
  <c r="C67" i="13"/>
  <c r="G67" i="13" s="1"/>
  <c r="C66" i="13"/>
  <c r="E66" i="13" s="1"/>
  <c r="C64" i="13"/>
  <c r="E64" i="13" s="1"/>
  <c r="D126" i="13" l="1"/>
  <c r="G126" i="13" s="1"/>
  <c r="H126" i="13" s="1"/>
  <c r="E116" i="13" l="1"/>
  <c r="G65" i="13"/>
  <c r="D18" i="14" l="1"/>
  <c r="B28" i="14"/>
  <c r="C28" i="14" s="1"/>
  <c r="F8" i="14"/>
  <c r="G8" i="14" s="1"/>
  <c r="F9" i="14"/>
  <c r="C18" i="14"/>
  <c r="C48" i="14" l="1"/>
  <c r="D28" i="14"/>
  <c r="C29" i="14"/>
  <c r="H28" i="14"/>
  <c r="I28" i="14" s="1"/>
  <c r="J28" i="14" s="1"/>
  <c r="G9" i="14"/>
  <c r="H9" i="14" s="1"/>
  <c r="H18" i="14"/>
  <c r="I18" i="14" s="1"/>
  <c r="J18" i="14" s="1"/>
  <c r="K18" i="14" s="1"/>
  <c r="C19" i="14"/>
  <c r="H8" i="14"/>
  <c r="K28" i="14" l="1"/>
  <c r="C49" i="14"/>
  <c r="G48" i="14"/>
  <c r="H48" i="14" s="1"/>
  <c r="F48" i="14"/>
  <c r="H29" i="14"/>
  <c r="I29" i="14" s="1"/>
  <c r="J29" i="14" s="1"/>
  <c r="K29" i="14" s="1"/>
  <c r="C30" i="14"/>
  <c r="C20" i="14"/>
  <c r="H19" i="14"/>
  <c r="I19" i="14" s="1"/>
  <c r="J19" i="14" s="1"/>
  <c r="K19" i="14" s="1"/>
  <c r="E103" i="16" l="1"/>
  <c r="G43" i="16"/>
  <c r="E48" i="16"/>
  <c r="F49" i="14"/>
  <c r="G49" i="14"/>
  <c r="H49" i="14" s="1"/>
  <c r="H30" i="14"/>
  <c r="I30" i="14" s="1"/>
  <c r="J30" i="14" s="1"/>
  <c r="K30" i="14" s="1"/>
  <c r="C102" i="16"/>
  <c r="E102" i="16" s="1"/>
  <c r="E50" i="16"/>
  <c r="G50" i="16"/>
  <c r="H20" i="14"/>
  <c r="I20" i="14" s="1"/>
  <c r="J20" i="14" s="1"/>
  <c r="K20" i="14" s="1"/>
  <c r="E105" i="16" l="1"/>
  <c r="G58" i="16" s="1"/>
  <c r="G48" i="16"/>
  <c r="G44" i="16"/>
  <c r="C62" i="16" s="1"/>
  <c r="C110" i="16" s="1"/>
  <c r="E110" i="16" s="1"/>
  <c r="E112" i="16" s="1"/>
  <c r="G46" i="16"/>
  <c r="G52" i="16"/>
  <c r="E52" i="16"/>
  <c r="C63" i="16" l="1"/>
  <c r="E63" i="16" s="1"/>
  <c r="E62" i="16"/>
  <c r="E51" i="16"/>
  <c r="G51" i="16"/>
  <c r="G68" i="16" s="1"/>
  <c r="G84" i="16" s="1"/>
  <c r="C102" i="13"/>
  <c r="E102" i="13" s="1"/>
  <c r="J61" i="16" l="1"/>
  <c r="J62" i="16" s="1"/>
  <c r="D66" i="16" s="1"/>
  <c r="E66" i="16" s="1"/>
  <c r="E68" i="16" s="1"/>
  <c r="C4" i="21" s="1"/>
  <c r="I52" i="16"/>
  <c r="C88" i="16" l="1"/>
  <c r="C81" i="16" s="1"/>
  <c r="G81" i="16" s="1"/>
  <c r="E140" i="16"/>
  <c r="E141" i="16" l="1"/>
  <c r="E142" i="16" s="1"/>
  <c r="C149" i="16" s="1"/>
  <c r="E149" i="16" s="1"/>
  <c r="F149" i="16" s="1"/>
  <c r="G77" i="16" s="1"/>
  <c r="G82" i="16" s="1"/>
  <c r="C5" i="21"/>
  <c r="C6" i="21" s="1"/>
  <c r="I87" i="16"/>
  <c r="D13" i="21" l="1"/>
  <c r="E13" i="21" s="1"/>
  <c r="E14" i="21" s="1"/>
  <c r="E15" i="21" s="1"/>
  <c r="B16" i="21"/>
  <c r="D16" i="21" s="1"/>
  <c r="E16" i="21" l="1"/>
  <c r="E20" i="21" s="1"/>
  <c r="C10" i="14" l="1"/>
  <c r="F10" i="14" s="1"/>
  <c r="G10" i="14" s="1"/>
  <c r="J17" i="13" s="1"/>
  <c r="J60" i="25"/>
  <c r="J61" i="25" s="1"/>
  <c r="B50" i="14" l="1"/>
  <c r="B59" i="14" s="1"/>
  <c r="C59" i="14" s="1"/>
  <c r="H59" i="14" s="1"/>
  <c r="I59" i="14" s="1"/>
  <c r="J59" i="14" s="1"/>
  <c r="C42" i="13" s="1"/>
  <c r="G42" i="13" s="1"/>
  <c r="C43" i="13"/>
  <c r="G43" i="13" s="1"/>
  <c r="C50" i="13"/>
  <c r="C103" i="13"/>
  <c r="E103" i="13" s="1"/>
  <c r="C48" i="13"/>
  <c r="E30" i="13"/>
  <c r="E37" i="13" s="1"/>
  <c r="J72" i="25"/>
  <c r="H10" i="14"/>
  <c r="J18" i="13" s="1"/>
  <c r="D59" i="14" l="1"/>
  <c r="K59" i="14" s="1"/>
  <c r="C50" i="14"/>
  <c r="G50" i="14" s="1"/>
  <c r="H50" i="14" s="1"/>
  <c r="C52" i="13" s="1"/>
  <c r="C41" i="13"/>
  <c r="G41" i="13" s="1"/>
  <c r="C46" i="13"/>
  <c r="G46" i="13" s="1"/>
  <c r="C57" i="13"/>
  <c r="C54" i="13"/>
  <c r="G54" i="13" s="1"/>
  <c r="C56" i="13"/>
  <c r="C118" i="13"/>
  <c r="C49" i="13"/>
  <c r="C87" i="13"/>
  <c r="D93" i="13"/>
  <c r="E50" i="13"/>
  <c r="G50" i="13"/>
  <c r="E48" i="13"/>
  <c r="G48" i="13"/>
  <c r="C44" i="13"/>
  <c r="G44" i="13" s="1"/>
  <c r="C62" i="13" s="1"/>
  <c r="C51" i="13"/>
  <c r="F50" i="14" l="1"/>
  <c r="C63" i="13"/>
  <c r="E63" i="13" s="1"/>
  <c r="C110" i="13"/>
  <c r="E110" i="13" s="1"/>
  <c r="E62" i="13"/>
  <c r="E96" i="13"/>
  <c r="E99" i="13"/>
  <c r="E94" i="13"/>
  <c r="E100" i="13"/>
  <c r="E95" i="13"/>
  <c r="E98" i="13"/>
  <c r="E97" i="13"/>
  <c r="C119" i="13"/>
  <c r="E119" i="13" s="1"/>
  <c r="E118" i="13"/>
  <c r="E57" i="13"/>
  <c r="G57" i="13"/>
  <c r="G51" i="13"/>
  <c r="E51" i="13"/>
  <c r="G56" i="13"/>
  <c r="C108" i="13"/>
  <c r="G52" i="13"/>
  <c r="E52" i="13"/>
  <c r="G49" i="13"/>
  <c r="E49" i="13"/>
  <c r="E120" i="13" l="1"/>
  <c r="G83" i="13" s="1"/>
  <c r="E68" i="13"/>
  <c r="G77" i="13" s="1"/>
  <c r="E105" i="13"/>
  <c r="G58" i="13" s="1"/>
  <c r="G68" i="13" s="1"/>
  <c r="G84" i="13" s="1"/>
  <c r="E108" i="13"/>
  <c r="C109" i="13"/>
  <c r="E109" i="13" s="1"/>
  <c r="C88" i="13" l="1"/>
  <c r="C81" i="13" s="1"/>
  <c r="G81" i="13" s="1"/>
  <c r="G82" i="13" s="1"/>
  <c r="E112" i="13"/>
</calcChain>
</file>

<file path=xl/sharedStrings.xml><?xml version="1.0" encoding="utf-8"?>
<sst xmlns="http://schemas.openxmlformats.org/spreadsheetml/2006/main" count="1749" uniqueCount="394">
  <si>
    <t>Durée hebdomadaire</t>
  </si>
  <si>
    <t>Mutuelle salariale</t>
  </si>
  <si>
    <t>Mutuelle patronale</t>
  </si>
  <si>
    <t>jeudi</t>
  </si>
  <si>
    <t>vendredi</t>
  </si>
  <si>
    <t>lundi</t>
  </si>
  <si>
    <t>mardi</t>
  </si>
  <si>
    <t>mercredi</t>
  </si>
  <si>
    <t>Effectif</t>
  </si>
  <si>
    <t>ARRET DE TRAVAIL MALADIE</t>
  </si>
  <si>
    <t>Retenues sur salaires</t>
  </si>
  <si>
    <t>Salaire de base</t>
  </si>
  <si>
    <t>Jours calendaires</t>
  </si>
  <si>
    <t>Retenue par journée</t>
  </si>
  <si>
    <t>Nombre de jours d'absence</t>
  </si>
  <si>
    <t>Retenue sur salaires</t>
  </si>
  <si>
    <t>Indemnités journalières de sécutité sociale</t>
  </si>
  <si>
    <t>Maladie</t>
  </si>
  <si>
    <t>Bruts</t>
  </si>
  <si>
    <t>Limite</t>
  </si>
  <si>
    <t>Salaires N-1</t>
  </si>
  <si>
    <t>Salaires N-2</t>
  </si>
  <si>
    <t>Salaires N-3</t>
  </si>
  <si>
    <t>Total des salaires</t>
  </si>
  <si>
    <t>Par jour</t>
  </si>
  <si>
    <t>IJSS Brutes</t>
  </si>
  <si>
    <t>CSG CRDS 6,70%</t>
  </si>
  <si>
    <t xml:space="preserve">IJSS Nettes </t>
  </si>
  <si>
    <t>Maintien de salaire</t>
  </si>
  <si>
    <t>Jours de maintien de salaire</t>
  </si>
  <si>
    <t>Maintien par jour de maladie</t>
  </si>
  <si>
    <t>Maintien de salaire brut</t>
  </si>
  <si>
    <t>IJSS Brutes par journée</t>
  </si>
  <si>
    <t>IJSS Brutes sur la durée du maintien</t>
  </si>
  <si>
    <t>BULLETIN DE SALAIRE</t>
  </si>
  <si>
    <t>SAISIE DES VARIABLES</t>
  </si>
  <si>
    <t>Employeur</t>
  </si>
  <si>
    <t>Salarié</t>
  </si>
  <si>
    <t>Nom :</t>
  </si>
  <si>
    <t>Adresse  :</t>
  </si>
  <si>
    <t>Prénom :</t>
  </si>
  <si>
    <t>Horaire mensuel</t>
  </si>
  <si>
    <t>Complément :</t>
  </si>
  <si>
    <t>N° de S.S. :</t>
  </si>
  <si>
    <t>Nombre d'heures travaillées durant le mois pour absence</t>
  </si>
  <si>
    <t>Adresse :</t>
  </si>
  <si>
    <t>Code postal :</t>
  </si>
  <si>
    <t>Taux accident du travail</t>
  </si>
  <si>
    <t>Ville :</t>
  </si>
  <si>
    <t>CP/ Ville</t>
  </si>
  <si>
    <t>Taux de versement de mobilité</t>
  </si>
  <si>
    <t>Le versement de mobilité ne peut pas être appliqué car l'effectif est inférieur à 11 salariés.</t>
  </si>
  <si>
    <t>N° SIRET :</t>
  </si>
  <si>
    <t>Emploi :</t>
  </si>
  <si>
    <t>Gérant</t>
  </si>
  <si>
    <t>SMIC horaire</t>
  </si>
  <si>
    <t>Code NAF(APE) :</t>
  </si>
  <si>
    <t>Contrat :</t>
  </si>
  <si>
    <t>Site d'emploi :</t>
  </si>
  <si>
    <t>Position :</t>
  </si>
  <si>
    <t>Heures d'absences</t>
  </si>
  <si>
    <t>Effectif :</t>
  </si>
  <si>
    <t>Embauche :</t>
  </si>
  <si>
    <t>Heures supplémentaires à 125%</t>
  </si>
  <si>
    <t>Convention collective :</t>
  </si>
  <si>
    <t>Horaire mensualisé :</t>
  </si>
  <si>
    <t>Heures supplémentaires à 150%</t>
  </si>
  <si>
    <t>Autre :</t>
  </si>
  <si>
    <t>Heures complémentaires à 110%</t>
  </si>
  <si>
    <t>Heures complémentaires à 125%</t>
  </si>
  <si>
    <t>Statut salarié</t>
  </si>
  <si>
    <t>Période du :</t>
  </si>
  <si>
    <t>Au :</t>
  </si>
  <si>
    <t xml:space="preserve">Tranche 1  </t>
  </si>
  <si>
    <t>Eléments de revenu brut</t>
  </si>
  <si>
    <t>Tranche 2</t>
  </si>
  <si>
    <t>Nombre/Base</t>
  </si>
  <si>
    <t>Taux/Val unitaire</t>
  </si>
  <si>
    <t>Montants</t>
  </si>
  <si>
    <t>Coefficient de réduction de cotisations patronales</t>
  </si>
  <si>
    <t>Taux de prélèvement à la source</t>
  </si>
  <si>
    <t>Taux de mutuelle salariale</t>
  </si>
  <si>
    <t>Absences</t>
  </si>
  <si>
    <t>Taux de mutuelle patronale</t>
  </si>
  <si>
    <t>Taux de prévoyance salariale</t>
  </si>
  <si>
    <t>Taux de prévoyance patronale</t>
  </si>
  <si>
    <t>Taux de la prime d'ancienneté</t>
  </si>
  <si>
    <t>Salaire minimum de la catégorie du salarié SMIC</t>
  </si>
  <si>
    <t>Retenues pour congés payés</t>
  </si>
  <si>
    <t>Indemnité pour congés payés</t>
  </si>
  <si>
    <t>Retenue absence arrêt de travail</t>
  </si>
  <si>
    <t xml:space="preserve">IJSS </t>
  </si>
  <si>
    <t>Prime d'ancienneté</t>
  </si>
  <si>
    <t>Salaire brut</t>
  </si>
  <si>
    <t>Cotisations et contributions sociales</t>
  </si>
  <si>
    <t>Assiettes</t>
  </si>
  <si>
    <t>Taux</t>
  </si>
  <si>
    <t>Retenues
salariales</t>
  </si>
  <si>
    <t>Retenues
patronales</t>
  </si>
  <si>
    <t>SANTE</t>
  </si>
  <si>
    <t>Sécurité sociale - Maladie - Maternité - Invalidité décès</t>
  </si>
  <si>
    <t>Complémentaire incapacité invalidité décès Tranche 1</t>
  </si>
  <si>
    <t>Complémentaire incapacité invalidité décès Tranche 2</t>
  </si>
  <si>
    <t xml:space="preserve">Complémentaire santé </t>
  </si>
  <si>
    <t xml:space="preserve">Accident du travail - Maladies professionnelles </t>
  </si>
  <si>
    <t>Retraite</t>
  </si>
  <si>
    <t xml:space="preserve">Sécurité sociale plafonnée </t>
  </si>
  <si>
    <t>Sécurité sociale déplafonnée</t>
  </si>
  <si>
    <t>Complémentaire Tranche 1</t>
  </si>
  <si>
    <r>
      <t>Complémentaire Tranche 2</t>
    </r>
    <r>
      <rPr>
        <sz val="11"/>
        <color rgb="FFFF0000"/>
        <rFont val="Times New Roman"/>
        <family val="1"/>
      </rPr>
      <t xml:space="preserve"> </t>
    </r>
  </si>
  <si>
    <t>Contribution équilibre technique CET</t>
  </si>
  <si>
    <t>Retraite Supplémentaire</t>
  </si>
  <si>
    <t xml:space="preserve"> Famille </t>
  </si>
  <si>
    <t xml:space="preserve">Assurance chômage </t>
  </si>
  <si>
    <t xml:space="preserve">Chômage </t>
  </si>
  <si>
    <t>APEC (Cadres)</t>
  </si>
  <si>
    <t xml:space="preserve">Autres contributions dues par l'employeur </t>
  </si>
  <si>
    <t>COTISATIONS STATUTAIRES OU PREVUES PAR LA CONVENTION COLLECTIVE</t>
  </si>
  <si>
    <t>CSG déductible de l'impôt sur le revenu</t>
  </si>
  <si>
    <t>CSG CRDS non-déductible de l'impôt sur le revenu</t>
  </si>
  <si>
    <t>CSG/CRDS non-déductibles de l'impôt sur le revenu sur heures supplémentaires</t>
  </si>
  <si>
    <t xml:space="preserve">Réduction générale de cotisations patronales </t>
  </si>
  <si>
    <t>Réduction cotisations heures supplémentaires et complémentaires</t>
  </si>
  <si>
    <t>Exonération de cotisation employeur sur heures supplémentaires</t>
  </si>
  <si>
    <t>Total de cotisations et contributions</t>
  </si>
  <si>
    <t>Acompte</t>
  </si>
  <si>
    <t>Avantage en nature</t>
  </si>
  <si>
    <t>Saisie sur salaires</t>
  </si>
  <si>
    <t>Titres repas</t>
  </si>
  <si>
    <t>Frais de déplacement professionnel</t>
  </si>
  <si>
    <t>NET A PAYER AVANT IMPOT SUR LE REVENU</t>
  </si>
  <si>
    <t>dont évolution de la rémunération liée à la suppression des cotisations chômage et maladie</t>
  </si>
  <si>
    <t>IMPOT SUR LE REVENU</t>
  </si>
  <si>
    <t>Bases</t>
  </si>
  <si>
    <t>Montant</t>
  </si>
  <si>
    <t>personnalisé</t>
  </si>
  <si>
    <t>Impôt sur le revenu prélevé à la source</t>
  </si>
  <si>
    <t xml:space="preserve">Net payé en euros                                  </t>
  </si>
  <si>
    <t>NET FISCAL</t>
  </si>
  <si>
    <t>Allègement de cotisations 
employeur</t>
  </si>
  <si>
    <t xml:space="preserve">Payé le </t>
  </si>
  <si>
    <t>Total versé</t>
  </si>
  <si>
    <t>par l'employeur</t>
  </si>
  <si>
    <t>Mois en cours</t>
  </si>
  <si>
    <t>Cumuls annuel</t>
  </si>
  <si>
    <t>Salaires bruts</t>
  </si>
  <si>
    <t>Salaires imposables</t>
  </si>
  <si>
    <t>Dans votre intérêt et pour vous aider à faire valoir vos droits, conserver ce bulletin de paie sans limitation de durée</t>
  </si>
  <si>
    <t>versement transport :</t>
  </si>
  <si>
    <t>FNAL : 0,50%</t>
  </si>
  <si>
    <t>Dialogue social : 0,016%</t>
  </si>
  <si>
    <t>Solidarité autonomie : 0,30%</t>
  </si>
  <si>
    <t>Apprentissage : 0,68%</t>
  </si>
  <si>
    <t>Formation : %</t>
  </si>
  <si>
    <t>Forfait social</t>
  </si>
  <si>
    <t>FNAL 0,10%</t>
  </si>
  <si>
    <t>AU TOTAL</t>
  </si>
  <si>
    <t xml:space="preserve"> Rubrique dont évolution de la rémunération liée à la suppression des cotisations chômage et maladie</t>
  </si>
  <si>
    <t>Assurance chômage</t>
  </si>
  <si>
    <t>CSG CRDS</t>
  </si>
  <si>
    <t>Rubrique d'évolution</t>
  </si>
  <si>
    <t xml:space="preserve"> Rubrique Allègement de cotisations employeur</t>
  </si>
  <si>
    <t>Réduction générale de cotisation</t>
  </si>
  <si>
    <t>Abattement sur heures supplémentaires</t>
  </si>
  <si>
    <t>Allègement dû à la réduction d'allocation familiale</t>
  </si>
  <si>
    <t>Allègement dû à la réduction de cotisation maladie</t>
  </si>
  <si>
    <t>Allègement total</t>
  </si>
  <si>
    <t>coeff maximum cumulé</t>
  </si>
  <si>
    <t>MOIS</t>
  </si>
  <si>
    <t>BRUTS</t>
  </si>
  <si>
    <t>CUMULS</t>
  </si>
  <si>
    <t>smics</t>
  </si>
  <si>
    <t>SMICS
 CUMULES</t>
  </si>
  <si>
    <t>COEF ALLEGT
CUMULES</t>
  </si>
  <si>
    <t>ALLEGT 
CUMULES</t>
  </si>
  <si>
    <t>ALLEGT 
DU MOIS</t>
  </si>
  <si>
    <t>janvier</t>
  </si>
  <si>
    <t>Heures supplémentaire</t>
  </si>
  <si>
    <t>Décompte</t>
  </si>
  <si>
    <t xml:space="preserve">Heures effectuées </t>
  </si>
  <si>
    <t>Heure Compl</t>
  </si>
  <si>
    <t>Heure Comp 110%</t>
  </si>
  <si>
    <t>Heure Comp 125%</t>
  </si>
  <si>
    <t>Semaine du 3 au 7 janvier</t>
  </si>
  <si>
    <t>Semaine du 10 au 14</t>
  </si>
  <si>
    <t>Semaine du 17 au 21</t>
  </si>
  <si>
    <t>Semaine du 24 au 28</t>
  </si>
  <si>
    <t>Semaine du 31 au -</t>
  </si>
  <si>
    <t>report au mois suivant- non complet</t>
  </si>
  <si>
    <t>Total</t>
  </si>
  <si>
    <t>Nombre de jours d'arret pris en charge</t>
  </si>
  <si>
    <t>21-3</t>
  </si>
  <si>
    <t>Regularisation mensuelle progressive des plafonds de sécurité sociale</t>
  </si>
  <si>
    <t>Plafond de sécurité sociale</t>
  </si>
  <si>
    <t>Cumuls bruts</t>
  </si>
  <si>
    <t>Plafonds</t>
  </si>
  <si>
    <t>Plafonds 
cumulés</t>
  </si>
  <si>
    <t>TA/T1 
cumulées</t>
  </si>
  <si>
    <t>TA/T1
du mois</t>
  </si>
  <si>
    <t>TB/T2
 du mois</t>
  </si>
  <si>
    <t>JANVIER</t>
  </si>
  <si>
    <t>FÉVRIER</t>
  </si>
  <si>
    <t>MARS</t>
  </si>
  <si>
    <t>AVRIL</t>
  </si>
  <si>
    <t>MAI</t>
  </si>
  <si>
    <t>Regularisation mensuelle progressive des cotisations de maladie</t>
  </si>
  <si>
    <t>Assiette 
 7%</t>
  </si>
  <si>
    <t>2,5 SMIC</t>
  </si>
  <si>
    <t>CUMUL 2,5 SMIC</t>
  </si>
  <si>
    <t xml:space="preserve">Complément
6% </t>
  </si>
  <si>
    <t>Assiette cumulé
6%</t>
  </si>
  <si>
    <t>Assiette 6%
du mois</t>
  </si>
  <si>
    <t>Patronale
maladie</t>
  </si>
  <si>
    <t>Regularisation mensuelle progressive des cotisations d'allocations familiales</t>
  </si>
  <si>
    <t>Assiette 
 3,45%</t>
  </si>
  <si>
    <t>3,5 SMIC</t>
  </si>
  <si>
    <t>CUMUL 3,5 SMIC</t>
  </si>
  <si>
    <t xml:space="preserve">Complément
1,8% </t>
  </si>
  <si>
    <t>Assiette cumulée
1,8%</t>
  </si>
  <si>
    <t>Assiette 1,8%
du mois</t>
  </si>
  <si>
    <t xml:space="preserve">ALLEGEMENT GENERAL DE COTISATIONS </t>
  </si>
  <si>
    <t>Remarque</t>
  </si>
  <si>
    <t>Regularisation mensuelle progressive de la cotisation CET</t>
  </si>
  <si>
    <t>CET à payer</t>
  </si>
  <si>
    <t>CET 
cumulées</t>
  </si>
  <si>
    <t>Jours rémunérés</t>
  </si>
  <si>
    <t>28-7</t>
  </si>
  <si>
    <t>21-7</t>
  </si>
  <si>
    <t>IJSS nettes</t>
  </si>
  <si>
    <t>Retenues salariales</t>
  </si>
  <si>
    <t>IJSS</t>
  </si>
  <si>
    <t>IJSS brutes</t>
  </si>
  <si>
    <t>CADRE</t>
  </si>
  <si>
    <t>Salaire minimum de la catégorie du salarié</t>
  </si>
  <si>
    <t>Assiette CET 
du mois</t>
  </si>
  <si>
    <t>Heures supplémentaires</t>
  </si>
  <si>
    <t>Heures supplémentaires à 110%</t>
  </si>
  <si>
    <t>Bonification du samedi</t>
  </si>
  <si>
    <t>Cotisations salariales</t>
  </si>
  <si>
    <t>Moyenne cotisations / salaires</t>
  </si>
  <si>
    <t>ce taux est inférieur à 11,31%</t>
  </si>
  <si>
    <t>1/26</t>
  </si>
  <si>
    <t>Nombre de jours pris</t>
  </si>
  <si>
    <t>Indemnité de congé</t>
  </si>
  <si>
    <t>Indemnité payés sur les 4 semaines de congés en juillet et aout</t>
  </si>
  <si>
    <t>CONGES PAYES</t>
  </si>
  <si>
    <t>Assiette</t>
  </si>
  <si>
    <t>1/10</t>
  </si>
  <si>
    <t>Le plus favorable</t>
  </si>
  <si>
    <t>ALLEGEMENT GENERAL DE COTISATIONS = ALLEGEMENT FILLON</t>
  </si>
  <si>
    <t>Abonnement transport</t>
  </si>
  <si>
    <t>Commissions</t>
  </si>
  <si>
    <t>Prime ancienneté</t>
  </si>
  <si>
    <t>Sous total</t>
  </si>
  <si>
    <t>AN</t>
  </si>
  <si>
    <t>brut</t>
  </si>
  <si>
    <t>Prélèvement à la source</t>
  </si>
  <si>
    <t>Assiette de saisie</t>
  </si>
  <si>
    <t>DE</t>
  </si>
  <si>
    <t>A</t>
  </si>
  <si>
    <t>Part saisissable</t>
  </si>
  <si>
    <t>Saisie</t>
  </si>
  <si>
    <t>Cumuls</t>
  </si>
  <si>
    <t>1/20</t>
  </si>
  <si>
    <t>1/5</t>
  </si>
  <si>
    <t>1/4</t>
  </si>
  <si>
    <t>Heures bonifiées du dimanche</t>
  </si>
  <si>
    <t>Salaire periode de reference 20</t>
  </si>
  <si>
    <t>Salaire periode de reference 21</t>
  </si>
  <si>
    <t>2200*5mois</t>
  </si>
  <si>
    <t>Indemnités journalières de sécurité sociale</t>
  </si>
  <si>
    <t xml:space="preserve">CSG non déductible </t>
  </si>
  <si>
    <t>Salaire imposable</t>
  </si>
  <si>
    <t>Assiette prélèvement à la source</t>
  </si>
  <si>
    <t>CSG déductibble 3,8%</t>
  </si>
  <si>
    <t xml:space="preserve">Salaires </t>
  </si>
  <si>
    <t>2100*7 mois</t>
  </si>
  <si>
    <t xml:space="preserve">Par jour </t>
  </si>
  <si>
    <t>régul au 1/10</t>
  </si>
  <si>
    <t>3428*29/30</t>
  </si>
  <si>
    <t>SAISIE</t>
  </si>
  <si>
    <t>Salaire net après retenues</t>
  </si>
  <si>
    <t>Retenue sur salaire</t>
  </si>
  <si>
    <t>Régle du dixième sur période de référence du 1/6/20 au 31/5/21</t>
  </si>
  <si>
    <t>2570 / 30</t>
  </si>
  <si>
    <t>24 jours en juillet</t>
  </si>
  <si>
    <t>24*85,67</t>
  </si>
  <si>
    <t>Salaire de base en juillet 21</t>
  </si>
  <si>
    <t>2200/26</t>
  </si>
  <si>
    <t>Montant de l'indemnité versée</t>
  </si>
  <si>
    <t>24 * 84,62</t>
  </si>
  <si>
    <t>Régularisation règle du dixième sur juillet</t>
  </si>
  <si>
    <t>5EME SEMAINE</t>
  </si>
  <si>
    <t>Par jour règle du dixième</t>
  </si>
  <si>
    <t>Par jour règle du maintien par jour</t>
  </si>
  <si>
    <t>Indemnité par maintien</t>
  </si>
  <si>
    <t>84,62*6</t>
  </si>
  <si>
    <t>Indemnité par règle du dixième</t>
  </si>
  <si>
    <t>85,67*6</t>
  </si>
  <si>
    <t>2900*7 mois</t>
  </si>
  <si>
    <t>2950*5mois</t>
  </si>
  <si>
    <t>24*116,83</t>
  </si>
  <si>
    <t>6 jours en décembre</t>
  </si>
  <si>
    <t>6*116,84</t>
  </si>
  <si>
    <t>Régularisation au dixième</t>
  </si>
  <si>
    <t>2950*7 mois</t>
  </si>
  <si>
    <t xml:space="preserve">Salaire janvier </t>
  </si>
  <si>
    <t xml:space="preserve">Salaire février </t>
  </si>
  <si>
    <t xml:space="preserve">Salaire mars </t>
  </si>
  <si>
    <t xml:space="preserve">Salaire avril </t>
  </si>
  <si>
    <t>Règle du dixième</t>
  </si>
  <si>
    <t>Règle du maintien</t>
  </si>
  <si>
    <t>salaire avril</t>
  </si>
  <si>
    <t>Nombre de jours</t>
  </si>
  <si>
    <t>Indemnité</t>
  </si>
  <si>
    <t>Régularisation cp</t>
  </si>
  <si>
    <t>Indemnité de congés payés</t>
  </si>
  <si>
    <t>Assiette de calcul de la règle du dixième</t>
  </si>
  <si>
    <t>3505 / 30</t>
  </si>
  <si>
    <t>Indemnité selon la règle du dixième</t>
  </si>
  <si>
    <t>Salaire de base en 21</t>
  </si>
  <si>
    <t>2950/26</t>
  </si>
  <si>
    <t>Indemnité payée en juillet</t>
  </si>
  <si>
    <t>24*113,46</t>
  </si>
  <si>
    <t>Indemnité payée en décembre</t>
  </si>
  <si>
    <t>6*113,47</t>
  </si>
  <si>
    <t>Indemnité réglée en 2021</t>
  </si>
  <si>
    <t>Le plus favorable = règle du dixième</t>
  </si>
  <si>
    <t>Période 1/6/20 au 31/5/21</t>
  </si>
  <si>
    <t>Période 1/6/21 au 30/4/22</t>
  </si>
  <si>
    <t>3300+101,15</t>
  </si>
  <si>
    <t>3200/26</t>
  </si>
  <si>
    <t>Nombre de jours selon la règle des 4 semaines</t>
  </si>
  <si>
    <t>123,08*30</t>
  </si>
  <si>
    <t>Indemnité selon la règle du maintien</t>
  </si>
  <si>
    <t>Le plus favorable = règle du maintien</t>
  </si>
  <si>
    <t>3345,12/30</t>
  </si>
  <si>
    <t>111,50*30</t>
  </si>
  <si>
    <t>Indemnité compensatrice de congés payés</t>
  </si>
  <si>
    <t>BULLETINS DE PAIE EN 2022</t>
  </si>
  <si>
    <t>Sécurité sociale - Maladie - Maternité - Invalidité décès complémentaire</t>
  </si>
  <si>
    <t>Absences pour arrêts de travail</t>
  </si>
  <si>
    <t>1/3</t>
  </si>
  <si>
    <t>2/3</t>
  </si>
  <si>
    <t>Montant de l'opposition</t>
  </si>
  <si>
    <t>Montabt à déduire</t>
  </si>
  <si>
    <t>SALAIRES 2022</t>
  </si>
  <si>
    <t>Janvier</t>
  </si>
  <si>
    <t>Février</t>
  </si>
  <si>
    <t>Mars</t>
  </si>
  <si>
    <t>Avril</t>
  </si>
  <si>
    <t>base</t>
  </si>
  <si>
    <t>Autres</t>
  </si>
  <si>
    <t>BRUT</t>
  </si>
  <si>
    <t>3428*27/30</t>
  </si>
  <si>
    <t>Sécurité sociale - Maladie - Maternité - Invalidité décès complément</t>
  </si>
  <si>
    <t xml:space="preserve">IJSS imposables </t>
  </si>
  <si>
    <t>13 eme mois sur 4 mois</t>
  </si>
  <si>
    <t>4/12</t>
  </si>
  <si>
    <t>Prorata du 13eme mois</t>
  </si>
  <si>
    <t>HORS MALADIE IL PERCEVAIT</t>
  </si>
  <si>
    <t>SALAIRE BRUT</t>
  </si>
  <si>
    <t>ABSENCE</t>
  </si>
  <si>
    <t>1603,12*1791,54/2231,54</t>
  </si>
  <si>
    <t>CONGES PAYES période de référence 21/22 sans les AN et sans les primes d'ancienneté</t>
  </si>
  <si>
    <t>Salaire d'avril</t>
  </si>
  <si>
    <t>19-3</t>
  </si>
  <si>
    <t>19-7</t>
  </si>
  <si>
    <t>64,52 * 90%</t>
  </si>
  <si>
    <t>12 * 58,06</t>
  </si>
  <si>
    <t>1603,12*1076/2000</t>
  </si>
  <si>
    <t>NET IMPOSABLE</t>
  </si>
  <si>
    <t>Au niveau du salarié</t>
  </si>
  <si>
    <t>Salaire net perçu</t>
  </si>
  <si>
    <t>Indemnités versées par la Sécurité Sociale</t>
  </si>
  <si>
    <t>IJSS Nettes avant prélèvement à la source</t>
  </si>
  <si>
    <t>CSG CRDS Non déductible à 2,90%</t>
  </si>
  <si>
    <t>526,03 * 2,90%</t>
  </si>
  <si>
    <t>Assiette de prélèvement à la source</t>
  </si>
  <si>
    <t>506,04 * 5,15%</t>
  </si>
  <si>
    <t>Indemnités de sécurité sociale versée au salarié</t>
  </si>
  <si>
    <t>490,78 - 26,06</t>
  </si>
  <si>
    <t>Indemnités journalières nettes perçues</t>
  </si>
  <si>
    <t>Total mensuel perçu par le salarié</t>
  </si>
  <si>
    <t>Totat perçu par le salarié hors subrogation</t>
  </si>
  <si>
    <t>Salaire perçu par le salarié en cas de subrogation</t>
  </si>
  <si>
    <t>CSG non déductible à 2,90%</t>
  </si>
  <si>
    <t>CSG déductible 3,8%</t>
  </si>
  <si>
    <t>csg nd</t>
  </si>
  <si>
    <t>csg d</t>
  </si>
  <si>
    <t>ARRET DE TRAVAIL ACCIDENT DU TRAVAIL</t>
  </si>
  <si>
    <t>18 * 58,06</t>
  </si>
  <si>
    <t>IJSS imposables sur 50%</t>
  </si>
  <si>
    <t>1603,12*1173,81/2000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</si>
</sst>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6" formatCode="#,##0\ &quot;€&quot;;[Red]\-#,##0\ &quot;€&quot;"/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,##0.00\ &quot;€&quot;"/>
    <numFmt numFmtId="167" formatCode="_-* #,##0.00\ [$€-40C]_-;\-* #,##0.00\ [$€-40C]_-;_-* &quot;-&quot;??\ [$€-40C]_-;_-@_-"/>
    <numFmt numFmtId="168" formatCode="0.000%"/>
    <numFmt numFmtId="169" formatCode="0.0000%"/>
    <numFmt numFmtId="170" formatCode="0.00000%"/>
    <numFmt numFmtId="171" formatCode="_-* #,##0\ &quot;€&quot;_-;\-* #,##0\ &quot;€&quot;_-;_-* &quot;-&quot;??\ &quot;€&quot;_-;_-@_-"/>
    <numFmt numFmtId="172" formatCode="#,##0.00\ [$€-40C];[Red]\-#,##0.00\ [$€-40C]"/>
    <numFmt numFmtId="173" formatCode="_-* #,##0.0000_-;\-* #,##0.0000_-;_-* &quot;-&quot;??_-;_-@_-"/>
    <numFmt numFmtId="174" formatCode="mmmm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8"/>
      <color rgb="FFFF0000"/>
      <name val="Times New Roman"/>
      <family val="1"/>
    </font>
    <font>
      <b/>
      <sz val="10"/>
      <name val="Arial"/>
      <family val="2"/>
    </font>
    <font>
      <sz val="10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rgb="FF000000"/>
      <name val="Calibri"/>
      <family val="2"/>
      <scheme val="minor"/>
    </font>
    <font>
      <b/>
      <sz val="22"/>
      <color rgb="FFFF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b/>
      <sz val="14"/>
      <color rgb="FFFF0000"/>
      <name val="Times New Roman"/>
      <family val="1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b/>
      <sz val="10"/>
      <color rgb="FFFF0000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</fills>
  <borders count="1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</cellStyleXfs>
  <cellXfs count="611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/>
    <xf numFmtId="44" fontId="0" fillId="0" borderId="0" xfId="0" applyNumberFormat="1"/>
    <xf numFmtId="0" fontId="2" fillId="0" borderId="0" xfId="0" applyFont="1"/>
    <xf numFmtId="0" fontId="7" fillId="0" borderId="0" xfId="0" applyFont="1" applyAlignment="1">
      <alignment vertical="center"/>
    </xf>
    <xf numFmtId="0" fontId="9" fillId="3" borderId="12" xfId="4" applyFont="1" applyFill="1" applyBorder="1" applyAlignment="1">
      <alignment horizontal="centerContinuous" vertical="center"/>
    </xf>
    <xf numFmtId="0" fontId="7" fillId="3" borderId="13" xfId="0" applyFont="1" applyFill="1" applyBorder="1" applyAlignment="1">
      <alignment horizontal="centerContinuous" vertical="center"/>
    </xf>
    <xf numFmtId="0" fontId="7" fillId="3" borderId="14" xfId="0" applyFont="1" applyFill="1" applyBorder="1" applyAlignment="1">
      <alignment horizontal="centerContinuous" vertical="center"/>
    </xf>
    <xf numFmtId="0" fontId="10" fillId="2" borderId="0" xfId="0" applyFont="1" applyFill="1" applyAlignment="1">
      <alignment horizontal="center" vertical="center"/>
    </xf>
    <xf numFmtId="0" fontId="11" fillId="0" borderId="1" xfId="4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4" fontId="8" fillId="0" borderId="4" xfId="4" applyNumberForma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44" fontId="7" fillId="0" borderId="3" xfId="1" applyFont="1" applyBorder="1" applyAlignment="1">
      <alignment vertical="center"/>
    </xf>
    <xf numFmtId="2" fontId="7" fillId="0" borderId="6" xfId="0" applyNumberFormat="1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164" fontId="7" fillId="0" borderId="6" xfId="3" applyNumberFormat="1" applyFont="1" applyBorder="1" applyAlignment="1">
      <alignment vertical="center"/>
    </xf>
    <xf numFmtId="165" fontId="7" fillId="0" borderId="6" xfId="0" applyNumberFormat="1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10" fontId="13" fillId="0" borderId="6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7" fillId="0" borderId="5" xfId="0" applyFont="1" applyBorder="1" applyAlignment="1">
      <alignment horizontal="right" vertical="center"/>
    </xf>
    <xf numFmtId="8" fontId="7" fillId="0" borderId="6" xfId="0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14" fontId="7" fillId="0" borderId="5" xfId="0" applyNumberFormat="1" applyFont="1" applyBorder="1" applyAlignment="1">
      <alignment vertical="center"/>
    </xf>
    <xf numFmtId="14" fontId="7" fillId="0" borderId="6" xfId="0" applyNumberFormat="1" applyFont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1" fillId="4" borderId="19" xfId="4" applyFont="1" applyFill="1" applyBorder="1" applyAlignment="1">
      <alignment horizontal="center" vertical="center"/>
    </xf>
    <xf numFmtId="0" fontId="11" fillId="4" borderId="20" xfId="4" applyFont="1" applyFill="1" applyBorder="1" applyAlignment="1">
      <alignment horizontal="center" vertical="center"/>
    </xf>
    <xf numFmtId="44" fontId="12" fillId="0" borderId="6" xfId="1" applyFont="1" applyFill="1" applyBorder="1" applyAlignment="1">
      <alignment vertical="center"/>
    </xf>
    <xf numFmtId="0" fontId="9" fillId="3" borderId="19" xfId="4" applyFont="1" applyFill="1" applyBorder="1" applyAlignment="1">
      <alignment horizontal="centerContinuous" vertical="center"/>
    </xf>
    <xf numFmtId="0" fontId="7" fillId="3" borderId="20" xfId="0" applyFont="1" applyFill="1" applyBorder="1" applyAlignment="1">
      <alignment horizontal="centerContinuous" vertical="center"/>
    </xf>
    <xf numFmtId="0" fontId="7" fillId="3" borderId="21" xfId="0" applyFont="1" applyFill="1" applyBorder="1" applyAlignment="1">
      <alignment horizontal="centerContinuous" vertical="center"/>
    </xf>
    <xf numFmtId="44" fontId="12" fillId="0" borderId="6" xfId="0" applyNumberFormat="1" applyFont="1" applyBorder="1" applyAlignment="1">
      <alignment vertical="center"/>
    </xf>
    <xf numFmtId="0" fontId="11" fillId="0" borderId="22" xfId="4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7" fillId="6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2" fontId="7" fillId="0" borderId="2" xfId="0" applyNumberFormat="1" applyFont="1" applyBorder="1" applyAlignment="1">
      <alignment vertical="center"/>
    </xf>
    <xf numFmtId="166" fontId="7" fillId="0" borderId="2" xfId="0" applyNumberFormat="1" applyFont="1" applyBorder="1" applyAlignment="1">
      <alignment horizontal="right" vertical="center"/>
    </xf>
    <xf numFmtId="0" fontId="7" fillId="6" borderId="24" xfId="0" applyFont="1" applyFill="1" applyBorder="1" applyAlignment="1">
      <alignment vertical="center"/>
    </xf>
    <xf numFmtId="44" fontId="7" fillId="6" borderId="3" xfId="1" applyFont="1" applyFill="1" applyBorder="1" applyAlignment="1">
      <alignment vertical="center"/>
    </xf>
    <xf numFmtId="0" fontId="15" fillId="0" borderId="4" xfId="0" applyFont="1" applyBorder="1" applyAlignment="1">
      <alignment vertical="center"/>
    </xf>
    <xf numFmtId="165" fontId="15" fillId="0" borderId="6" xfId="0" applyNumberFormat="1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2" fontId="7" fillId="0" borderId="11" xfId="0" applyNumberFormat="1" applyFont="1" applyBorder="1" applyAlignment="1">
      <alignment vertical="center"/>
    </xf>
    <xf numFmtId="166" fontId="7" fillId="0" borderId="11" xfId="0" applyNumberFormat="1" applyFont="1" applyBorder="1" applyAlignment="1">
      <alignment horizontal="right" vertical="center"/>
    </xf>
    <xf numFmtId="44" fontId="7" fillId="0" borderId="26" xfId="1" applyFont="1" applyBorder="1" applyAlignment="1">
      <alignment vertical="center"/>
    </xf>
    <xf numFmtId="0" fontId="7" fillId="6" borderId="27" xfId="0" applyFont="1" applyFill="1" applyBorder="1" applyAlignment="1">
      <alignment vertical="center"/>
    </xf>
    <xf numFmtId="44" fontId="7" fillId="6" borderId="26" xfId="1" applyFont="1" applyFill="1" applyBorder="1" applyAlignment="1">
      <alignment vertical="center"/>
    </xf>
    <xf numFmtId="2" fontId="7" fillId="0" borderId="11" xfId="0" applyNumberFormat="1" applyFont="1" applyBorder="1" applyAlignment="1">
      <alignment horizontal="right" vertical="center"/>
    </xf>
    <xf numFmtId="9" fontId="7" fillId="0" borderId="6" xfId="0" applyNumberFormat="1" applyFont="1" applyBorder="1" applyAlignment="1">
      <alignment vertical="center"/>
    </xf>
    <xf numFmtId="44" fontId="7" fillId="0" borderId="5" xfId="1" applyFont="1" applyBorder="1" applyAlignment="1">
      <alignment vertical="center"/>
    </xf>
    <xf numFmtId="44" fontId="7" fillId="0" borderId="6" xfId="1" applyFont="1" applyBorder="1" applyAlignment="1">
      <alignment vertical="center"/>
    </xf>
    <xf numFmtId="0" fontId="7" fillId="6" borderId="28" xfId="0" applyFont="1" applyFill="1" applyBorder="1" applyAlignment="1">
      <alignment vertical="center"/>
    </xf>
    <xf numFmtId="44" fontId="7" fillId="6" borderId="6" xfId="0" applyNumberFormat="1" applyFont="1" applyFill="1" applyBorder="1" applyAlignment="1">
      <alignment vertical="center"/>
    </xf>
    <xf numFmtId="165" fontId="7" fillId="0" borderId="9" xfId="2" applyNumberFormat="1" applyFont="1" applyBorder="1" applyAlignment="1">
      <alignment vertical="center"/>
    </xf>
    <xf numFmtId="0" fontId="7" fillId="6" borderId="6" xfId="0" applyFont="1" applyFill="1" applyBorder="1" applyAlignment="1">
      <alignment vertical="center"/>
    </xf>
    <xf numFmtId="10" fontId="0" fillId="0" borderId="6" xfId="2" applyNumberFormat="1" applyFont="1" applyBorder="1" applyAlignment="1">
      <alignment horizontal="center" vertical="center"/>
    </xf>
    <xf numFmtId="0" fontId="16" fillId="0" borderId="0" xfId="0" applyFont="1"/>
    <xf numFmtId="0" fontId="0" fillId="0" borderId="7" xfId="0" applyBorder="1" applyAlignment="1">
      <alignment vertical="center"/>
    </xf>
    <xf numFmtId="44" fontId="0" fillId="0" borderId="9" xfId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7" fontId="7" fillId="6" borderId="28" xfId="0" applyNumberFormat="1" applyFont="1" applyFill="1" applyBorder="1" applyAlignment="1">
      <alignment vertical="center"/>
    </xf>
    <xf numFmtId="167" fontId="7" fillId="6" borderId="6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vertical="center"/>
    </xf>
    <xf numFmtId="44" fontId="7" fillId="0" borderId="29" xfId="1" applyFont="1" applyBorder="1" applyAlignment="1">
      <alignment vertical="center"/>
    </xf>
    <xf numFmtId="167" fontId="7" fillId="6" borderId="30" xfId="0" applyNumberFormat="1" applyFont="1" applyFill="1" applyBorder="1" applyAlignment="1">
      <alignment vertical="center"/>
    </xf>
    <xf numFmtId="167" fontId="7" fillId="6" borderId="31" xfId="0" applyNumberFormat="1" applyFont="1" applyFill="1" applyBorder="1" applyAlignment="1">
      <alignment vertical="center"/>
    </xf>
    <xf numFmtId="0" fontId="7" fillId="0" borderId="32" xfId="0" applyFont="1" applyBorder="1" applyAlignment="1">
      <alignment vertical="center"/>
    </xf>
    <xf numFmtId="44" fontId="13" fillId="7" borderId="33" xfId="1" applyFont="1" applyFill="1" applyBorder="1" applyAlignment="1">
      <alignment horizontal="right" vertical="center" wrapText="1"/>
    </xf>
    <xf numFmtId="9" fontId="12" fillId="0" borderId="10" xfId="0" applyNumberFormat="1" applyFont="1" applyBorder="1" applyAlignment="1">
      <alignment vertical="center"/>
    </xf>
    <xf numFmtId="44" fontId="12" fillId="0" borderId="29" xfId="1" applyFont="1" applyBorder="1" applyAlignment="1">
      <alignment vertical="center"/>
    </xf>
    <xf numFmtId="9" fontId="12" fillId="6" borderId="34" xfId="0" applyNumberFormat="1" applyFont="1" applyFill="1" applyBorder="1" applyAlignment="1">
      <alignment vertical="center"/>
    </xf>
    <xf numFmtId="44" fontId="7" fillId="6" borderId="18" xfId="1" applyFont="1" applyFill="1" applyBorder="1" applyAlignment="1">
      <alignment vertical="center"/>
    </xf>
    <xf numFmtId="44" fontId="12" fillId="0" borderId="35" xfId="1" applyFont="1" applyBorder="1" applyAlignment="1">
      <alignment vertical="center"/>
    </xf>
    <xf numFmtId="44" fontId="13" fillId="7" borderId="36" xfId="1" applyFont="1" applyFill="1" applyBorder="1" applyAlignment="1">
      <alignment horizontal="right" vertical="center" wrapText="1"/>
    </xf>
    <xf numFmtId="9" fontId="12" fillId="0" borderId="36" xfId="0" applyNumberFormat="1" applyFont="1" applyBorder="1" applyAlignment="1">
      <alignment vertical="center"/>
    </xf>
    <xf numFmtId="44" fontId="12" fillId="0" borderId="37" xfId="1" applyFont="1" applyBorder="1" applyAlignment="1">
      <alignment vertical="center"/>
    </xf>
    <xf numFmtId="9" fontId="12" fillId="6" borderId="0" xfId="0" applyNumberFormat="1" applyFont="1" applyFill="1" applyAlignment="1">
      <alignment vertical="center"/>
    </xf>
    <xf numFmtId="44" fontId="7" fillId="6" borderId="38" xfId="1" applyFont="1" applyFill="1" applyBorder="1" applyAlignment="1">
      <alignment vertical="center"/>
    </xf>
    <xf numFmtId="44" fontId="12" fillId="0" borderId="22" xfId="1" applyFont="1" applyBorder="1" applyAlignment="1">
      <alignment vertical="center"/>
    </xf>
    <xf numFmtId="44" fontId="12" fillId="0" borderId="39" xfId="1" applyFont="1" applyBorder="1" applyAlignment="1">
      <alignment vertical="center"/>
    </xf>
    <xf numFmtId="0" fontId="18" fillId="7" borderId="40" xfId="0" applyFont="1" applyFill="1" applyBorder="1" applyAlignment="1">
      <alignment horizontal="left" vertical="center" wrapText="1" readingOrder="1"/>
    </xf>
    <xf numFmtId="0" fontId="7" fillId="0" borderId="33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44" fontId="7" fillId="2" borderId="42" xfId="1" applyFont="1" applyFill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13" fillId="7" borderId="44" xfId="0" applyFont="1" applyFill="1" applyBorder="1" applyAlignment="1">
      <alignment horizontal="right" vertical="center" wrapText="1"/>
    </xf>
    <xf numFmtId="0" fontId="19" fillId="7" borderId="44" xfId="0" applyFont="1" applyFill="1" applyBorder="1" applyAlignment="1">
      <alignment horizontal="left" vertical="center" wrapText="1" readingOrder="1"/>
    </xf>
    <xf numFmtId="0" fontId="19" fillId="7" borderId="45" xfId="0" applyFont="1" applyFill="1" applyBorder="1" applyAlignment="1">
      <alignment horizontal="left" vertical="center" wrapText="1" readingOrder="1"/>
    </xf>
    <xf numFmtId="44" fontId="19" fillId="7" borderId="46" xfId="0" applyNumberFormat="1" applyFont="1" applyFill="1" applyBorder="1" applyAlignment="1">
      <alignment horizontal="left" vertical="center" wrapText="1" readingOrder="1"/>
    </xf>
    <xf numFmtId="0" fontId="18" fillId="3" borderId="47" xfId="0" applyFont="1" applyFill="1" applyBorder="1" applyAlignment="1">
      <alignment horizontal="left" vertical="center" wrapText="1" readingOrder="1"/>
    </xf>
    <xf numFmtId="0" fontId="18" fillId="3" borderId="48" xfId="0" applyFont="1" applyFill="1" applyBorder="1" applyAlignment="1">
      <alignment horizontal="center" vertical="center" wrapText="1" readingOrder="1"/>
    </xf>
    <xf numFmtId="0" fontId="18" fillId="3" borderId="49" xfId="0" applyFont="1" applyFill="1" applyBorder="1" applyAlignment="1">
      <alignment horizontal="center" vertical="center" wrapText="1" readingOrder="1"/>
    </xf>
    <xf numFmtId="0" fontId="18" fillId="8" borderId="35" xfId="0" applyFont="1" applyFill="1" applyBorder="1" applyAlignment="1">
      <alignment horizontal="left" vertical="center" wrapText="1" readingOrder="1"/>
    </xf>
    <xf numFmtId="0" fontId="13" fillId="8" borderId="36" xfId="0" applyFont="1" applyFill="1" applyBorder="1" applyAlignment="1">
      <alignment horizontal="center" vertical="center" wrapText="1"/>
    </xf>
    <xf numFmtId="0" fontId="18" fillId="8" borderId="36" xfId="0" applyFont="1" applyFill="1" applyBorder="1" applyAlignment="1">
      <alignment horizontal="center" vertical="center" wrapText="1" readingOrder="1"/>
    </xf>
    <xf numFmtId="0" fontId="18" fillId="8" borderId="50" xfId="0" applyFont="1" applyFill="1" applyBorder="1" applyAlignment="1">
      <alignment horizontal="center" vertical="center" wrapText="1" readingOrder="1"/>
    </xf>
    <xf numFmtId="0" fontId="18" fillId="8" borderId="37" xfId="0" applyFont="1" applyFill="1" applyBorder="1" applyAlignment="1">
      <alignment horizontal="center" vertical="center" wrapText="1" readingOrder="1"/>
    </xf>
    <xf numFmtId="0" fontId="19" fillId="7" borderId="35" xfId="0" applyFont="1" applyFill="1" applyBorder="1" applyAlignment="1">
      <alignment horizontal="left" vertical="center" wrapText="1" readingOrder="1"/>
    </xf>
    <xf numFmtId="0" fontId="13" fillId="7" borderId="36" xfId="0" applyFont="1" applyFill="1" applyBorder="1" applyAlignment="1">
      <alignment vertical="center" wrapText="1"/>
    </xf>
    <xf numFmtId="44" fontId="13" fillId="7" borderId="36" xfId="1" applyFont="1" applyFill="1" applyBorder="1" applyAlignment="1">
      <alignment vertical="center" wrapText="1"/>
    </xf>
    <xf numFmtId="10" fontId="12" fillId="0" borderId="6" xfId="0" applyNumberFormat="1" applyFont="1" applyBorder="1" applyAlignment="1">
      <alignment vertical="center"/>
    </xf>
    <xf numFmtId="44" fontId="13" fillId="7" borderId="37" xfId="1" applyFont="1" applyFill="1" applyBorder="1" applyAlignment="1">
      <alignment horizontal="right" vertical="center" wrapText="1"/>
    </xf>
    <xf numFmtId="10" fontId="19" fillId="7" borderId="36" xfId="0" applyNumberFormat="1" applyFont="1" applyFill="1" applyBorder="1" applyAlignment="1">
      <alignment horizontal="center" vertical="center" wrapText="1" readingOrder="1"/>
    </xf>
    <xf numFmtId="44" fontId="19" fillId="7" borderId="36" xfId="1" applyFont="1" applyFill="1" applyBorder="1" applyAlignment="1">
      <alignment horizontal="right" vertical="center" wrapText="1" readingOrder="1"/>
    </xf>
    <xf numFmtId="168" fontId="19" fillId="7" borderId="50" xfId="1" applyNumberFormat="1" applyFont="1" applyFill="1" applyBorder="1" applyAlignment="1">
      <alignment horizontal="right" vertical="center" wrapText="1" readingOrder="1"/>
    </xf>
    <xf numFmtId="0" fontId="18" fillId="7" borderId="35" xfId="0" applyFont="1" applyFill="1" applyBorder="1" applyAlignment="1">
      <alignment horizontal="left" vertical="center" wrapText="1" readingOrder="1"/>
    </xf>
    <xf numFmtId="168" fontId="19" fillId="0" borderId="36" xfId="0" applyNumberFormat="1" applyFont="1" applyBorder="1" applyAlignment="1">
      <alignment horizontal="right" vertical="center" wrapText="1" readingOrder="1"/>
    </xf>
    <xf numFmtId="0" fontId="19" fillId="7" borderId="36" xfId="0" applyFont="1" applyFill="1" applyBorder="1" applyAlignment="1">
      <alignment horizontal="center" vertical="center" wrapText="1" readingOrder="1"/>
    </xf>
    <xf numFmtId="44" fontId="20" fillId="2" borderId="37" xfId="1" applyFont="1" applyFill="1" applyBorder="1" applyAlignment="1">
      <alignment horizontal="right" vertical="center" wrapText="1"/>
    </xf>
    <xf numFmtId="168" fontId="13" fillId="7" borderId="50" xfId="1" applyNumberFormat="1" applyFont="1" applyFill="1" applyBorder="1" applyAlignment="1">
      <alignment horizontal="right" vertical="center" wrapText="1"/>
    </xf>
    <xf numFmtId="10" fontId="13" fillId="7" borderId="50" xfId="1" applyNumberFormat="1" applyFont="1" applyFill="1" applyBorder="1" applyAlignment="1">
      <alignment horizontal="right" vertical="center" wrapText="1"/>
    </xf>
    <xf numFmtId="168" fontId="19" fillId="7" borderId="36" xfId="0" applyNumberFormat="1" applyFont="1" applyFill="1" applyBorder="1" applyAlignment="1">
      <alignment horizontal="center" vertical="center" wrapText="1" readingOrder="1"/>
    </xf>
    <xf numFmtId="44" fontId="13" fillId="2" borderId="36" xfId="1" applyFont="1" applyFill="1" applyBorder="1" applyAlignment="1">
      <alignment horizontal="right" vertical="center" wrapText="1"/>
    </xf>
    <xf numFmtId="44" fontId="13" fillId="2" borderId="37" xfId="1" applyFont="1" applyFill="1" applyBorder="1" applyAlignment="1">
      <alignment horizontal="right" vertical="center" wrapText="1"/>
    </xf>
    <xf numFmtId="8" fontId="13" fillId="7" borderId="37" xfId="1" applyNumberFormat="1" applyFont="1" applyFill="1" applyBorder="1" applyAlignment="1">
      <alignment horizontal="right" vertical="center" wrapText="1"/>
    </xf>
    <xf numFmtId="0" fontId="21" fillId="8" borderId="35" xfId="0" applyFont="1" applyFill="1" applyBorder="1" applyAlignment="1">
      <alignment horizontal="left" vertical="center" wrapText="1" readingOrder="1"/>
    </xf>
    <xf numFmtId="168" fontId="19" fillId="7" borderId="36" xfId="0" applyNumberFormat="1" applyFont="1" applyFill="1" applyBorder="1" applyAlignment="1">
      <alignment horizontal="right" vertical="center" wrapText="1" readingOrder="1"/>
    </xf>
    <xf numFmtId="0" fontId="21" fillId="7" borderId="35" xfId="0" applyFont="1" applyFill="1" applyBorder="1" applyAlignment="1">
      <alignment horizontal="left" vertical="center" wrapText="1" readingOrder="1"/>
    </xf>
    <xf numFmtId="44" fontId="7" fillId="0" borderId="0" xfId="1" applyFont="1" applyBorder="1" applyAlignment="1">
      <alignment vertical="center"/>
    </xf>
    <xf numFmtId="0" fontId="18" fillId="7" borderId="51" xfId="0" applyFont="1" applyFill="1" applyBorder="1" applyAlignment="1">
      <alignment horizontal="left" vertical="center" wrapText="1" readingOrder="1"/>
    </xf>
    <xf numFmtId="43" fontId="13" fillId="7" borderId="52" xfId="3" applyFont="1" applyFill="1" applyBorder="1" applyAlignment="1">
      <alignment horizontal="right" vertical="center" wrapText="1"/>
    </xf>
    <xf numFmtId="0" fontId="7" fillId="0" borderId="53" xfId="0" applyFont="1" applyBorder="1" applyAlignment="1">
      <alignment vertical="center"/>
    </xf>
    <xf numFmtId="44" fontId="19" fillId="7" borderId="52" xfId="1" applyFont="1" applyFill="1" applyBorder="1" applyAlignment="1">
      <alignment horizontal="right" vertical="center" wrapText="1" readingOrder="1"/>
    </xf>
    <xf numFmtId="44" fontId="19" fillId="7" borderId="54" xfId="1" applyFont="1" applyFill="1" applyBorder="1" applyAlignment="1">
      <alignment horizontal="right" vertical="center" wrapText="1" readingOrder="1"/>
    </xf>
    <xf numFmtId="44" fontId="13" fillId="7" borderId="55" xfId="1" applyFont="1" applyFill="1" applyBorder="1" applyAlignment="1">
      <alignment horizontal="right" vertical="center" wrapText="1"/>
    </xf>
    <xf numFmtId="0" fontId="18" fillId="7" borderId="43" xfId="0" applyFont="1" applyFill="1" applyBorder="1" applyAlignment="1">
      <alignment horizontal="left" vertical="center" wrapText="1" readingOrder="1"/>
    </xf>
    <xf numFmtId="44" fontId="19" fillId="7" borderId="44" xfId="1" applyFont="1" applyFill="1" applyBorder="1" applyAlignment="1">
      <alignment horizontal="right" vertical="center" wrapText="1" readingOrder="1"/>
    </xf>
    <xf numFmtId="0" fontId="18" fillId="7" borderId="44" xfId="0" applyFont="1" applyFill="1" applyBorder="1" applyAlignment="1">
      <alignment horizontal="center" vertical="center" wrapText="1" readingOrder="1"/>
    </xf>
    <xf numFmtId="44" fontId="18" fillId="7" borderId="44" xfId="1" applyFont="1" applyFill="1" applyBorder="1" applyAlignment="1">
      <alignment horizontal="right" vertical="center" wrapText="1" readingOrder="1"/>
    </xf>
    <xf numFmtId="44" fontId="18" fillId="7" borderId="45" xfId="1" applyFont="1" applyFill="1" applyBorder="1" applyAlignment="1">
      <alignment horizontal="right" vertical="center" wrapText="1" readingOrder="1"/>
    </xf>
    <xf numFmtId="44" fontId="18" fillId="7" borderId="46" xfId="1" applyFont="1" applyFill="1" applyBorder="1" applyAlignment="1">
      <alignment horizontal="right" vertical="center" wrapText="1" readingOrder="1"/>
    </xf>
    <xf numFmtId="0" fontId="18" fillId="7" borderId="47" xfId="0" applyFont="1" applyFill="1" applyBorder="1" applyAlignment="1">
      <alignment horizontal="left" vertical="center" wrapText="1" readingOrder="1"/>
    </xf>
    <xf numFmtId="44" fontId="19" fillId="7" borderId="48" xfId="1" applyFont="1" applyFill="1" applyBorder="1" applyAlignment="1">
      <alignment horizontal="right" vertical="center" wrapText="1" readingOrder="1"/>
    </xf>
    <xf numFmtId="0" fontId="18" fillId="7" borderId="48" xfId="0" applyFont="1" applyFill="1" applyBorder="1" applyAlignment="1">
      <alignment horizontal="center" vertical="center" wrapText="1" readingOrder="1"/>
    </xf>
    <xf numFmtId="44" fontId="18" fillId="7" borderId="48" xfId="1" applyFont="1" applyFill="1" applyBorder="1" applyAlignment="1">
      <alignment horizontal="right" vertical="center" wrapText="1" readingOrder="1"/>
    </xf>
    <xf numFmtId="44" fontId="18" fillId="7" borderId="56" xfId="1" applyFont="1" applyFill="1" applyBorder="1" applyAlignment="1">
      <alignment horizontal="right" vertical="center" wrapText="1" readingOrder="1"/>
    </xf>
    <xf numFmtId="44" fontId="18" fillId="7" borderId="57" xfId="1" applyFont="1" applyFill="1" applyBorder="1" applyAlignment="1">
      <alignment horizontal="right" vertical="center" wrapText="1" readingOrder="1"/>
    </xf>
    <xf numFmtId="0" fontId="18" fillId="7" borderId="36" xfId="0" applyFont="1" applyFill="1" applyBorder="1" applyAlignment="1">
      <alignment horizontal="center" vertical="center" wrapText="1" readingOrder="1"/>
    </xf>
    <xf numFmtId="44" fontId="18" fillId="7" borderId="36" xfId="1" applyFont="1" applyFill="1" applyBorder="1" applyAlignment="1">
      <alignment horizontal="right" vertical="center" wrapText="1" readingOrder="1"/>
    </xf>
    <xf numFmtId="44" fontId="18" fillId="7" borderId="50" xfId="1" applyFont="1" applyFill="1" applyBorder="1" applyAlignment="1">
      <alignment horizontal="right" vertical="center" wrapText="1" readingOrder="1"/>
    </xf>
    <xf numFmtId="44" fontId="18" fillId="7" borderId="39" xfId="1" applyFont="1" applyFill="1" applyBorder="1" applyAlignment="1">
      <alignment horizontal="right" vertical="center" wrapText="1" readingOrder="1"/>
    </xf>
    <xf numFmtId="0" fontId="19" fillId="7" borderId="40" xfId="0" applyFont="1" applyFill="1" applyBorder="1" applyAlignment="1">
      <alignment horizontal="left" vertical="center" wrapText="1" readingOrder="1"/>
    </xf>
    <xf numFmtId="44" fontId="18" fillId="7" borderId="33" xfId="1" applyFont="1" applyFill="1" applyBorder="1" applyAlignment="1">
      <alignment horizontal="right" vertical="center" wrapText="1" readingOrder="1"/>
    </xf>
    <xf numFmtId="0" fontId="0" fillId="0" borderId="4" xfId="0" applyBorder="1" applyAlignment="1">
      <alignment horizontal="left" vertical="center"/>
    </xf>
    <xf numFmtId="0" fontId="18" fillId="7" borderId="50" xfId="0" applyFont="1" applyFill="1" applyBorder="1" applyAlignment="1">
      <alignment horizontal="center" vertical="center" wrapText="1" readingOrder="1"/>
    </xf>
    <xf numFmtId="6" fontId="7" fillId="0" borderId="5" xfId="0" applyNumberFormat="1" applyFont="1" applyBorder="1" applyAlignment="1">
      <alignment horizontal="right" vertical="center"/>
    </xf>
    <xf numFmtId="44" fontId="18" fillId="7" borderId="58" xfId="1" applyFont="1" applyFill="1" applyBorder="1" applyAlignment="1">
      <alignment horizontal="right" vertical="center" wrapText="1" readingOrder="1"/>
    </xf>
    <xf numFmtId="0" fontId="19" fillId="7" borderId="59" xfId="0" applyFont="1" applyFill="1" applyBorder="1" applyAlignment="1">
      <alignment horizontal="left" vertical="center" wrapText="1" readingOrder="1"/>
    </xf>
    <xf numFmtId="44" fontId="18" fillId="7" borderId="60" xfId="1" applyFont="1" applyFill="1" applyBorder="1" applyAlignment="1">
      <alignment horizontal="right" vertical="center" wrapText="1" readingOrder="1"/>
    </xf>
    <xf numFmtId="0" fontId="18" fillId="7" borderId="52" xfId="0" applyFont="1" applyFill="1" applyBorder="1" applyAlignment="1">
      <alignment horizontal="center" vertical="center" wrapText="1" readingOrder="1"/>
    </xf>
    <xf numFmtId="44" fontId="18" fillId="7" borderId="52" xfId="1" applyFont="1" applyFill="1" applyBorder="1" applyAlignment="1">
      <alignment horizontal="right" vertical="center" wrapText="1" readingOrder="1"/>
    </xf>
    <xf numFmtId="44" fontId="18" fillId="7" borderId="54" xfId="1" applyFont="1" applyFill="1" applyBorder="1" applyAlignment="1">
      <alignment horizontal="right" vertical="center" wrapText="1" readingOrder="1"/>
    </xf>
    <xf numFmtId="0" fontId="22" fillId="7" borderId="43" xfId="0" applyFont="1" applyFill="1" applyBorder="1" applyAlignment="1">
      <alignment horizontal="left" vertical="center" wrapText="1" readingOrder="1"/>
    </xf>
    <xf numFmtId="44" fontId="23" fillId="7" borderId="61" xfId="1" applyFont="1" applyFill="1" applyBorder="1" applyAlignment="1">
      <alignment horizontal="right" vertical="center" wrapText="1"/>
    </xf>
    <xf numFmtId="0" fontId="18" fillId="7" borderId="62" xfId="0" applyFont="1" applyFill="1" applyBorder="1" applyAlignment="1">
      <alignment horizontal="left" vertical="center" wrapText="1" readingOrder="1"/>
    </xf>
    <xf numFmtId="44" fontId="19" fillId="2" borderId="60" xfId="1" applyFont="1" applyFill="1" applyBorder="1" applyAlignment="1">
      <alignment horizontal="right" vertical="center" wrapText="1" readingOrder="1"/>
    </xf>
    <xf numFmtId="0" fontId="18" fillId="2" borderId="60" xfId="0" applyFont="1" applyFill="1" applyBorder="1" applyAlignment="1">
      <alignment horizontal="center" vertical="center" wrapText="1" readingOrder="1"/>
    </xf>
    <xf numFmtId="44" fontId="18" fillId="2" borderId="60" xfId="1" applyFont="1" applyFill="1" applyBorder="1" applyAlignment="1">
      <alignment horizontal="right" vertical="center" wrapText="1" readingOrder="1"/>
    </xf>
    <xf numFmtId="44" fontId="18" fillId="2" borderId="63" xfId="1" applyFont="1" applyFill="1" applyBorder="1" applyAlignment="1">
      <alignment horizontal="right" vertical="center" wrapText="1" readingOrder="1"/>
    </xf>
    <xf numFmtId="44" fontId="13" fillId="2" borderId="64" xfId="1" applyFont="1" applyFill="1" applyBorder="1" applyAlignment="1">
      <alignment horizontal="right" vertical="center" wrapText="1"/>
    </xf>
    <xf numFmtId="0" fontId="18" fillId="9" borderId="33" xfId="0" applyFont="1" applyFill="1" applyBorder="1" applyAlignment="1">
      <alignment horizontal="center" vertical="center" wrapText="1" readingOrder="1"/>
    </xf>
    <xf numFmtId="0" fontId="18" fillId="9" borderId="41" xfId="0" applyFont="1" applyFill="1" applyBorder="1" applyAlignment="1">
      <alignment horizontal="right" vertical="center" wrapText="1" readingOrder="1"/>
    </xf>
    <xf numFmtId="0" fontId="18" fillId="9" borderId="68" xfId="0" applyFont="1" applyFill="1" applyBorder="1" applyAlignment="1">
      <alignment horizontal="center" vertical="center" wrapText="1" readingOrder="1"/>
    </xf>
    <xf numFmtId="0" fontId="18" fillId="9" borderId="69" xfId="0" applyFont="1" applyFill="1" applyBorder="1" applyAlignment="1">
      <alignment horizontal="right" vertical="center" wrapText="1" readingOrder="1"/>
    </xf>
    <xf numFmtId="44" fontId="13" fillId="7" borderId="44" xfId="1" applyFont="1" applyFill="1" applyBorder="1" applyAlignment="1">
      <alignment horizontal="center" vertical="center" wrapText="1"/>
    </xf>
    <xf numFmtId="0" fontId="18" fillId="7" borderId="44" xfId="0" applyFont="1" applyFill="1" applyBorder="1" applyAlignment="1">
      <alignment horizontal="right" vertical="center" wrapText="1" readingOrder="1"/>
    </xf>
    <xf numFmtId="0" fontId="18" fillId="7" borderId="45" xfId="0" applyFont="1" applyFill="1" applyBorder="1" applyAlignment="1">
      <alignment horizontal="right" vertical="center" wrapText="1" readingOrder="1"/>
    </xf>
    <xf numFmtId="44" fontId="13" fillId="7" borderId="61" xfId="0" applyNumberFormat="1" applyFont="1" applyFill="1" applyBorder="1" applyAlignment="1">
      <alignment horizontal="right" vertical="center" wrapText="1"/>
    </xf>
    <xf numFmtId="0" fontId="19" fillId="7" borderId="62" xfId="0" applyFont="1" applyFill="1" applyBorder="1" applyAlignment="1">
      <alignment horizontal="left" vertical="center" wrapText="1" readingOrder="1"/>
    </xf>
    <xf numFmtId="44" fontId="13" fillId="7" borderId="60" xfId="1" applyFont="1" applyFill="1" applyBorder="1" applyAlignment="1">
      <alignment vertical="center" wrapText="1"/>
    </xf>
    <xf numFmtId="0" fontId="19" fillId="7" borderId="60" xfId="0" applyFont="1" applyFill="1" applyBorder="1" applyAlignment="1">
      <alignment horizontal="left" vertical="center" wrapText="1" readingOrder="1"/>
    </xf>
    <xf numFmtId="0" fontId="18" fillId="7" borderId="60" xfId="0" applyFont="1" applyFill="1" applyBorder="1" applyAlignment="1">
      <alignment horizontal="left" vertical="center" wrapText="1" readingOrder="1"/>
    </xf>
    <xf numFmtId="0" fontId="18" fillId="7" borderId="63" xfId="0" applyFont="1" applyFill="1" applyBorder="1" applyAlignment="1">
      <alignment horizontal="left" vertical="center" wrapText="1" readingOrder="1"/>
    </xf>
    <xf numFmtId="44" fontId="13" fillId="7" borderId="71" xfId="0" applyNumberFormat="1" applyFont="1" applyFill="1" applyBorder="1" applyAlignment="1">
      <alignment horizontal="right" vertical="center" wrapText="1"/>
    </xf>
    <xf numFmtId="0" fontId="18" fillId="7" borderId="72" xfId="0" applyFont="1" applyFill="1" applyBorder="1" applyAlignment="1">
      <alignment horizontal="left" vertical="center" wrapText="1" readingOrder="1"/>
    </xf>
    <xf numFmtId="44" fontId="13" fillId="7" borderId="33" xfId="1" applyFont="1" applyFill="1" applyBorder="1" applyAlignment="1">
      <alignment horizontal="center" vertical="center" wrapText="1"/>
    </xf>
    <xf numFmtId="0" fontId="18" fillId="7" borderId="33" xfId="0" applyFont="1" applyFill="1" applyBorder="1" applyAlignment="1">
      <alignment horizontal="justify" vertical="center" wrapText="1" readingOrder="1"/>
    </xf>
    <xf numFmtId="0" fontId="18" fillId="7" borderId="36" xfId="0" applyFont="1" applyFill="1" applyBorder="1" applyAlignment="1">
      <alignment horizontal="left" vertical="center" wrapText="1" readingOrder="1"/>
    </xf>
    <xf numFmtId="0" fontId="18" fillId="7" borderId="50" xfId="0" applyFont="1" applyFill="1" applyBorder="1" applyAlignment="1">
      <alignment horizontal="left" vertical="center" wrapText="1" readingOrder="1"/>
    </xf>
    <xf numFmtId="44" fontId="13" fillId="7" borderId="73" xfId="0" applyNumberFormat="1" applyFont="1" applyFill="1" applyBorder="1" applyAlignment="1">
      <alignment horizontal="right" vertical="center" wrapText="1"/>
    </xf>
    <xf numFmtId="0" fontId="18" fillId="7" borderId="77" xfId="0" applyFont="1" applyFill="1" applyBorder="1" applyAlignment="1">
      <alignment horizontal="left" vertical="center" wrapText="1" readingOrder="1"/>
    </xf>
    <xf numFmtId="0" fontId="18" fillId="7" borderId="41" xfId="0" applyFont="1" applyFill="1" applyBorder="1" applyAlignment="1">
      <alignment horizontal="left" vertical="center" wrapText="1" readingOrder="1"/>
    </xf>
    <xf numFmtId="0" fontId="18" fillId="7" borderId="81" xfId="0" applyFont="1" applyFill="1" applyBorder="1" applyAlignment="1">
      <alignment horizontal="left" vertical="center" wrapText="1" readingOrder="1"/>
    </xf>
    <xf numFmtId="0" fontId="18" fillId="7" borderId="69" xfId="0" applyFont="1" applyFill="1" applyBorder="1" applyAlignment="1">
      <alignment horizontal="left" vertical="center" wrapText="1" readingOrder="1"/>
    </xf>
    <xf numFmtId="44" fontId="13" fillId="7" borderId="82" xfId="0" applyNumberFormat="1" applyFont="1" applyFill="1" applyBorder="1" applyAlignment="1">
      <alignment horizontal="right" vertical="center" wrapText="1"/>
    </xf>
    <xf numFmtId="0" fontId="19" fillId="7" borderId="83" xfId="0" applyFont="1" applyFill="1" applyBorder="1" applyAlignment="1">
      <alignment horizontal="left" vertical="center" wrapText="1" readingOrder="1"/>
    </xf>
    <xf numFmtId="44" fontId="18" fillId="7" borderId="84" xfId="1" applyFont="1" applyFill="1" applyBorder="1" applyAlignment="1">
      <alignment horizontal="center" vertical="center" wrapText="1" readingOrder="1"/>
    </xf>
    <xf numFmtId="0" fontId="14" fillId="0" borderId="85" xfId="0" applyFont="1" applyBorder="1" applyAlignment="1">
      <alignment horizontal="center" vertical="center" wrapText="1" readingOrder="1"/>
    </xf>
    <xf numFmtId="0" fontId="18" fillId="7" borderId="86" xfId="0" applyFont="1" applyFill="1" applyBorder="1" applyAlignment="1">
      <alignment horizontal="left" vertical="center" wrapText="1" readingOrder="1"/>
    </xf>
    <xf numFmtId="0" fontId="18" fillId="7" borderId="87" xfId="0" applyFont="1" applyFill="1" applyBorder="1" applyAlignment="1">
      <alignment horizontal="left" vertical="center" wrapText="1" readingOrder="1"/>
    </xf>
    <xf numFmtId="44" fontId="13" fillId="7" borderId="85" xfId="0" applyNumberFormat="1" applyFont="1" applyFill="1" applyBorder="1" applyAlignment="1">
      <alignment horizontal="right" vertical="center" wrapText="1"/>
    </xf>
    <xf numFmtId="0" fontId="19" fillId="7" borderId="88" xfId="0" applyFont="1" applyFill="1" applyBorder="1" applyAlignment="1">
      <alignment horizontal="left" vertical="center" wrapText="1" readingOrder="1"/>
    </xf>
    <xf numFmtId="44" fontId="19" fillId="7" borderId="72" xfId="1" applyFont="1" applyFill="1" applyBorder="1" applyAlignment="1">
      <alignment horizontal="left" vertical="center" wrapText="1" readingOrder="1"/>
    </xf>
    <xf numFmtId="0" fontId="7" fillId="0" borderId="89" xfId="0" applyFont="1" applyBorder="1" applyAlignment="1">
      <alignment vertical="center" wrapText="1" readingOrder="1"/>
    </xf>
    <xf numFmtId="0" fontId="18" fillId="7" borderId="90" xfId="0" applyFont="1" applyFill="1" applyBorder="1" applyAlignment="1">
      <alignment horizontal="left" vertical="center" wrapText="1" readingOrder="1"/>
    </xf>
    <xf numFmtId="44" fontId="13" fillId="7" borderId="89" xfId="0" applyNumberFormat="1" applyFont="1" applyFill="1" applyBorder="1" applyAlignment="1">
      <alignment horizontal="right" vertical="center" wrapText="1"/>
    </xf>
    <xf numFmtId="0" fontId="19" fillId="7" borderId="91" xfId="0" applyFont="1" applyFill="1" applyBorder="1" applyAlignment="1">
      <alignment horizontal="left" vertical="center" wrapText="1" readingOrder="1"/>
    </xf>
    <xf numFmtId="44" fontId="19" fillId="7" borderId="92" xfId="1" applyFont="1" applyFill="1" applyBorder="1" applyAlignment="1">
      <alignment horizontal="left" vertical="center" wrapText="1" readingOrder="1"/>
    </xf>
    <xf numFmtId="0" fontId="7" fillId="0" borderId="93" xfId="0" applyFont="1" applyBorder="1" applyAlignment="1">
      <alignment vertical="center" wrapText="1" readingOrder="1"/>
    </xf>
    <xf numFmtId="0" fontId="24" fillId="0" borderId="94" xfId="4" applyFont="1" applyBorder="1" applyAlignment="1">
      <alignment horizontal="left" vertical="center"/>
    </xf>
    <xf numFmtId="0" fontId="24" fillId="0" borderId="95" xfId="4" applyFont="1" applyBorder="1" applyAlignment="1">
      <alignment horizontal="center" vertical="center"/>
    </xf>
    <xf numFmtId="0" fontId="24" fillId="0" borderId="96" xfId="4" applyFont="1" applyBorder="1" applyAlignment="1">
      <alignment horizontal="center" vertical="center"/>
    </xf>
    <xf numFmtId="44" fontId="23" fillId="7" borderId="93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26" fillId="7" borderId="1" xfId="0" applyFont="1" applyFill="1" applyBorder="1" applyAlignment="1">
      <alignment vertical="center" wrapText="1"/>
    </xf>
    <xf numFmtId="169" fontId="26" fillId="7" borderId="2" xfId="2" applyNumberFormat="1" applyFont="1" applyFill="1" applyBorder="1" applyAlignment="1">
      <alignment horizontal="right" vertical="center"/>
    </xf>
    <xf numFmtId="8" fontId="27" fillId="7" borderId="3" xfId="0" applyNumberFormat="1" applyFont="1" applyFill="1" applyBorder="1" applyAlignment="1">
      <alignment horizontal="right" vertical="center"/>
    </xf>
    <xf numFmtId="0" fontId="26" fillId="7" borderId="4" xfId="0" applyFont="1" applyFill="1" applyBorder="1" applyAlignment="1">
      <alignment vertical="center" wrapText="1"/>
    </xf>
    <xf numFmtId="169" fontId="26" fillId="7" borderId="5" xfId="2" applyNumberFormat="1" applyFont="1" applyFill="1" applyBorder="1" applyAlignment="1">
      <alignment horizontal="right" vertical="center"/>
    </xf>
    <xf numFmtId="44" fontId="27" fillId="7" borderId="6" xfId="1" applyFont="1" applyFill="1" applyBorder="1" applyAlignment="1">
      <alignment horizontal="right" vertical="center"/>
    </xf>
    <xf numFmtId="167" fontId="7" fillId="0" borderId="5" xfId="0" applyNumberFormat="1" applyFont="1" applyBorder="1" applyAlignment="1">
      <alignment vertical="center"/>
    </xf>
    <xf numFmtId="10" fontId="7" fillId="0" borderId="5" xfId="0" applyNumberFormat="1" applyFont="1" applyBorder="1" applyAlignment="1">
      <alignment vertical="center"/>
    </xf>
    <xf numFmtId="167" fontId="7" fillId="0" borderId="6" xfId="0" applyNumberFormat="1" applyFont="1" applyBorder="1" applyAlignment="1">
      <alignment vertical="center"/>
    </xf>
    <xf numFmtId="167" fontId="7" fillId="0" borderId="8" xfId="0" applyNumberFormat="1" applyFont="1" applyBorder="1" applyAlignment="1">
      <alignment vertical="center"/>
    </xf>
    <xf numFmtId="10" fontId="7" fillId="0" borderId="8" xfId="0" applyNumberFormat="1" applyFont="1" applyBorder="1" applyAlignment="1">
      <alignment vertical="center"/>
    </xf>
    <xf numFmtId="167" fontId="7" fillId="0" borderId="9" xfId="0" applyNumberFormat="1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44" fontId="22" fillId="2" borderId="21" xfId="0" applyNumberFormat="1" applyFont="1" applyFill="1" applyBorder="1" applyAlignment="1">
      <alignment vertical="center"/>
    </xf>
    <xf numFmtId="0" fontId="7" fillId="0" borderId="84" xfId="0" applyFont="1" applyBorder="1" applyAlignment="1">
      <alignment vertical="center"/>
    </xf>
    <xf numFmtId="44" fontId="7" fillId="0" borderId="36" xfId="0" applyNumberFormat="1" applyFont="1" applyBorder="1" applyAlignment="1">
      <alignment vertical="center"/>
    </xf>
    <xf numFmtId="10" fontId="7" fillId="0" borderId="87" xfId="0" applyNumberFormat="1" applyFont="1" applyBorder="1" applyAlignment="1">
      <alignment vertical="center"/>
    </xf>
    <xf numFmtId="44" fontId="7" fillId="0" borderId="85" xfId="0" applyNumberFormat="1" applyFont="1" applyBorder="1" applyAlignment="1">
      <alignment vertical="center"/>
    </xf>
    <xf numFmtId="0" fontId="7" fillId="0" borderId="72" xfId="0" applyFont="1" applyBorder="1" applyAlignment="1">
      <alignment vertical="center"/>
    </xf>
    <xf numFmtId="10" fontId="7" fillId="0" borderId="36" xfId="0" applyNumberFormat="1" applyFont="1" applyBorder="1" applyAlignment="1">
      <alignment vertical="center"/>
    </xf>
    <xf numFmtId="44" fontId="7" fillId="0" borderId="89" xfId="0" applyNumberFormat="1" applyFont="1" applyBorder="1" applyAlignment="1">
      <alignment vertical="center"/>
    </xf>
    <xf numFmtId="167" fontId="19" fillId="7" borderId="36" xfId="0" applyNumberFormat="1" applyFont="1" applyFill="1" applyBorder="1" applyAlignment="1">
      <alignment horizontal="right" vertical="center" wrapText="1" readingOrder="1"/>
    </xf>
    <xf numFmtId="10" fontId="19" fillId="7" borderId="36" xfId="0" applyNumberFormat="1" applyFont="1" applyFill="1" applyBorder="1" applyAlignment="1">
      <alignment horizontal="right" vertical="center" wrapText="1" readingOrder="1"/>
    </xf>
    <xf numFmtId="8" fontId="19" fillId="7" borderId="36" xfId="0" applyNumberFormat="1" applyFont="1" applyFill="1" applyBorder="1" applyAlignment="1">
      <alignment horizontal="right" vertical="center" wrapText="1" readingOrder="1"/>
    </xf>
    <xf numFmtId="0" fontId="14" fillId="0" borderId="92" xfId="0" applyFont="1" applyBorder="1" applyAlignment="1">
      <alignment vertical="center"/>
    </xf>
    <xf numFmtId="44" fontId="7" fillId="0" borderId="96" xfId="0" applyNumberFormat="1" applyFont="1" applyBorder="1" applyAlignment="1">
      <alignment vertical="center"/>
    </xf>
    <xf numFmtId="170" fontId="7" fillId="0" borderId="96" xfId="0" applyNumberFormat="1" applyFont="1" applyBorder="1" applyAlignment="1">
      <alignment vertical="center"/>
    </xf>
    <xf numFmtId="44" fontId="22" fillId="2" borderId="93" xfId="1" applyFont="1" applyFill="1" applyBorder="1" applyAlignment="1">
      <alignment vertical="center"/>
    </xf>
    <xf numFmtId="0" fontId="12" fillId="0" borderId="84" xfId="0" applyFont="1" applyBorder="1" applyAlignment="1">
      <alignment vertical="center"/>
    </xf>
    <xf numFmtId="0" fontId="12" fillId="0" borderId="87" xfId="0" applyFont="1" applyBorder="1" applyAlignment="1">
      <alignment vertical="center"/>
    </xf>
    <xf numFmtId="44" fontId="12" fillId="0" borderId="85" xfId="1" applyFont="1" applyBorder="1" applyAlignment="1">
      <alignment vertical="center"/>
    </xf>
    <xf numFmtId="0" fontId="12" fillId="0" borderId="72" xfId="0" applyFont="1" applyBorder="1" applyAlignment="1">
      <alignment vertical="center"/>
    </xf>
    <xf numFmtId="43" fontId="12" fillId="0" borderId="36" xfId="0" applyNumberFormat="1" applyFont="1" applyBorder="1" applyAlignment="1">
      <alignment vertical="center"/>
    </xf>
    <xf numFmtId="8" fontId="7" fillId="0" borderId="36" xfId="0" applyNumberFormat="1" applyFont="1" applyBorder="1" applyAlignment="1">
      <alignment vertical="center"/>
    </xf>
    <xf numFmtId="44" fontId="12" fillId="0" borderId="89" xfId="1" applyFont="1" applyBorder="1" applyAlignment="1">
      <alignment vertical="center"/>
    </xf>
    <xf numFmtId="44" fontId="12" fillId="0" borderId="36" xfId="0" applyNumberFormat="1" applyFont="1" applyBorder="1" applyAlignment="1">
      <alignment vertical="center"/>
    </xf>
    <xf numFmtId="0" fontId="15" fillId="0" borderId="92" xfId="0" applyFont="1" applyBorder="1" applyAlignment="1">
      <alignment vertical="center"/>
    </xf>
    <xf numFmtId="0" fontId="12" fillId="0" borderId="96" xfId="0" applyFont="1" applyBorder="1" applyAlignment="1">
      <alignment vertical="center"/>
    </xf>
    <xf numFmtId="44" fontId="28" fillId="2" borderId="93" xfId="1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0" fillId="0" borderId="8" xfId="1" applyFont="1" applyBorder="1" applyAlignment="1">
      <alignment vertical="center"/>
    </xf>
    <xf numFmtId="44" fontId="0" fillId="0" borderId="8" xfId="0" applyNumberFormat="1" applyBorder="1" applyAlignment="1">
      <alignment vertical="center"/>
    </xf>
    <xf numFmtId="44" fontId="0" fillId="2" borderId="8" xfId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44" fontId="2" fillId="2" borderId="9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0" fillId="0" borderId="29" xfId="0" applyBorder="1"/>
    <xf numFmtId="0" fontId="0" fillId="0" borderId="22" xfId="0" applyBorder="1"/>
    <xf numFmtId="0" fontId="0" fillId="0" borderId="7" xfId="0" applyBorder="1"/>
    <xf numFmtId="0" fontId="2" fillId="0" borderId="100" xfId="0" applyFont="1" applyBorder="1"/>
    <xf numFmtId="0" fontId="2" fillId="0" borderId="101" xfId="0" applyFont="1" applyBorder="1"/>
    <xf numFmtId="44" fontId="0" fillId="0" borderId="0" xfId="1" applyFont="1" applyBorder="1"/>
    <xf numFmtId="11" fontId="0" fillId="0" borderId="0" xfId="0" applyNumberFormat="1" applyAlignment="1">
      <alignment horizontal="center"/>
    </xf>
    <xf numFmtId="0" fontId="13" fillId="0" borderId="72" xfId="0" applyFont="1" applyBorder="1" applyAlignment="1">
      <alignment horizontal="left" vertical="center" wrapText="1" readingOrder="1"/>
    </xf>
    <xf numFmtId="0" fontId="23" fillId="0" borderId="36" xfId="0" applyFont="1" applyBorder="1" applyAlignment="1">
      <alignment horizontal="left" vertical="center" wrapText="1" readingOrder="1"/>
    </xf>
    <xf numFmtId="43" fontId="23" fillId="0" borderId="89" xfId="3" applyFont="1" applyFill="1" applyBorder="1" applyAlignment="1">
      <alignment horizontal="left" vertical="center" wrapText="1" readingOrder="1"/>
    </xf>
    <xf numFmtId="0" fontId="13" fillId="0" borderId="92" xfId="0" applyFont="1" applyBorder="1" applyAlignment="1">
      <alignment horizontal="left" vertical="center" wrapText="1" readingOrder="1"/>
    </xf>
    <xf numFmtId="0" fontId="23" fillId="0" borderId="96" xfId="0" applyFont="1" applyBorder="1" applyAlignment="1">
      <alignment horizontal="left" vertical="center" wrapText="1" readingOrder="1"/>
    </xf>
    <xf numFmtId="0" fontId="23" fillId="0" borderId="102" xfId="0" applyFont="1" applyBorder="1" applyAlignment="1">
      <alignment horizontal="left" vertical="center" wrapText="1" readingOrder="1"/>
    </xf>
    <xf numFmtId="0" fontId="22" fillId="0" borderId="0" xfId="0" applyFont="1" applyAlignment="1">
      <alignment horizontal="left" vertical="center" wrapText="1" readingOrder="1"/>
    </xf>
    <xf numFmtId="0" fontId="23" fillId="0" borderId="84" xfId="0" applyFont="1" applyBorder="1" applyAlignment="1">
      <alignment horizontal="left" vertical="center" wrapText="1" readingOrder="1"/>
    </xf>
    <xf numFmtId="0" fontId="7" fillId="0" borderId="87" xfId="0" applyFont="1" applyBorder="1" applyAlignment="1">
      <alignment vertical="center"/>
    </xf>
    <xf numFmtId="0" fontId="14" fillId="0" borderId="87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7" fillId="0" borderId="36" xfId="0" applyFont="1" applyBorder="1" applyAlignment="1">
      <alignment vertical="center"/>
    </xf>
    <xf numFmtId="0" fontId="7" fillId="0" borderId="89" xfId="0" applyFont="1" applyBorder="1" applyAlignment="1">
      <alignment vertical="center"/>
    </xf>
    <xf numFmtId="0" fontId="7" fillId="0" borderId="92" xfId="0" applyFont="1" applyBorder="1" applyAlignment="1">
      <alignment vertical="center"/>
    </xf>
    <xf numFmtId="0" fontId="7" fillId="0" borderId="96" xfId="0" applyFont="1" applyBorder="1" applyAlignment="1">
      <alignment vertical="center"/>
    </xf>
    <xf numFmtId="44" fontId="23" fillId="0" borderId="89" xfId="1" applyFont="1" applyBorder="1" applyAlignment="1">
      <alignment horizontal="left" vertical="center" wrapText="1" readingOrder="1"/>
    </xf>
    <xf numFmtId="0" fontId="23" fillId="0" borderId="66" xfId="0" applyFont="1" applyBorder="1" applyAlignment="1">
      <alignment horizontal="right" vertical="center" wrapText="1" readingOrder="1"/>
    </xf>
    <xf numFmtId="17" fontId="7" fillId="0" borderId="36" xfId="0" applyNumberFormat="1" applyFont="1" applyBorder="1" applyAlignment="1">
      <alignment vertical="center"/>
    </xf>
    <xf numFmtId="44" fontId="7" fillId="0" borderId="36" xfId="1" applyFont="1" applyBorder="1" applyAlignment="1">
      <alignment vertical="center"/>
    </xf>
    <xf numFmtId="44" fontId="23" fillId="0" borderId="89" xfId="1" applyFont="1" applyFill="1" applyBorder="1" applyAlignment="1">
      <alignment horizontal="left" vertical="center" wrapText="1" readingOrder="1"/>
    </xf>
    <xf numFmtId="44" fontId="23" fillId="2" borderId="103" xfId="1" applyFont="1" applyFill="1" applyBorder="1" applyAlignment="1">
      <alignment horizontal="left" vertical="center" wrapText="1" readingOrder="1"/>
    </xf>
    <xf numFmtId="44" fontId="7" fillId="0" borderId="89" xfId="1" applyFont="1" applyBorder="1" applyAlignment="1">
      <alignment vertical="center"/>
    </xf>
    <xf numFmtId="44" fontId="7" fillId="2" borderId="93" xfId="0" applyNumberFormat="1" applyFont="1" applyFill="1" applyBorder="1" applyAlignment="1">
      <alignment vertical="center"/>
    </xf>
    <xf numFmtId="16" fontId="7" fillId="0" borderId="36" xfId="0" quotePrefix="1" applyNumberFormat="1" applyFont="1" applyBorder="1" applyAlignment="1">
      <alignment horizontal="center" vertical="center"/>
    </xf>
    <xf numFmtId="0" fontId="23" fillId="0" borderId="89" xfId="0" applyFont="1" applyBorder="1" applyAlignment="1">
      <alignment horizontal="right" vertical="center" wrapText="1" readingOrder="1"/>
    </xf>
    <xf numFmtId="44" fontId="23" fillId="0" borderId="89" xfId="0" applyNumberFormat="1" applyFont="1" applyBorder="1" applyAlignment="1">
      <alignment horizontal="left" vertical="center" wrapText="1" readingOrder="1"/>
    </xf>
    <xf numFmtId="44" fontId="23" fillId="0" borderId="96" xfId="0" quotePrefix="1" applyNumberFormat="1" applyFont="1" applyBorder="1" applyAlignment="1">
      <alignment horizontal="left" vertical="center" wrapText="1" readingOrder="1"/>
    </xf>
    <xf numFmtId="44" fontId="14" fillId="2" borderId="89" xfId="0" applyNumberFormat="1" applyFont="1" applyFill="1" applyBorder="1" applyAlignment="1">
      <alignment vertical="center"/>
    </xf>
    <xf numFmtId="0" fontId="23" fillId="0" borderId="96" xfId="0" applyFont="1" applyBorder="1" applyAlignment="1">
      <alignment horizontal="right" vertical="center" wrapText="1" readingOrder="1"/>
    </xf>
    <xf numFmtId="0" fontId="3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0" borderId="0" xfId="0" applyFont="1" applyAlignment="1">
      <alignment vertical="center"/>
    </xf>
    <xf numFmtId="171" fontId="3" fillId="0" borderId="0" xfId="1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" fontId="2" fillId="0" borderId="4" xfId="0" applyNumberFormat="1" applyFont="1" applyBorder="1" applyAlignment="1">
      <alignment horizontal="left" vertical="center"/>
    </xf>
    <xf numFmtId="171" fontId="2" fillId="0" borderId="5" xfId="1" applyNumberFormat="1" applyFont="1" applyBorder="1" applyAlignment="1">
      <alignment vertical="center"/>
    </xf>
    <xf numFmtId="171" fontId="2" fillId="0" borderId="5" xfId="0" applyNumberFormat="1" applyFont="1" applyBorder="1" applyAlignment="1">
      <alignment vertical="center"/>
    </xf>
    <xf numFmtId="0" fontId="33" fillId="2" borderId="0" xfId="0" applyFont="1" applyFill="1" applyAlignment="1">
      <alignment vertical="center"/>
    </xf>
    <xf numFmtId="0" fontId="0" fillId="10" borderId="1" xfId="0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7" fontId="2" fillId="2" borderId="3" xfId="0" applyNumberFormat="1" applyFont="1" applyFill="1" applyBorder="1" applyAlignment="1">
      <alignment horizontal="center" vertical="center" wrapText="1"/>
    </xf>
    <xf numFmtId="167" fontId="0" fillId="10" borderId="5" xfId="0" applyNumberFormat="1" applyFill="1" applyBorder="1" applyAlignment="1">
      <alignment vertical="center"/>
    </xf>
    <xf numFmtId="167" fontId="0" fillId="0" borderId="5" xfId="0" applyNumberFormat="1" applyBorder="1" applyAlignment="1">
      <alignment vertical="center"/>
    </xf>
    <xf numFmtId="0" fontId="0" fillId="10" borderId="5" xfId="0" applyFill="1" applyBorder="1" applyAlignment="1">
      <alignment horizontal="center" vertical="center"/>
    </xf>
    <xf numFmtId="167" fontId="0" fillId="10" borderId="5" xfId="0" applyNumberFormat="1" applyFill="1" applyBorder="1" applyAlignment="1">
      <alignment horizontal="center" vertical="center"/>
    </xf>
    <xf numFmtId="167" fontId="0" fillId="2" borderId="6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44" fontId="0" fillId="0" borderId="5" xfId="1" applyFont="1" applyBorder="1" applyAlignment="1">
      <alignment vertical="center"/>
    </xf>
    <xf numFmtId="44" fontId="0" fillId="0" borderId="5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8" fontId="2" fillId="2" borderId="5" xfId="0" applyNumberFormat="1" applyFont="1" applyFill="1" applyBorder="1" applyAlignment="1">
      <alignment vertical="center"/>
    </xf>
    <xf numFmtId="43" fontId="0" fillId="10" borderId="5" xfId="3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171" fontId="0" fillId="0" borderId="5" xfId="0" applyNumberForma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72" fontId="0" fillId="0" borderId="6" xfId="0" applyNumberFormat="1" applyBorder="1" applyAlignment="1">
      <alignment vertical="center"/>
    </xf>
    <xf numFmtId="16" fontId="2" fillId="0" borderId="0" xfId="0" quotePrefix="1" applyNumberFormat="1" applyFont="1" applyAlignment="1">
      <alignment vertical="center"/>
    </xf>
    <xf numFmtId="0" fontId="23" fillId="0" borderId="36" xfId="0" quotePrefix="1" applyFont="1" applyBorder="1" applyAlignment="1">
      <alignment horizontal="center" vertical="center" wrapText="1" readingOrder="1"/>
    </xf>
    <xf numFmtId="16" fontId="14" fillId="0" borderId="36" xfId="0" quotePrefix="1" applyNumberFormat="1" applyFont="1" applyBorder="1" applyAlignment="1">
      <alignment horizontal="center" vertical="center"/>
    </xf>
    <xf numFmtId="9" fontId="23" fillId="0" borderId="36" xfId="0" applyNumberFormat="1" applyFont="1" applyBorder="1" applyAlignment="1">
      <alignment horizontal="left" vertical="center" wrapText="1" readingOrder="1"/>
    </xf>
    <xf numFmtId="44" fontId="7" fillId="0" borderId="0" xfId="0" applyNumberFormat="1" applyFont="1" applyAlignment="1">
      <alignment vertical="center"/>
    </xf>
    <xf numFmtId="44" fontId="2" fillId="2" borderId="6" xfId="0" applyNumberFormat="1" applyFont="1" applyFill="1" applyBorder="1" applyAlignment="1">
      <alignment vertical="center"/>
    </xf>
    <xf numFmtId="44" fontId="7" fillId="0" borderId="6" xfId="0" applyNumberFormat="1" applyFont="1" applyBorder="1" applyAlignment="1">
      <alignment vertical="center"/>
    </xf>
    <xf numFmtId="44" fontId="7" fillId="0" borderId="9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44" fontId="22" fillId="2" borderId="37" xfId="1" applyFont="1" applyFill="1" applyBorder="1" applyAlignment="1">
      <alignment horizontal="right" vertical="center" wrapText="1"/>
    </xf>
    <xf numFmtId="44" fontId="23" fillId="7" borderId="37" xfId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17" fontId="2" fillId="0" borderId="0" xfId="0" applyNumberFormat="1" applyFont="1" applyBorder="1" applyAlignment="1">
      <alignment horizontal="left" vertical="center"/>
    </xf>
    <xf numFmtId="171" fontId="2" fillId="0" borderId="0" xfId="1" applyNumberFormat="1" applyFont="1" applyBorder="1" applyAlignment="1">
      <alignment vertical="center"/>
    </xf>
    <xf numFmtId="171" fontId="2" fillId="0" borderId="0" xfId="0" applyNumberFormat="1" applyFont="1" applyBorder="1" applyAlignment="1">
      <alignment vertical="center"/>
    </xf>
    <xf numFmtId="167" fontId="0" fillId="10" borderId="0" xfId="0" applyNumberFormat="1" applyFill="1" applyBorder="1" applyAlignment="1">
      <alignment vertical="center"/>
    </xf>
    <xf numFmtId="167" fontId="0" fillId="0" borderId="0" xfId="0" applyNumberFormat="1" applyBorder="1" applyAlignment="1">
      <alignment vertical="center"/>
    </xf>
    <xf numFmtId="2" fontId="0" fillId="1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7" fontId="0" fillId="10" borderId="0" xfId="0" applyNumberFormat="1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17" fontId="2" fillId="0" borderId="7" xfId="0" applyNumberFormat="1" applyFont="1" applyBorder="1" applyAlignment="1">
      <alignment horizontal="left" vertical="center"/>
    </xf>
    <xf numFmtId="167" fontId="0" fillId="10" borderId="8" xfId="0" applyNumberFormat="1" applyFill="1" applyBorder="1" applyAlignment="1">
      <alignment vertical="center"/>
    </xf>
    <xf numFmtId="171" fontId="2" fillId="0" borderId="8" xfId="0" applyNumberFormat="1" applyFont="1" applyBorder="1" applyAlignment="1">
      <alignment vertical="center"/>
    </xf>
    <xf numFmtId="171" fontId="0" fillId="0" borderId="8" xfId="0" applyNumberForma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167" fontId="0" fillId="0" borderId="8" xfId="0" applyNumberFormat="1" applyBorder="1" applyAlignment="1">
      <alignment vertical="center"/>
    </xf>
    <xf numFmtId="172" fontId="0" fillId="0" borderId="9" xfId="0" applyNumberFormat="1" applyBorder="1" applyAlignment="1">
      <alignment vertical="center"/>
    </xf>
    <xf numFmtId="44" fontId="19" fillId="7" borderId="50" xfId="1" applyFont="1" applyFill="1" applyBorder="1" applyAlignment="1">
      <alignment horizontal="right" vertical="center" wrapText="1" readingOrder="1"/>
    </xf>
    <xf numFmtId="7" fontId="13" fillId="7" borderId="36" xfId="1" applyNumberFormat="1" applyFont="1" applyFill="1" applyBorder="1" applyAlignment="1">
      <alignment horizontal="right" vertical="center" wrapText="1"/>
    </xf>
    <xf numFmtId="10" fontId="23" fillId="7" borderId="44" xfId="2" applyNumberFormat="1" applyFont="1" applyFill="1" applyBorder="1" applyAlignment="1">
      <alignment horizontal="center" vertical="center" wrapText="1"/>
    </xf>
    <xf numFmtId="0" fontId="0" fillId="0" borderId="1" xfId="0" applyBorder="1"/>
    <xf numFmtId="44" fontId="7" fillId="0" borderId="11" xfId="1" applyFont="1" applyBorder="1" applyAlignment="1">
      <alignment horizontal="right" vertical="center"/>
    </xf>
    <xf numFmtId="43" fontId="19" fillId="7" borderId="36" xfId="3" applyFont="1" applyFill="1" applyBorder="1" applyAlignment="1">
      <alignment horizontal="right" vertical="center" wrapText="1" readingOrder="1"/>
    </xf>
    <xf numFmtId="44" fontId="7" fillId="0" borderId="5" xfId="0" applyNumberFormat="1" applyFont="1" applyBorder="1" applyAlignment="1">
      <alignment vertical="center"/>
    </xf>
    <xf numFmtId="43" fontId="7" fillId="0" borderId="11" xfId="3" applyFont="1" applyBorder="1" applyAlignment="1">
      <alignment vertical="center"/>
    </xf>
    <xf numFmtId="43" fontId="7" fillId="0" borderId="5" xfId="3" applyFont="1" applyBorder="1" applyAlignment="1">
      <alignment vertical="center"/>
    </xf>
    <xf numFmtId="43" fontId="13" fillId="7" borderId="52" xfId="3" applyFont="1" applyFill="1" applyBorder="1" applyAlignment="1">
      <alignment horizontal="center" vertical="center" wrapText="1"/>
    </xf>
    <xf numFmtId="10" fontId="7" fillId="0" borderId="0" xfId="2" applyNumberFormat="1" applyFont="1" applyAlignment="1">
      <alignment vertical="center"/>
    </xf>
    <xf numFmtId="17" fontId="7" fillId="0" borderId="4" xfId="0" quotePrefix="1" applyNumberFormat="1" applyFont="1" applyBorder="1" applyAlignment="1">
      <alignment vertical="center"/>
    </xf>
    <xf numFmtId="44" fontId="7" fillId="0" borderId="0" xfId="1" applyFont="1" applyAlignment="1">
      <alignment vertical="center"/>
    </xf>
    <xf numFmtId="0" fontId="7" fillId="0" borderId="4" xfId="0" quotePrefix="1" applyFont="1" applyBorder="1" applyAlignment="1">
      <alignment vertical="center"/>
    </xf>
    <xf numFmtId="44" fontId="7" fillId="0" borderId="21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44" fontId="0" fillId="10" borderId="5" xfId="1" applyFont="1" applyFill="1" applyBorder="1" applyAlignment="1">
      <alignment vertical="center"/>
    </xf>
    <xf numFmtId="44" fontId="13" fillId="7" borderId="37" xfId="1" applyNumberFormat="1" applyFont="1" applyFill="1" applyBorder="1" applyAlignment="1">
      <alignment horizontal="right" vertical="center" wrapText="1"/>
    </xf>
    <xf numFmtId="173" fontId="12" fillId="0" borderId="6" xfId="3" applyNumberFormat="1" applyFont="1" applyBorder="1" applyAlignment="1">
      <alignment vertical="center"/>
    </xf>
    <xf numFmtId="44" fontId="0" fillId="0" borderId="6" xfId="1" applyFont="1" applyBorder="1" applyAlignment="1">
      <alignment horizontal="center" vertical="center"/>
    </xf>
    <xf numFmtId="9" fontId="18" fillId="7" borderId="50" xfId="0" applyNumberFormat="1" applyFont="1" applyFill="1" applyBorder="1" applyAlignment="1">
      <alignment horizontal="center" vertical="center" wrapText="1" readingOrder="1"/>
    </xf>
    <xf numFmtId="169" fontId="7" fillId="0" borderId="0" xfId="2" applyNumberFormat="1" applyFont="1" applyAlignment="1">
      <alignment vertical="center"/>
    </xf>
    <xf numFmtId="44" fontId="0" fillId="0" borderId="6" xfId="0" applyNumberFormat="1" applyBorder="1"/>
    <xf numFmtId="0" fontId="0" fillId="10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7" fontId="0" fillId="10" borderId="8" xfId="0" applyNumberFormat="1" applyFill="1" applyBorder="1" applyAlignment="1">
      <alignment horizontal="center" vertical="center"/>
    </xf>
    <xf numFmtId="167" fontId="0" fillId="2" borderId="9" xfId="0" applyNumberFormat="1" applyFill="1" applyBorder="1" applyAlignment="1">
      <alignment horizontal="center" vertical="center"/>
    </xf>
    <xf numFmtId="9" fontId="0" fillId="0" borderId="5" xfId="0" applyNumberFormat="1" applyBorder="1"/>
    <xf numFmtId="0" fontId="0" fillId="0" borderId="8" xfId="0" applyBorder="1"/>
    <xf numFmtId="17" fontId="0" fillId="0" borderId="0" xfId="0" applyNumberFormat="1"/>
    <xf numFmtId="44" fontId="0" fillId="0" borderId="3" xfId="1" applyFont="1" applyBorder="1"/>
    <xf numFmtId="44" fontId="0" fillId="0" borderId="6" xfId="1" applyFont="1" applyBorder="1"/>
    <xf numFmtId="44" fontId="0" fillId="0" borderId="9" xfId="1" applyFont="1" applyBorder="1"/>
    <xf numFmtId="44" fontId="2" fillId="0" borderId="5" xfId="0" applyNumberFormat="1" applyFont="1" applyBorder="1" applyAlignment="1">
      <alignment vertical="center"/>
    </xf>
    <xf numFmtId="44" fontId="2" fillId="0" borderId="5" xfId="0" applyNumberFormat="1" applyFont="1" applyFill="1" applyBorder="1" applyAlignment="1">
      <alignment vertical="center"/>
    </xf>
    <xf numFmtId="44" fontId="2" fillId="0" borderId="6" xfId="0" applyNumberFormat="1" applyFont="1" applyFill="1" applyBorder="1" applyAlignment="1">
      <alignment vertical="center"/>
    </xf>
    <xf numFmtId="44" fontId="32" fillId="0" borderId="5" xfId="0" applyNumberFormat="1" applyFont="1" applyFill="1" applyBorder="1" applyAlignment="1">
      <alignment vertical="center"/>
    </xf>
    <xf numFmtId="44" fontId="2" fillId="0" borderId="8" xfId="0" applyNumberFormat="1" applyFont="1" applyBorder="1" applyAlignment="1">
      <alignment vertical="center"/>
    </xf>
    <xf numFmtId="44" fontId="32" fillId="0" borderId="8" xfId="0" applyNumberFormat="1" applyFont="1" applyFill="1" applyBorder="1" applyAlignment="1">
      <alignment vertical="center"/>
    </xf>
    <xf numFmtId="44" fontId="2" fillId="0" borderId="8" xfId="0" applyNumberFormat="1" applyFont="1" applyFill="1" applyBorder="1" applyAlignment="1">
      <alignment vertical="center"/>
    </xf>
    <xf numFmtId="44" fontId="2" fillId="0" borderId="9" xfId="0" applyNumberFormat="1" applyFont="1" applyFill="1" applyBorder="1" applyAlignment="1">
      <alignment vertical="center"/>
    </xf>
    <xf numFmtId="7" fontId="0" fillId="0" borderId="3" xfId="1" applyNumberFormat="1" applyFont="1" applyBorder="1"/>
    <xf numFmtId="44" fontId="0" fillId="0" borderId="1" xfId="0" applyNumberFormat="1" applyBorder="1"/>
    <xf numFmtId="44" fontId="0" fillId="0" borderId="2" xfId="1" applyFont="1" applyBorder="1"/>
    <xf numFmtId="11" fontId="0" fillId="0" borderId="2" xfId="0" applyNumberFormat="1" applyBorder="1" applyAlignment="1">
      <alignment horizontal="center"/>
    </xf>
    <xf numFmtId="44" fontId="0" fillId="0" borderId="3" xfId="0" applyNumberFormat="1" applyBorder="1"/>
    <xf numFmtId="44" fontId="0" fillId="0" borderId="4" xfId="0" applyNumberFormat="1" applyBorder="1"/>
    <xf numFmtId="44" fontId="0" fillId="0" borderId="5" xfId="1" applyFont="1" applyBorder="1"/>
    <xf numFmtId="11" fontId="0" fillId="0" borderId="5" xfId="0" applyNumberFormat="1" applyBorder="1" applyAlignment="1">
      <alignment horizontal="center"/>
    </xf>
    <xf numFmtId="44" fontId="0" fillId="0" borderId="7" xfId="0" applyNumberFormat="1" applyBorder="1"/>
    <xf numFmtId="44" fontId="0" fillId="0" borderId="8" xfId="1" applyFont="1" applyBorder="1"/>
    <xf numFmtId="11" fontId="0" fillId="0" borderId="8" xfId="0" applyNumberFormat="1" applyBorder="1" applyAlignment="1">
      <alignment horizontal="center"/>
    </xf>
    <xf numFmtId="44" fontId="0" fillId="0" borderId="9" xfId="0" applyNumberFormat="1" applyBorder="1"/>
    <xf numFmtId="0" fontId="34" fillId="7" borderId="99" xfId="0" applyFont="1" applyFill="1" applyBorder="1" applyAlignment="1">
      <alignment horizontal="left" vertical="center" wrapText="1" indent="1"/>
    </xf>
    <xf numFmtId="0" fontId="35" fillId="7" borderId="105" xfId="0" applyFont="1" applyFill="1" applyBorder="1" applyAlignment="1">
      <alignment horizontal="left" vertical="center" wrapText="1" indent="1"/>
    </xf>
    <xf numFmtId="0" fontId="35" fillId="7" borderId="106" xfId="0" applyFont="1" applyFill="1" applyBorder="1" applyAlignment="1">
      <alignment horizontal="left" vertical="center" wrapText="1" indent="1"/>
    </xf>
    <xf numFmtId="8" fontId="35" fillId="7" borderId="106" xfId="0" applyNumberFormat="1" applyFont="1" applyFill="1" applyBorder="1" applyAlignment="1">
      <alignment horizontal="left" vertical="center" wrapText="1" indent="1"/>
    </xf>
    <xf numFmtId="0" fontId="34" fillId="7" borderId="99" xfId="0" applyFont="1" applyFill="1" applyBorder="1" applyAlignment="1">
      <alignment horizontal="center" vertical="center" wrapText="1"/>
    </xf>
    <xf numFmtId="0" fontId="34" fillId="7" borderId="104" xfId="0" applyFont="1" applyFill="1" applyBorder="1" applyAlignment="1">
      <alignment horizontal="left" vertical="center" wrapText="1" indent="1"/>
    </xf>
    <xf numFmtId="17" fontId="35" fillId="7" borderId="106" xfId="0" quotePrefix="1" applyNumberFormat="1" applyFont="1" applyFill="1" applyBorder="1" applyAlignment="1">
      <alignment horizontal="center" vertical="center" wrapText="1"/>
    </xf>
    <xf numFmtId="16" fontId="35" fillId="7" borderId="106" xfId="0" quotePrefix="1" applyNumberFormat="1" applyFont="1" applyFill="1" applyBorder="1" applyAlignment="1">
      <alignment horizontal="center" vertical="center" wrapText="1"/>
    </xf>
    <xf numFmtId="44" fontId="35" fillId="7" borderId="106" xfId="0" applyNumberFormat="1" applyFont="1" applyFill="1" applyBorder="1" applyAlignment="1">
      <alignment horizontal="left" vertical="center" wrapText="1" indent="1"/>
    </xf>
    <xf numFmtId="43" fontId="12" fillId="0" borderId="6" xfId="3" applyFont="1" applyBorder="1" applyAlignment="1">
      <alignment vertical="center"/>
    </xf>
    <xf numFmtId="44" fontId="14" fillId="2" borderId="21" xfId="0" applyNumberFormat="1" applyFont="1" applyFill="1" applyBorder="1" applyAlignment="1">
      <alignment vertical="center"/>
    </xf>
    <xf numFmtId="44" fontId="14" fillId="2" borderId="9" xfId="1" applyFont="1" applyFill="1" applyBorder="1" applyAlignment="1">
      <alignment vertical="center"/>
    </xf>
    <xf numFmtId="44" fontId="23" fillId="7" borderId="37" xfId="1" applyNumberFormat="1" applyFont="1" applyFill="1" applyBorder="1" applyAlignment="1">
      <alignment horizontal="right" vertical="center" wrapText="1"/>
    </xf>
    <xf numFmtId="0" fontId="2" fillId="0" borderId="19" xfId="5" applyFont="1" applyBorder="1" applyAlignment="1">
      <alignment vertical="center"/>
    </xf>
    <xf numFmtId="0" fontId="2" fillId="0" borderId="21" xfId="5" applyFont="1" applyBorder="1" applyAlignment="1">
      <alignment vertical="center"/>
    </xf>
    <xf numFmtId="0" fontId="1" fillId="0" borderId="0" xfId="5" applyAlignment="1">
      <alignment vertical="center"/>
    </xf>
    <xf numFmtId="0" fontId="1" fillId="0" borderId="1" xfId="5" applyBorder="1" applyAlignment="1">
      <alignment vertical="center"/>
    </xf>
    <xf numFmtId="0" fontId="2" fillId="0" borderId="2" xfId="5" applyFont="1" applyBorder="1" applyAlignment="1">
      <alignment horizontal="center" vertical="center"/>
    </xf>
    <xf numFmtId="0" fontId="2" fillId="10" borderId="2" xfId="5" applyFont="1" applyFill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174" fontId="1" fillId="0" borderId="4" xfId="5" applyNumberFormat="1" applyBorder="1" applyAlignment="1">
      <alignment horizontal="left" vertical="center"/>
    </xf>
    <xf numFmtId="171" fontId="2" fillId="0" borderId="5" xfId="6" applyNumberFormat="1" applyFont="1" applyBorder="1" applyAlignment="1">
      <alignment vertical="center"/>
    </xf>
    <xf numFmtId="44" fontId="1" fillId="0" borderId="5" xfId="5" applyNumberFormat="1" applyBorder="1" applyAlignment="1">
      <alignment vertical="center"/>
    </xf>
    <xf numFmtId="44" fontId="0" fillId="10" borderId="5" xfId="6" applyFont="1" applyFill="1" applyBorder="1" applyAlignment="1">
      <alignment vertical="center"/>
    </xf>
    <xf numFmtId="44" fontId="0" fillId="0" borderId="5" xfId="6" applyFont="1" applyBorder="1" applyAlignment="1">
      <alignment vertical="center"/>
    </xf>
    <xf numFmtId="0" fontId="1" fillId="0" borderId="5" xfId="5" applyBorder="1" applyAlignment="1">
      <alignment vertical="center"/>
    </xf>
    <xf numFmtId="44" fontId="2" fillId="2" borderId="6" xfId="5" applyNumberFormat="1" applyFont="1" applyFill="1" applyBorder="1" applyAlignment="1">
      <alignment vertical="center"/>
    </xf>
    <xf numFmtId="44" fontId="2" fillId="2" borderId="5" xfId="5" applyNumberFormat="1" applyFont="1" applyFill="1" applyBorder="1" applyAlignment="1">
      <alignment vertical="center"/>
    </xf>
    <xf numFmtId="8" fontId="2" fillId="2" borderId="6" xfId="5" applyNumberFormat="1" applyFont="1" applyFill="1" applyBorder="1" applyAlignment="1">
      <alignment vertical="center"/>
    </xf>
    <xf numFmtId="0" fontId="7" fillId="0" borderId="1" xfId="5" applyFont="1" applyBorder="1" applyAlignment="1">
      <alignment vertical="center"/>
    </xf>
    <xf numFmtId="44" fontId="7" fillId="0" borderId="3" xfId="5" applyNumberFormat="1" applyFont="1" applyBorder="1" applyAlignment="1">
      <alignment vertical="center"/>
    </xf>
    <xf numFmtId="0" fontId="7" fillId="0" borderId="4" xfId="5" applyFont="1" applyBorder="1" applyAlignment="1">
      <alignment vertical="center"/>
    </xf>
    <xf numFmtId="44" fontId="7" fillId="0" borderId="6" xfId="5" applyNumberFormat="1" applyFont="1" applyBorder="1" applyAlignment="1">
      <alignment vertical="center"/>
    </xf>
    <xf numFmtId="0" fontId="7" fillId="0" borderId="6" xfId="5" applyFont="1" applyBorder="1" applyAlignment="1">
      <alignment vertical="center"/>
    </xf>
    <xf numFmtId="0" fontId="7" fillId="0" borderId="7" xfId="5" applyFont="1" applyBorder="1" applyAlignment="1">
      <alignment vertical="center"/>
    </xf>
    <xf numFmtId="44" fontId="7" fillId="0" borderId="9" xfId="5" applyNumberFormat="1" applyFont="1" applyBorder="1" applyAlignment="1">
      <alignment vertical="center"/>
    </xf>
    <xf numFmtId="0" fontId="14" fillId="0" borderId="4" xfId="5" applyFont="1" applyBorder="1" applyAlignment="1">
      <alignment vertical="center"/>
    </xf>
    <xf numFmtId="44" fontId="14" fillId="0" borderId="6" xfId="5" applyNumberFormat="1" applyFont="1" applyBorder="1" applyAlignment="1">
      <alignment vertical="center"/>
    </xf>
    <xf numFmtId="44" fontId="2" fillId="0" borderId="5" xfId="1" applyFont="1" applyBorder="1" applyAlignment="1">
      <alignment vertical="center"/>
    </xf>
    <xf numFmtId="44" fontId="2" fillId="0" borderId="8" xfId="1" applyFont="1" applyBorder="1" applyAlignment="1">
      <alignment vertical="center"/>
    </xf>
    <xf numFmtId="0" fontId="0" fillId="0" borderId="0" xfId="0" applyAlignment="1">
      <alignment vertical="center"/>
    </xf>
    <xf numFmtId="44" fontId="14" fillId="2" borderId="6" xfId="1" applyFont="1" applyFill="1" applyBorder="1" applyAlignment="1">
      <alignment vertical="center"/>
    </xf>
    <xf numFmtId="0" fontId="1" fillId="0" borderId="4" xfId="7" applyBorder="1" applyAlignment="1">
      <alignment horizontal="left" vertical="center"/>
    </xf>
    <xf numFmtId="166" fontId="7" fillId="0" borderId="0" xfId="7" applyNumberFormat="1" applyFont="1" applyAlignment="1">
      <alignment vertical="center"/>
    </xf>
    <xf numFmtId="9" fontId="19" fillId="7" borderId="50" xfId="2" applyFont="1" applyFill="1" applyBorder="1" applyAlignment="1">
      <alignment horizontal="center" vertical="center" wrapText="1" readingOrder="1"/>
    </xf>
    <xf numFmtId="166" fontId="7" fillId="0" borderId="5" xfId="7" applyNumberFormat="1" applyFont="1" applyBorder="1" applyAlignment="1">
      <alignment horizontal="right" vertical="center"/>
    </xf>
    <xf numFmtId="44" fontId="0" fillId="0" borderId="0" xfId="0" applyNumberFormat="1" applyAlignment="1">
      <alignment vertical="center"/>
    </xf>
    <xf numFmtId="17" fontId="0" fillId="0" borderId="0" xfId="0" applyNumberFormat="1" applyAlignment="1">
      <alignment vertical="center"/>
    </xf>
    <xf numFmtId="8" fontId="0" fillId="0" borderId="0" xfId="0" applyNumberFormat="1" applyAlignment="1">
      <alignment vertical="center"/>
    </xf>
    <xf numFmtId="16" fontId="0" fillId="0" borderId="0" xfId="0" applyNumberFormat="1" applyAlignment="1">
      <alignment vertical="center"/>
    </xf>
    <xf numFmtId="43" fontId="7" fillId="0" borderId="89" xfId="3" applyFont="1" applyBorder="1" applyAlignment="1">
      <alignment vertical="center"/>
    </xf>
    <xf numFmtId="174" fontId="1" fillId="0" borderId="7" xfId="5" applyNumberFormat="1" applyBorder="1" applyAlignment="1">
      <alignment horizontal="left" vertical="center"/>
    </xf>
    <xf numFmtId="44" fontId="0" fillId="0" borderId="8" xfId="6" applyFont="1" applyBorder="1" applyAlignment="1">
      <alignment vertical="center"/>
    </xf>
    <xf numFmtId="44" fontId="1" fillId="0" borderId="8" xfId="5" applyNumberFormat="1" applyBorder="1" applyAlignment="1">
      <alignment vertical="center"/>
    </xf>
    <xf numFmtId="44" fontId="0" fillId="10" borderId="8" xfId="6" applyFont="1" applyFill="1" applyBorder="1" applyAlignment="1">
      <alignment vertical="center"/>
    </xf>
    <xf numFmtId="0" fontId="1" fillId="0" borderId="8" xfId="5" applyBorder="1" applyAlignment="1">
      <alignment vertical="center"/>
    </xf>
    <xf numFmtId="44" fontId="2" fillId="2" borderId="9" xfId="5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quotePrefix="1" applyBorder="1"/>
    <xf numFmtId="0" fontId="0" fillId="0" borderId="19" xfId="0" applyBorder="1"/>
    <xf numFmtId="0" fontId="0" fillId="0" borderId="20" xfId="0" applyBorder="1"/>
    <xf numFmtId="44" fontId="0" fillId="0" borderId="21" xfId="0" applyNumberFormat="1" applyBorder="1"/>
    <xf numFmtId="0" fontId="7" fillId="0" borderId="0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14" fillId="2" borderId="107" xfId="0" applyFont="1" applyFill="1" applyBorder="1" applyAlignment="1">
      <alignment vertical="center"/>
    </xf>
    <xf numFmtId="0" fontId="2" fillId="2" borderId="108" xfId="0" applyFont="1" applyFill="1" applyBorder="1"/>
    <xf numFmtId="44" fontId="2" fillId="2" borderId="109" xfId="0" applyNumberFormat="1" applyFont="1" applyFill="1" applyBorder="1"/>
    <xf numFmtId="0" fontId="3" fillId="0" borderId="0" xfId="0" applyFont="1"/>
    <xf numFmtId="44" fontId="14" fillId="0" borderId="9" xfId="0" applyNumberFormat="1" applyFont="1" applyBorder="1" applyAlignment="1">
      <alignment vertical="center"/>
    </xf>
    <xf numFmtId="44" fontId="2" fillId="0" borderId="9" xfId="0" applyNumberFormat="1" applyFont="1" applyBorder="1"/>
    <xf numFmtId="0" fontId="14" fillId="0" borderId="7" xfId="0" quotePrefix="1" applyFont="1" applyBorder="1" applyAlignment="1">
      <alignment vertical="center"/>
    </xf>
    <xf numFmtId="0" fontId="2" fillId="0" borderId="7" xfId="0" applyFont="1" applyBorder="1"/>
    <xf numFmtId="0" fontId="6" fillId="0" borderId="1" xfId="0" applyFont="1" applyBorder="1"/>
    <xf numFmtId="0" fontId="2" fillId="0" borderId="8" xfId="0" applyFont="1" applyBorder="1"/>
    <xf numFmtId="0" fontId="0" fillId="0" borderId="4" xfId="0" applyFill="1" applyBorder="1"/>
    <xf numFmtId="0" fontId="0" fillId="0" borderId="7" xfId="0" applyFill="1" applyBorder="1"/>
    <xf numFmtId="10" fontId="12" fillId="0" borderId="0" xfId="0" applyNumberFormat="1" applyFont="1" applyBorder="1" applyAlignment="1">
      <alignment vertical="center"/>
    </xf>
    <xf numFmtId="0" fontId="36" fillId="7" borderId="84" xfId="0" applyFont="1" applyFill="1" applyBorder="1" applyAlignment="1">
      <alignment horizontal="left" vertical="center" wrapText="1" indent="1"/>
    </xf>
    <xf numFmtId="0" fontId="36" fillId="7" borderId="87" xfId="0" applyFont="1" applyFill="1" applyBorder="1" applyAlignment="1">
      <alignment horizontal="left" vertical="center" wrapText="1" indent="1"/>
    </xf>
    <xf numFmtId="0" fontId="36" fillId="7" borderId="87" xfId="0" applyFont="1" applyFill="1" applyBorder="1" applyAlignment="1">
      <alignment horizontal="center" vertical="center" wrapText="1"/>
    </xf>
    <xf numFmtId="0" fontId="36" fillId="7" borderId="85" xfId="0" applyFont="1" applyFill="1" applyBorder="1" applyAlignment="1">
      <alignment horizontal="left" vertical="center" wrapText="1" indent="1"/>
    </xf>
    <xf numFmtId="17" fontId="37" fillId="7" borderId="36" xfId="0" quotePrefix="1" applyNumberFormat="1" applyFont="1" applyFill="1" applyBorder="1" applyAlignment="1">
      <alignment horizontal="center" vertical="center" wrapText="1"/>
    </xf>
    <xf numFmtId="8" fontId="37" fillId="7" borderId="36" xfId="0" applyNumberFormat="1" applyFont="1" applyFill="1" applyBorder="1" applyAlignment="1">
      <alignment horizontal="center" vertical="center" wrapText="1"/>
    </xf>
    <xf numFmtId="8" fontId="37" fillId="7" borderId="89" xfId="0" applyNumberFormat="1" applyFont="1" applyFill="1" applyBorder="1" applyAlignment="1">
      <alignment horizontal="center" vertical="center" wrapText="1"/>
    </xf>
    <xf numFmtId="16" fontId="37" fillId="7" borderId="36" xfId="0" quotePrefix="1" applyNumberFormat="1" applyFont="1" applyFill="1" applyBorder="1" applyAlignment="1">
      <alignment horizontal="center" vertical="center" wrapText="1"/>
    </xf>
    <xf numFmtId="44" fontId="37" fillId="7" borderId="36" xfId="0" applyNumberFormat="1" applyFont="1" applyFill="1" applyBorder="1" applyAlignment="1">
      <alignment horizontal="center" vertical="center" wrapText="1"/>
    </xf>
    <xf numFmtId="44" fontId="0" fillId="0" borderId="72" xfId="0" applyNumberFormat="1" applyBorder="1" applyAlignment="1">
      <alignment vertical="center"/>
    </xf>
    <xf numFmtId="0" fontId="0" fillId="0" borderId="36" xfId="0" applyBorder="1" applyAlignment="1">
      <alignment vertical="center"/>
    </xf>
    <xf numFmtId="44" fontId="0" fillId="0" borderId="36" xfId="0" applyNumberFormat="1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92" xfId="0" applyBorder="1" applyAlignment="1">
      <alignment vertical="center"/>
    </xf>
    <xf numFmtId="44" fontId="0" fillId="0" borderId="96" xfId="0" applyNumberFormat="1" applyBorder="1" applyAlignment="1">
      <alignment vertical="center"/>
    </xf>
    <xf numFmtId="8" fontId="37" fillId="7" borderId="93" xfId="0" applyNumberFormat="1" applyFont="1" applyFill="1" applyBorder="1" applyAlignment="1">
      <alignment horizontal="center" vertical="center" wrapText="1"/>
    </xf>
    <xf numFmtId="44" fontId="37" fillId="7" borderId="72" xfId="1" applyFont="1" applyFill="1" applyBorder="1" applyAlignment="1">
      <alignment horizontal="center" vertical="center" wrapText="1"/>
    </xf>
    <xf numFmtId="44" fontId="37" fillId="7" borderId="36" xfId="1" applyFont="1" applyFill="1" applyBorder="1" applyAlignment="1">
      <alignment horizontal="center" vertical="center" wrapText="1"/>
    </xf>
    <xf numFmtId="0" fontId="0" fillId="0" borderId="36" xfId="0" quotePrefix="1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44" fontId="0" fillId="0" borderId="21" xfId="1" applyFont="1" applyBorder="1" applyAlignment="1">
      <alignment vertical="center"/>
    </xf>
    <xf numFmtId="0" fontId="2" fillId="2" borderId="107" xfId="0" applyFont="1" applyFill="1" applyBorder="1" applyAlignment="1">
      <alignment vertical="center"/>
    </xf>
    <xf numFmtId="0" fontId="2" fillId="2" borderId="108" xfId="0" applyFont="1" applyFill="1" applyBorder="1" applyAlignment="1">
      <alignment vertical="center"/>
    </xf>
    <xf numFmtId="44" fontId="2" fillId="2" borderId="109" xfId="0" applyNumberFormat="1" applyFont="1" applyFill="1" applyBorder="1" applyAlignment="1">
      <alignment vertical="center"/>
    </xf>
    <xf numFmtId="44" fontId="0" fillId="0" borderId="6" xfId="1" applyFont="1" applyBorder="1" applyAlignment="1">
      <alignment vertical="center"/>
    </xf>
    <xf numFmtId="44" fontId="0" fillId="0" borderId="9" xfId="1" applyFont="1" applyBorder="1" applyAlignment="1">
      <alignment vertical="center"/>
    </xf>
    <xf numFmtId="2" fontId="7" fillId="0" borderId="11" xfId="0" quotePrefix="1" applyNumberFormat="1" applyFont="1" applyBorder="1" applyAlignment="1">
      <alignment vertical="center"/>
    </xf>
    <xf numFmtId="7" fontId="0" fillId="0" borderId="6" xfId="0" applyNumberFormat="1" applyBorder="1"/>
    <xf numFmtId="44" fontId="23" fillId="10" borderId="26" xfId="1" applyFont="1" applyFill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2" fillId="2" borderId="84" xfId="0" applyFont="1" applyFill="1" applyBorder="1" applyAlignment="1">
      <alignment horizontal="left" vertical="center" wrapText="1" readingOrder="1"/>
    </xf>
    <xf numFmtId="0" fontId="22" fillId="2" borderId="87" xfId="0" applyFont="1" applyFill="1" applyBorder="1" applyAlignment="1">
      <alignment horizontal="left" vertical="center" wrapText="1" readingOrder="1"/>
    </xf>
    <xf numFmtId="0" fontId="22" fillId="2" borderId="85" xfId="0" applyFont="1" applyFill="1" applyBorder="1" applyAlignment="1">
      <alignment horizontal="left" vertical="center" wrapText="1" readingOrder="1"/>
    </xf>
    <xf numFmtId="0" fontId="22" fillId="2" borderId="97" xfId="0" applyFont="1" applyFill="1" applyBorder="1" applyAlignment="1">
      <alignment horizontal="left" vertical="center" wrapText="1" readingOrder="1"/>
    </xf>
    <xf numFmtId="0" fontId="22" fillId="2" borderId="98" xfId="0" applyFont="1" applyFill="1" applyBorder="1" applyAlignment="1">
      <alignment horizontal="left" vertical="center" wrapText="1" readingOrder="1"/>
    </xf>
    <xf numFmtId="0" fontId="22" fillId="2" borderId="99" xfId="0" applyFont="1" applyFill="1" applyBorder="1" applyAlignment="1">
      <alignment horizontal="left" vertical="center" wrapText="1" readingOrder="1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9" fillId="7" borderId="74" xfId="0" applyFont="1" applyFill="1" applyBorder="1" applyAlignment="1">
      <alignment horizontal="left" vertical="center" wrapText="1" readingOrder="1"/>
    </xf>
    <xf numFmtId="0" fontId="19" fillId="7" borderId="78" xfId="0" applyFont="1" applyFill="1" applyBorder="1" applyAlignment="1">
      <alignment horizontal="left" vertical="center" wrapText="1" readingOrder="1"/>
    </xf>
    <xf numFmtId="44" fontId="19" fillId="7" borderId="75" xfId="1" applyFont="1" applyFill="1" applyBorder="1" applyAlignment="1">
      <alignment horizontal="left" vertical="center" wrapText="1" readingOrder="1"/>
    </xf>
    <xf numFmtId="0" fontId="7" fillId="0" borderId="76" xfId="0" applyFont="1" applyBorder="1" applyAlignment="1">
      <alignment vertical="center" wrapText="1" readingOrder="1"/>
    </xf>
    <xf numFmtId="44" fontId="19" fillId="7" borderId="79" xfId="1" applyFont="1" applyFill="1" applyBorder="1" applyAlignment="1">
      <alignment horizontal="left" vertical="center" wrapText="1" readingOrder="1"/>
    </xf>
    <xf numFmtId="0" fontId="7" fillId="0" borderId="80" xfId="0" applyFont="1" applyBorder="1" applyAlignment="1">
      <alignment vertical="center" wrapText="1" readingOrder="1"/>
    </xf>
    <xf numFmtId="0" fontId="25" fillId="2" borderId="78" xfId="0" applyFont="1" applyFill="1" applyBorder="1" applyAlignment="1">
      <alignment horizontal="left" vertical="center" wrapText="1" readingOrder="1"/>
    </xf>
    <xf numFmtId="0" fontId="0" fillId="0" borderId="0" xfId="0" applyAlignment="1">
      <alignment vertical="center"/>
    </xf>
    <xf numFmtId="44" fontId="26" fillId="7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11" fillId="5" borderId="20" xfId="4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18" fillId="7" borderId="65" xfId="0" applyFont="1" applyFill="1" applyBorder="1" applyAlignment="1">
      <alignment horizontal="center" vertical="center" wrapText="1" readingOrder="1"/>
    </xf>
    <xf numFmtId="0" fontId="18" fillId="7" borderId="67" xfId="0" applyFont="1" applyFill="1" applyBorder="1" applyAlignment="1">
      <alignment horizontal="center" vertical="center" wrapText="1" readingOrder="1"/>
    </xf>
    <xf numFmtId="44" fontId="19" fillId="9" borderId="33" xfId="1" applyFont="1" applyFill="1" applyBorder="1" applyAlignment="1">
      <alignment horizontal="center" vertical="center" wrapText="1" readingOrder="1"/>
    </xf>
    <xf numFmtId="44" fontId="19" fillId="9" borderId="68" xfId="1" applyFont="1" applyFill="1" applyBorder="1" applyAlignment="1">
      <alignment horizontal="center" vertical="center" wrapText="1" readingOrder="1"/>
    </xf>
    <xf numFmtId="0" fontId="18" fillId="9" borderId="33" xfId="0" applyFont="1" applyFill="1" applyBorder="1" applyAlignment="1">
      <alignment horizontal="right" vertical="center" wrapText="1" readingOrder="1"/>
    </xf>
    <xf numFmtId="0" fontId="18" fillId="9" borderId="68" xfId="0" applyFont="1" applyFill="1" applyBorder="1" applyAlignment="1">
      <alignment horizontal="right" vertical="center" wrapText="1" readingOrder="1"/>
    </xf>
    <xf numFmtId="0" fontId="18" fillId="9" borderId="66" xfId="0" applyFont="1" applyFill="1" applyBorder="1" applyAlignment="1">
      <alignment horizontal="center" vertical="center" wrapText="1" readingOrder="1"/>
    </xf>
    <xf numFmtId="0" fontId="18" fillId="9" borderId="70" xfId="0" applyFont="1" applyFill="1" applyBorder="1" applyAlignment="1">
      <alignment horizontal="center" vertical="center" wrapText="1" readingOrder="1"/>
    </xf>
    <xf numFmtId="0" fontId="5" fillId="2" borderId="0" xfId="5" applyFont="1" applyFill="1" applyAlignment="1">
      <alignment horizontal="center" vertical="center"/>
    </xf>
    <xf numFmtId="0" fontId="1" fillId="2" borderId="0" xfId="5" applyFill="1" applyAlignment="1">
      <alignment horizontal="center" vertical="center"/>
    </xf>
    <xf numFmtId="173" fontId="7" fillId="0" borderId="6" xfId="3" applyNumberFormat="1" applyFont="1" applyBorder="1" applyAlignment="1">
      <alignment horizontal="left" vertical="center" indent="1"/>
    </xf>
    <xf numFmtId="16" fontId="7" fillId="0" borderId="36" xfId="0" quotePrefix="1" applyNumberFormat="1" applyFont="1" applyBorder="1" applyAlignment="1">
      <alignment vertical="center"/>
    </xf>
    <xf numFmtId="0" fontId="23" fillId="0" borderId="36" xfId="0" quotePrefix="1" applyFont="1" applyBorder="1" applyAlignment="1">
      <alignment horizontal="left" vertical="center" wrapText="1" readingOrder="1"/>
    </xf>
    <xf numFmtId="0" fontId="0" fillId="0" borderId="6" xfId="0" applyBorder="1" applyAlignment="1">
      <alignment horizontal="center" vertical="center"/>
    </xf>
    <xf numFmtId="10" fontId="7" fillId="0" borderId="6" xfId="0" applyNumberFormat="1" applyFont="1" applyBorder="1" applyAlignment="1">
      <alignment vertical="center"/>
    </xf>
    <xf numFmtId="44" fontId="2" fillId="0" borderId="5" xfId="1" applyNumberFormat="1" applyFont="1" applyBorder="1" applyAlignment="1">
      <alignment vertical="center"/>
    </xf>
    <xf numFmtId="0" fontId="0" fillId="0" borderId="17" xfId="0" applyBorder="1" applyAlignment="1">
      <alignment horizontal="center"/>
    </xf>
    <xf numFmtId="0" fontId="0" fillId="0" borderId="110" xfId="0" applyBorder="1" applyAlignment="1">
      <alignment horizontal="center"/>
    </xf>
    <xf numFmtId="0" fontId="0" fillId="0" borderId="18" xfId="0" applyBorder="1" applyAlignment="1">
      <alignment horizontal="center"/>
    </xf>
    <xf numFmtId="10" fontId="7" fillId="0" borderId="9" xfId="1" applyNumberFormat="1" applyFont="1" applyBorder="1" applyAlignment="1">
      <alignment vertical="center"/>
    </xf>
    <xf numFmtId="10" fontId="15" fillId="0" borderId="6" xfId="0" applyNumberFormat="1" applyFont="1" applyBorder="1" applyAlignment="1">
      <alignment vertical="center"/>
    </xf>
    <xf numFmtId="44" fontId="18" fillId="7" borderId="33" xfId="0" applyNumberFormat="1" applyFont="1" applyFill="1" applyBorder="1" applyAlignment="1">
      <alignment horizontal="justify" vertical="center" wrapText="1" readingOrder="1"/>
    </xf>
    <xf numFmtId="44" fontId="23" fillId="2" borderId="21" xfId="0" applyNumberFormat="1" applyFont="1" applyFill="1" applyBorder="1" applyAlignment="1">
      <alignment vertical="center"/>
    </xf>
    <xf numFmtId="43" fontId="13" fillId="7" borderId="33" xfId="3" applyFont="1" applyFill="1" applyBorder="1" applyAlignment="1">
      <alignment horizontal="right" vertical="center" wrapText="1"/>
    </xf>
    <xf numFmtId="44" fontId="12" fillId="0" borderId="10" xfId="0" applyNumberFormat="1" applyFont="1" applyBorder="1" applyAlignment="1">
      <alignment vertical="center"/>
    </xf>
    <xf numFmtId="0" fontId="14" fillId="2" borderId="0" xfId="0" applyFont="1" applyFill="1" applyAlignment="1">
      <alignment vertical="center"/>
    </xf>
    <xf numFmtId="44" fontId="14" fillId="4" borderId="111" xfId="0" applyNumberFormat="1" applyFont="1" applyFill="1" applyBorder="1" applyAlignment="1">
      <alignment vertical="center"/>
    </xf>
    <xf numFmtId="0" fontId="38" fillId="0" borderId="0" xfId="0" applyFont="1" applyAlignment="1">
      <alignment vertical="center"/>
    </xf>
    <xf numFmtId="0" fontId="14" fillId="0" borderId="19" xfId="0" applyFont="1" applyBorder="1" applyAlignment="1">
      <alignment vertical="center"/>
    </xf>
    <xf numFmtId="44" fontId="7" fillId="0" borderId="3" xfId="0" applyNumberFormat="1" applyFont="1" applyBorder="1" applyAlignment="1">
      <alignment vertical="center"/>
    </xf>
    <xf numFmtId="44" fontId="14" fillId="11" borderId="21" xfId="0" applyNumberFormat="1" applyFont="1" applyFill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44" fontId="14" fillId="11" borderId="3" xfId="0" applyNumberFormat="1" applyFont="1" applyFill="1" applyBorder="1" applyAlignment="1">
      <alignment vertical="center"/>
    </xf>
    <xf numFmtId="0" fontId="14" fillId="2" borderId="19" xfId="0" applyFont="1" applyFill="1" applyBorder="1" applyAlignment="1">
      <alignment vertical="center"/>
    </xf>
    <xf numFmtId="44" fontId="14" fillId="11" borderId="29" xfId="0" applyNumberFormat="1" applyFont="1" applyFill="1" applyBorder="1" applyAlignment="1">
      <alignment vertical="center"/>
    </xf>
    <xf numFmtId="10" fontId="7" fillId="0" borderId="0" xfId="0" applyNumberFormat="1" applyFont="1" applyAlignment="1">
      <alignment vertical="center"/>
    </xf>
    <xf numFmtId="0" fontId="23" fillId="0" borderId="50" xfId="0" applyFont="1" applyBorder="1" applyAlignment="1">
      <alignment horizontal="left" vertical="center" wrapText="1" readingOrder="1"/>
    </xf>
    <xf numFmtId="44" fontId="23" fillId="0" borderId="66" xfId="1" applyFont="1" applyFill="1" applyBorder="1" applyAlignment="1">
      <alignment horizontal="left" vertical="center" wrapText="1" readingOrder="1"/>
    </xf>
    <xf numFmtId="0" fontId="23" fillId="12" borderId="103" xfId="0" applyFont="1" applyFill="1" applyBorder="1" applyAlignment="1">
      <alignment horizontal="right" vertical="center" wrapText="1" readingOrder="1"/>
    </xf>
    <xf numFmtId="44" fontId="14" fillId="12" borderId="6" xfId="5" applyNumberFormat="1" applyFont="1" applyFill="1" applyBorder="1" applyAlignment="1">
      <alignment vertical="center"/>
    </xf>
  </cellXfs>
  <cellStyles count="8">
    <cellStyle name="Milliers" xfId="3" builtinId="3"/>
    <cellStyle name="Monétaire" xfId="1" builtinId="4"/>
    <cellStyle name="Monétaire 2" xfId="6" xr:uid="{1F12496F-352B-4FF3-93E0-5085128222D3}"/>
    <cellStyle name="Normal" xfId="0" builtinId="0"/>
    <cellStyle name="Normal 2" xfId="5" xr:uid="{A786E540-3B9D-462E-B698-75B091ED84BE}"/>
    <cellStyle name="Normal 3 2" xfId="7" xr:uid="{501BA725-B5C2-4F64-8B70-D2F06D6214AA}"/>
    <cellStyle name="Normal_Fiche de paie TEPA plus 20 salariés" xfId="4" xr:uid="{0E76391E-D5DF-4C29-9E01-5E54F37F57E1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15</xdr:row>
      <xdr:rowOff>0</xdr:rowOff>
    </xdr:from>
    <xdr:to>
      <xdr:col>16</xdr:col>
      <xdr:colOff>371475</xdr:colOff>
      <xdr:row>16</xdr:row>
      <xdr:rowOff>85725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FA5A228B-8770-4A3D-85F4-42CA8437A2B0}"/>
            </a:ext>
          </a:extLst>
        </xdr:cNvPr>
        <xdr:cNvSpPr txBox="1"/>
      </xdr:nvSpPr>
      <xdr:spPr>
        <a:xfrm>
          <a:off x="11010900" y="3514725"/>
          <a:ext cx="3790950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2,5 SMIC</a:t>
          </a:r>
        </a:p>
      </xdr:txBody>
    </xdr:sp>
    <xdr:clientData/>
  </xdr:twoCellAnchor>
  <xdr:twoCellAnchor>
    <xdr:from>
      <xdr:col>13</xdr:col>
      <xdr:colOff>152400</xdr:colOff>
      <xdr:row>25</xdr:row>
      <xdr:rowOff>0</xdr:rowOff>
    </xdr:from>
    <xdr:to>
      <xdr:col>18</xdr:col>
      <xdr:colOff>133350</xdr:colOff>
      <xdr:row>26</xdr:row>
      <xdr:rowOff>123825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E1C45FF7-E1E5-4FE6-896A-7852B89C42A8}"/>
            </a:ext>
          </a:extLst>
        </xdr:cNvPr>
        <xdr:cNvSpPr txBox="1"/>
      </xdr:nvSpPr>
      <xdr:spPr>
        <a:xfrm>
          <a:off x="12296775" y="6096000"/>
          <a:ext cx="379095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3,5 SMIC</a:t>
          </a:r>
        </a:p>
      </xdr:txBody>
    </xdr:sp>
    <xdr:clientData/>
  </xdr:twoCellAnchor>
  <xdr:twoCellAnchor>
    <xdr:from>
      <xdr:col>9</xdr:col>
      <xdr:colOff>647700</xdr:colOff>
      <xdr:row>31</xdr:row>
      <xdr:rowOff>0</xdr:rowOff>
    </xdr:from>
    <xdr:to>
      <xdr:col>14</xdr:col>
      <xdr:colOff>428625</xdr:colOff>
      <xdr:row>31</xdr:row>
      <xdr:rowOff>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DB3BD739-6D17-40E0-BE38-EAF62E4538CE}"/>
            </a:ext>
          </a:extLst>
        </xdr:cNvPr>
        <xdr:cNvSpPr txBox="1"/>
      </xdr:nvSpPr>
      <xdr:spPr>
        <a:xfrm>
          <a:off x="9505950" y="8334375"/>
          <a:ext cx="38290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salaires varient d'un mois sur l'autre</a:t>
          </a:r>
        </a:p>
      </xdr:txBody>
    </xdr:sp>
    <xdr:clientData/>
  </xdr:twoCellAnchor>
  <xdr:twoCellAnchor>
    <xdr:from>
      <xdr:col>13</xdr:col>
      <xdr:colOff>152400</xdr:colOff>
      <xdr:row>54</xdr:row>
      <xdr:rowOff>0</xdr:rowOff>
    </xdr:from>
    <xdr:to>
      <xdr:col>18</xdr:col>
      <xdr:colOff>133350</xdr:colOff>
      <xdr:row>55</xdr:row>
      <xdr:rowOff>123825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939C8857-AA34-415A-8FA1-980ACF533071}"/>
            </a:ext>
          </a:extLst>
        </xdr:cNvPr>
        <xdr:cNvSpPr txBox="1"/>
      </xdr:nvSpPr>
      <xdr:spPr>
        <a:xfrm>
          <a:off x="12296775" y="3467100"/>
          <a:ext cx="37909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3,5 SMIC</a:t>
          </a:r>
        </a:p>
      </xdr:txBody>
    </xdr:sp>
    <xdr:clientData/>
  </xdr:twoCellAnchor>
  <xdr:twoCellAnchor>
    <xdr:from>
      <xdr:col>11</xdr:col>
      <xdr:colOff>400050</xdr:colOff>
      <xdr:row>54</xdr:row>
      <xdr:rowOff>0</xdr:rowOff>
    </xdr:from>
    <xdr:to>
      <xdr:col>16</xdr:col>
      <xdr:colOff>371475</xdr:colOff>
      <xdr:row>55</xdr:row>
      <xdr:rowOff>85725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3659317A-A25A-47F8-9BF6-2E7D68228441}"/>
            </a:ext>
          </a:extLst>
        </xdr:cNvPr>
        <xdr:cNvSpPr txBox="1"/>
      </xdr:nvSpPr>
      <xdr:spPr>
        <a:xfrm>
          <a:off x="11010900" y="3333750"/>
          <a:ext cx="3790950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2,5 SMIC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53</xdr:row>
      <xdr:rowOff>0</xdr:rowOff>
    </xdr:from>
    <xdr:to>
      <xdr:col>18</xdr:col>
      <xdr:colOff>133350</xdr:colOff>
      <xdr:row>54</xdr:row>
      <xdr:rowOff>123825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DFEFCE63-DCBD-460A-9B82-F19D8C2A8E48}"/>
            </a:ext>
          </a:extLst>
        </xdr:cNvPr>
        <xdr:cNvSpPr txBox="1"/>
      </xdr:nvSpPr>
      <xdr:spPr>
        <a:xfrm>
          <a:off x="12296775" y="6162675"/>
          <a:ext cx="37909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3,5 SMIC</a:t>
          </a:r>
        </a:p>
      </xdr:txBody>
    </xdr:sp>
    <xdr:clientData/>
  </xdr:twoCellAnchor>
  <xdr:twoCellAnchor>
    <xdr:from>
      <xdr:col>11</xdr:col>
      <xdr:colOff>400050</xdr:colOff>
      <xdr:row>53</xdr:row>
      <xdr:rowOff>0</xdr:rowOff>
    </xdr:from>
    <xdr:to>
      <xdr:col>16</xdr:col>
      <xdr:colOff>371475</xdr:colOff>
      <xdr:row>54</xdr:row>
      <xdr:rowOff>85725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51DEC470-C52E-4A3A-8F37-F93DD6484D8C}"/>
            </a:ext>
          </a:extLst>
        </xdr:cNvPr>
        <xdr:cNvSpPr txBox="1"/>
      </xdr:nvSpPr>
      <xdr:spPr>
        <a:xfrm>
          <a:off x="11010900" y="6162675"/>
          <a:ext cx="3790950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2,5 SMIC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283BE-0055-40E6-B2A8-CEFD5F7470EA}">
  <dimension ref="A2:D28"/>
  <sheetViews>
    <sheetView workbookViewId="0">
      <selection activeCell="H21" sqref="H21"/>
    </sheetView>
  </sheetViews>
  <sheetFormatPr baseColWidth="10" defaultRowHeight="15" x14ac:dyDescent="0.25"/>
  <cols>
    <col min="1" max="1" width="34" bestFit="1" customWidth="1"/>
    <col min="2" max="2" width="12.28515625" customWidth="1"/>
    <col min="3" max="3" width="14.42578125" customWidth="1"/>
    <col min="4" max="4" width="15.42578125" customWidth="1"/>
  </cols>
  <sheetData>
    <row r="2" spans="1:4" ht="18.75" x14ac:dyDescent="0.25">
      <c r="A2" s="543" t="s">
        <v>9</v>
      </c>
      <c r="B2" s="544"/>
      <c r="C2" s="544"/>
      <c r="D2" s="544"/>
    </row>
    <row r="3" spans="1:4" ht="15.75" thickBot="1" x14ac:dyDescent="0.3">
      <c r="A3" s="9"/>
      <c r="B3" s="9"/>
      <c r="C3" s="9"/>
      <c r="D3" s="9"/>
    </row>
    <row r="4" spans="1:4" x14ac:dyDescent="0.25">
      <c r="A4" s="545" t="s">
        <v>10</v>
      </c>
      <c r="B4" s="546"/>
      <c r="C4" s="546"/>
      <c r="D4" s="547"/>
    </row>
    <row r="5" spans="1:4" x14ac:dyDescent="0.25">
      <c r="A5" s="292" t="s">
        <v>11</v>
      </c>
      <c r="B5" s="293"/>
      <c r="C5" s="293"/>
      <c r="D5" s="307">
        <v>3000</v>
      </c>
    </row>
    <row r="6" spans="1:4" ht="30" x14ac:dyDescent="0.25">
      <c r="A6" s="292" t="s">
        <v>12</v>
      </c>
      <c r="B6" s="293"/>
      <c r="C6" s="293"/>
      <c r="D6" s="294">
        <v>28</v>
      </c>
    </row>
    <row r="7" spans="1:4" x14ac:dyDescent="0.25">
      <c r="A7" s="292" t="s">
        <v>13</v>
      </c>
      <c r="B7" s="293"/>
      <c r="C7" s="293"/>
      <c r="D7" s="311">
        <f>+D5/D6</f>
        <v>107.14285714285714</v>
      </c>
    </row>
    <row r="8" spans="1:4" ht="45.75" thickBot="1" x14ac:dyDescent="0.3">
      <c r="A8" s="292" t="s">
        <v>14</v>
      </c>
      <c r="B8" s="293"/>
      <c r="C8" s="293"/>
      <c r="D8" s="308">
        <v>21</v>
      </c>
    </row>
    <row r="9" spans="1:4" ht="16.5" thickTop="1" thickBot="1" x14ac:dyDescent="0.3">
      <c r="A9" s="295" t="s">
        <v>15</v>
      </c>
      <c r="B9" s="296"/>
      <c r="C9" s="297"/>
      <c r="D9" s="312">
        <f>D7*D8</f>
        <v>2250</v>
      </c>
    </row>
    <row r="10" spans="1:4" ht="15.75" thickBot="1" x14ac:dyDescent="0.3">
      <c r="A10" s="298"/>
      <c r="B10" s="298"/>
      <c r="C10" s="298"/>
      <c r="D10" s="298"/>
    </row>
    <row r="11" spans="1:4" ht="15.75" thickBot="1" x14ac:dyDescent="0.3">
      <c r="A11" s="548" t="s">
        <v>16</v>
      </c>
      <c r="B11" s="549"/>
      <c r="C11" s="549"/>
      <c r="D11" s="550"/>
    </row>
    <row r="12" spans="1:4" x14ac:dyDescent="0.25">
      <c r="A12" s="299" t="s">
        <v>17</v>
      </c>
      <c r="B12" s="300"/>
      <c r="C12" s="301" t="s">
        <v>18</v>
      </c>
      <c r="D12" s="302" t="s">
        <v>19</v>
      </c>
    </row>
    <row r="13" spans="1:4" x14ac:dyDescent="0.25">
      <c r="A13" s="245" t="s">
        <v>20</v>
      </c>
      <c r="B13" s="309">
        <v>44197</v>
      </c>
      <c r="C13" s="310">
        <v>5850</v>
      </c>
      <c r="D13" s="313">
        <f>1.8*1603.12</f>
        <v>2885.616</v>
      </c>
    </row>
    <row r="14" spans="1:4" x14ac:dyDescent="0.25">
      <c r="A14" s="245" t="s">
        <v>21</v>
      </c>
      <c r="B14" s="309">
        <v>44531</v>
      </c>
      <c r="C14" s="310">
        <v>2900</v>
      </c>
      <c r="D14" s="313">
        <f t="shared" ref="D14:D15" si="0">1.8*1603.12</f>
        <v>2885.616</v>
      </c>
    </row>
    <row r="15" spans="1:4" x14ac:dyDescent="0.25">
      <c r="A15" s="245" t="s">
        <v>22</v>
      </c>
      <c r="B15" s="309">
        <v>44501</v>
      </c>
      <c r="C15" s="310">
        <v>2900</v>
      </c>
      <c r="D15" s="313">
        <f t="shared" si="0"/>
        <v>2885.616</v>
      </c>
    </row>
    <row r="16" spans="1:4" x14ac:dyDescent="0.25">
      <c r="A16" s="245" t="s">
        <v>23</v>
      </c>
      <c r="B16" s="303"/>
      <c r="C16" s="303"/>
      <c r="D16" s="247">
        <f>SUM(D13:D15)</f>
        <v>8656.848</v>
      </c>
    </row>
    <row r="17" spans="1:4" x14ac:dyDescent="0.25">
      <c r="A17" s="245" t="s">
        <v>24</v>
      </c>
      <c r="B17" s="303"/>
      <c r="C17" s="303"/>
      <c r="D17" s="247">
        <f>D16/91.25*0.5</f>
        <v>47.434783561643833</v>
      </c>
    </row>
    <row r="18" spans="1:4" x14ac:dyDescent="0.25">
      <c r="A18" s="245" t="s">
        <v>190</v>
      </c>
      <c r="B18" s="303"/>
      <c r="C18" s="354" t="s">
        <v>191</v>
      </c>
      <c r="D18" s="304">
        <f>D8-3</f>
        <v>18</v>
      </c>
    </row>
    <row r="19" spans="1:4" x14ac:dyDescent="0.25">
      <c r="A19" s="245" t="s">
        <v>25</v>
      </c>
      <c r="B19" s="303"/>
      <c r="C19" s="303"/>
      <c r="D19" s="319">
        <f>D18*D17</f>
        <v>853.82610410958898</v>
      </c>
    </row>
    <row r="20" spans="1:4" x14ac:dyDescent="0.25">
      <c r="A20" s="245" t="s">
        <v>26</v>
      </c>
      <c r="B20" s="303"/>
      <c r="C20" s="303"/>
      <c r="D20" s="247">
        <f>D19*6.7%</f>
        <v>57.206348975342465</v>
      </c>
    </row>
    <row r="21" spans="1:4" ht="15.75" thickBot="1" x14ac:dyDescent="0.3">
      <c r="A21" s="305" t="s">
        <v>27</v>
      </c>
      <c r="B21" s="306"/>
      <c r="C21" s="306"/>
      <c r="D21" s="314">
        <f>D19-D20</f>
        <v>796.61975513424647</v>
      </c>
    </row>
    <row r="22" spans="1:4" ht="15.75" thickBot="1" x14ac:dyDescent="0.3">
      <c r="A22" s="9"/>
      <c r="B22" s="9"/>
      <c r="C22" s="9"/>
      <c r="D22" s="9"/>
    </row>
    <row r="23" spans="1:4" x14ac:dyDescent="0.25">
      <c r="A23" s="545" t="s">
        <v>28</v>
      </c>
      <c r="B23" s="546"/>
      <c r="C23" s="546"/>
      <c r="D23" s="547"/>
    </row>
    <row r="24" spans="1:4" x14ac:dyDescent="0.25">
      <c r="A24" s="292" t="s">
        <v>29</v>
      </c>
      <c r="B24" s="293"/>
      <c r="C24" s="353" t="s">
        <v>227</v>
      </c>
      <c r="D24" s="316">
        <f>D8-7</f>
        <v>14</v>
      </c>
    </row>
    <row r="25" spans="1:4" ht="15.75" thickBot="1" x14ac:dyDescent="0.3">
      <c r="A25" s="292" t="s">
        <v>30</v>
      </c>
      <c r="B25" s="293">
        <v>107.14</v>
      </c>
      <c r="C25" s="355">
        <v>0.9</v>
      </c>
      <c r="D25" s="294">
        <f>C25*B25</f>
        <v>96.426000000000002</v>
      </c>
    </row>
    <row r="26" spans="1:4" ht="16.5" thickTop="1" thickBot="1" x14ac:dyDescent="0.3">
      <c r="A26" s="292" t="s">
        <v>31</v>
      </c>
      <c r="B26" s="293"/>
      <c r="C26" s="293"/>
      <c r="D26" s="312">
        <f>D24*D25</f>
        <v>1349.9639999999999</v>
      </c>
    </row>
    <row r="27" spans="1:4" ht="16.5" thickTop="1" thickBot="1" x14ac:dyDescent="0.3">
      <c r="A27" s="245" t="s">
        <v>32</v>
      </c>
      <c r="B27" s="293"/>
      <c r="C27" s="293"/>
      <c r="D27" s="317">
        <f>D17</f>
        <v>47.434783561643833</v>
      </c>
    </row>
    <row r="28" spans="1:4" ht="23.25" customHeight="1" thickTop="1" thickBot="1" x14ac:dyDescent="0.3">
      <c r="A28" s="295" t="s">
        <v>33</v>
      </c>
      <c r="B28" s="320">
        <f>D24</f>
        <v>14</v>
      </c>
      <c r="C28" s="318">
        <f>D27</f>
        <v>47.434783561643833</v>
      </c>
      <c r="D28" s="312">
        <f>C28*B28</f>
        <v>664.08696986301368</v>
      </c>
    </row>
  </sheetData>
  <mergeCells count="4">
    <mergeCell ref="A2:D2"/>
    <mergeCell ref="A4:D4"/>
    <mergeCell ref="A11:D11"/>
    <mergeCell ref="A23:D2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6DAA6-6E73-484E-B74B-689099AF704C}">
  <dimension ref="A3:H10"/>
  <sheetViews>
    <sheetView workbookViewId="0">
      <selection activeCell="D10" sqref="D10"/>
    </sheetView>
  </sheetViews>
  <sheetFormatPr baseColWidth="10" defaultRowHeight="15" x14ac:dyDescent="0.25"/>
  <cols>
    <col min="1" max="1" width="21.42578125" style="493" customWidth="1"/>
    <col min="2" max="2" width="13" style="493" bestFit="1" customWidth="1"/>
    <col min="3" max="3" width="12.7109375" style="493" bestFit="1" customWidth="1"/>
    <col min="4" max="5" width="16.85546875" style="493" bestFit="1" customWidth="1"/>
    <col min="6" max="6" width="12.42578125" style="493" bestFit="1" customWidth="1"/>
    <col min="7" max="7" width="12.85546875" style="493" customWidth="1"/>
    <col min="8" max="8" width="13" style="493" bestFit="1" customWidth="1"/>
    <col min="9" max="9" width="13.7109375" style="493" customWidth="1"/>
    <col min="10" max="10" width="14.42578125" style="493" customWidth="1"/>
    <col min="11" max="11" width="11.85546875" style="493" bestFit="1" customWidth="1"/>
    <col min="12" max="12" width="11.5703125" style="493" bestFit="1" customWidth="1"/>
    <col min="13" max="16384" width="11.42578125" style="493"/>
  </cols>
  <sheetData>
    <row r="3" spans="1:8" ht="21.75" thickBot="1" x14ac:dyDescent="0.3">
      <c r="A3" s="553" t="s">
        <v>249</v>
      </c>
      <c r="B3" s="554"/>
      <c r="C3" s="554"/>
      <c r="D3" s="554"/>
      <c r="E3" s="554"/>
      <c r="F3" s="554"/>
      <c r="G3" s="554"/>
      <c r="H3" s="554"/>
    </row>
    <row r="4" spans="1:8" ht="15.75" thickBot="1" x14ac:dyDescent="0.3">
      <c r="A4" s="266" t="s">
        <v>167</v>
      </c>
      <c r="B4" s="395">
        <v>0.31950000000000001</v>
      </c>
    </row>
    <row r="5" spans="1:8" ht="15.75" thickBot="1" x14ac:dyDescent="0.3"/>
    <row r="6" spans="1:8" ht="30" x14ac:dyDescent="0.25">
      <c r="A6" s="3" t="s">
        <v>168</v>
      </c>
      <c r="B6" s="269" t="s">
        <v>169</v>
      </c>
      <c r="C6" s="269" t="s">
        <v>170</v>
      </c>
      <c r="D6" s="332" t="s">
        <v>171</v>
      </c>
      <c r="E6" s="271" t="s">
        <v>172</v>
      </c>
      <c r="F6" s="271" t="s">
        <v>173</v>
      </c>
      <c r="G6" s="271" t="s">
        <v>174</v>
      </c>
      <c r="H6" s="272" t="s">
        <v>175</v>
      </c>
    </row>
    <row r="7" spans="1:8" x14ac:dyDescent="0.25">
      <c r="A7" s="326" t="s">
        <v>200</v>
      </c>
      <c r="B7" s="585">
        <v>2000</v>
      </c>
      <c r="C7" s="344">
        <f>B7</f>
        <v>2000</v>
      </c>
      <c r="D7" s="396">
        <v>1603.12</v>
      </c>
      <c r="E7" s="343">
        <f>+D7</f>
        <v>1603.12</v>
      </c>
      <c r="F7" s="345">
        <f>ROUND(($B$4/0.6)*((1.6*E7/C7)-1),4)</f>
        <v>0.15040000000000001</v>
      </c>
      <c r="G7" s="344">
        <f>IF(F7&gt;0,F7*C7,0)</f>
        <v>300.8</v>
      </c>
      <c r="H7" s="357">
        <f>G7</f>
        <v>300.8</v>
      </c>
    </row>
    <row r="8" spans="1:8" x14ac:dyDescent="0.25">
      <c r="A8" s="326" t="s">
        <v>201</v>
      </c>
      <c r="B8" s="585">
        <v>2000</v>
      </c>
      <c r="C8" s="344">
        <f>C7+B8</f>
        <v>4000</v>
      </c>
      <c r="D8" s="396">
        <v>1603.12</v>
      </c>
      <c r="E8" s="343">
        <f>D8+E7</f>
        <v>3206.24</v>
      </c>
      <c r="F8" s="345">
        <f t="shared" ref="F8:F9" si="0">ROUND(($B$4/0.6)*((1.6*E8/C8)-1),4)</f>
        <v>0.15040000000000001</v>
      </c>
      <c r="G8" s="344">
        <f>IF(F8&gt;0,F8*C8,0)</f>
        <v>601.6</v>
      </c>
      <c r="H8" s="357">
        <f>G8-G7</f>
        <v>300.8</v>
      </c>
    </row>
    <row r="9" spans="1:8" x14ac:dyDescent="0.25">
      <c r="A9" s="326" t="s">
        <v>202</v>
      </c>
      <c r="B9" s="585">
        <f>+'BULLETIN ACCIDENT DU TRAVAIL'!E37</f>
        <v>1173.8117961443022</v>
      </c>
      <c r="C9" s="344">
        <f t="shared" ref="C9" si="1">C8+B9</f>
        <v>5173.8117961443022</v>
      </c>
      <c r="D9" s="396">
        <f>1603.12*B9/B8</f>
        <v>940.88058331742684</v>
      </c>
      <c r="E9" s="343">
        <f t="shared" ref="E9" si="2">D9+E8</f>
        <v>4147.1205833174263</v>
      </c>
      <c r="F9" s="345">
        <f t="shared" si="0"/>
        <v>0.15040000000000001</v>
      </c>
      <c r="G9" s="344">
        <f t="shared" ref="G9" si="3">IF(F9&gt;0,F9*C9,0)</f>
        <v>778.14129414010313</v>
      </c>
      <c r="H9" s="357">
        <f t="shared" ref="H9" si="4">G9-G8</f>
        <v>176.5412941401031</v>
      </c>
    </row>
    <row r="10" spans="1:8" x14ac:dyDescent="0.25">
      <c r="D10" s="493" t="s">
        <v>393</v>
      </c>
    </row>
  </sheetData>
  <mergeCells count="1">
    <mergeCell ref="A3:H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D9CD6-DB1A-43D5-878A-75D71C879935}">
  <sheetPr>
    <tabColor rgb="FFFF0000"/>
  </sheetPr>
  <dimension ref="B1:P158"/>
  <sheetViews>
    <sheetView tabSelected="1" topLeftCell="A43" zoomScale="120" zoomScaleNormal="120" workbookViewId="0">
      <selection activeCell="G64" sqref="G64"/>
    </sheetView>
  </sheetViews>
  <sheetFormatPr baseColWidth="10" defaultRowHeight="15" x14ac:dyDescent="0.25"/>
  <cols>
    <col min="1" max="1" width="20.28515625" style="9" customWidth="1"/>
    <col min="2" max="2" width="63.5703125" style="9" customWidth="1"/>
    <col min="3" max="3" width="15" style="9" bestFit="1" customWidth="1"/>
    <col min="4" max="4" width="17.140625" style="9" bestFit="1" customWidth="1"/>
    <col min="5" max="5" width="25.5703125" style="9" bestFit="1" customWidth="1"/>
    <col min="6" max="6" width="12.5703125" style="9" customWidth="1"/>
    <col min="7" max="7" width="18.28515625" style="9" customWidth="1"/>
    <col min="8" max="8" width="12.5703125" style="9" bestFit="1" customWidth="1"/>
    <col min="9" max="9" width="52.140625" style="9" customWidth="1"/>
    <col min="10" max="10" width="12.42578125" style="9" customWidth="1"/>
    <col min="11" max="11" width="12" style="9" customWidth="1"/>
    <col min="12" max="12" width="11.42578125" style="9"/>
    <col min="13" max="13" width="12.140625" style="9" bestFit="1" customWidth="1"/>
    <col min="14" max="15" width="12" style="9" bestFit="1" customWidth="1"/>
    <col min="16" max="16384" width="11.42578125" style="9"/>
  </cols>
  <sheetData>
    <row r="1" spans="2:11" ht="15.75" thickBot="1" x14ac:dyDescent="0.3">
      <c r="B1" s="10" t="s">
        <v>34</v>
      </c>
      <c r="C1" s="11"/>
      <c r="D1" s="11"/>
      <c r="E1" s="11"/>
      <c r="F1" s="11"/>
      <c r="G1" s="12"/>
    </row>
    <row r="2" spans="2:11" x14ac:dyDescent="0.25">
      <c r="B2" s="14" t="s">
        <v>36</v>
      </c>
      <c r="C2" s="15"/>
      <c r="D2" s="16"/>
      <c r="E2" s="17" t="s">
        <v>37</v>
      </c>
      <c r="F2" s="15"/>
      <c r="G2" s="16"/>
    </row>
    <row r="3" spans="2:11" ht="15.75" thickBot="1" x14ac:dyDescent="0.3">
      <c r="B3" s="18" t="s">
        <v>38</v>
      </c>
      <c r="C3" s="19"/>
      <c r="D3" s="20"/>
      <c r="E3" s="21" t="s">
        <v>38</v>
      </c>
      <c r="F3" s="22"/>
      <c r="G3" s="23"/>
    </row>
    <row r="4" spans="2:11" ht="15.75" hidden="1" thickBot="1" x14ac:dyDescent="0.3">
      <c r="B4" s="18" t="s">
        <v>39</v>
      </c>
      <c r="C4" s="19"/>
      <c r="D4" s="20"/>
      <c r="E4" s="21" t="s">
        <v>40</v>
      </c>
      <c r="F4" s="22"/>
      <c r="G4" s="23"/>
    </row>
    <row r="5" spans="2:11" ht="15.75" hidden="1" thickBot="1" x14ac:dyDescent="0.3">
      <c r="B5" s="18" t="s">
        <v>42</v>
      </c>
      <c r="C5" s="19"/>
      <c r="D5" s="20"/>
      <c r="E5" s="21" t="s">
        <v>43</v>
      </c>
      <c r="F5" s="22"/>
      <c r="G5" s="23"/>
    </row>
    <row r="6" spans="2:11" ht="15.75" hidden="1" thickBot="1" x14ac:dyDescent="0.3">
      <c r="B6" s="18" t="s">
        <v>42</v>
      </c>
      <c r="C6" s="19"/>
      <c r="D6" s="20"/>
      <c r="E6" s="21" t="s">
        <v>45</v>
      </c>
      <c r="F6" s="22"/>
      <c r="G6" s="23"/>
    </row>
    <row r="7" spans="2:11" ht="15.75" hidden="1" thickBot="1" x14ac:dyDescent="0.3">
      <c r="B7" s="18" t="s">
        <v>46</v>
      </c>
      <c r="C7" s="19"/>
      <c r="D7" s="20"/>
      <c r="E7" s="21"/>
      <c r="F7" s="22"/>
      <c r="G7" s="23"/>
    </row>
    <row r="8" spans="2:11" ht="15.75" hidden="1" thickBot="1" x14ac:dyDescent="0.3">
      <c r="B8" s="18" t="s">
        <v>48</v>
      </c>
      <c r="C8" s="19"/>
      <c r="D8" s="20"/>
      <c r="E8" s="21" t="s">
        <v>49</v>
      </c>
      <c r="F8" s="22"/>
      <c r="G8" s="23"/>
      <c r="K8" s="31"/>
    </row>
    <row r="9" spans="2:11" ht="15.75" hidden="1" thickBot="1" x14ac:dyDescent="0.3">
      <c r="B9" s="18" t="s">
        <v>52</v>
      </c>
      <c r="C9" s="19"/>
      <c r="D9" s="20"/>
      <c r="E9" s="21" t="s">
        <v>53</v>
      </c>
      <c r="F9" s="32" t="s">
        <v>54</v>
      </c>
      <c r="G9" s="23"/>
    </row>
    <row r="10" spans="2:11" ht="15.75" hidden="1" thickBot="1" x14ac:dyDescent="0.3">
      <c r="B10" s="18" t="s">
        <v>56</v>
      </c>
      <c r="C10" s="19"/>
      <c r="D10" s="20"/>
      <c r="E10" s="21" t="s">
        <v>57</v>
      </c>
      <c r="F10" s="32"/>
      <c r="G10" s="23"/>
    </row>
    <row r="11" spans="2:11" ht="15.75" hidden="1" thickBot="1" x14ac:dyDescent="0.3">
      <c r="B11" s="18" t="s">
        <v>58</v>
      </c>
      <c r="C11" s="19"/>
      <c r="D11" s="20"/>
      <c r="E11" s="21" t="s">
        <v>59</v>
      </c>
      <c r="F11" s="32"/>
      <c r="G11" s="23"/>
    </row>
    <row r="12" spans="2:11" ht="15.75" hidden="1" thickBot="1" x14ac:dyDescent="0.3">
      <c r="B12" s="18" t="s">
        <v>61</v>
      </c>
      <c r="C12" s="19">
        <v>4</v>
      </c>
      <c r="D12" s="20"/>
      <c r="E12" s="21" t="s">
        <v>62</v>
      </c>
      <c r="F12" s="35"/>
      <c r="G12" s="36"/>
    </row>
    <row r="13" spans="2:11" ht="15.75" hidden="1" thickBot="1" x14ac:dyDescent="0.3">
      <c r="B13" s="18" t="s">
        <v>64</v>
      </c>
      <c r="C13" s="19"/>
      <c r="D13" s="20"/>
      <c r="E13" s="21" t="s">
        <v>65</v>
      </c>
      <c r="F13" s="37"/>
      <c r="G13" s="23"/>
    </row>
    <row r="14" spans="2:11" ht="15.75" hidden="1" thickBot="1" x14ac:dyDescent="0.3">
      <c r="B14" s="18"/>
      <c r="C14" s="19"/>
      <c r="D14" s="20"/>
      <c r="E14" s="21" t="s">
        <v>67</v>
      </c>
      <c r="F14" s="22"/>
      <c r="G14" s="23"/>
    </row>
    <row r="15" spans="2:11" ht="15.75" hidden="1" thickBot="1" x14ac:dyDescent="0.3">
      <c r="B15" s="21"/>
      <c r="C15" s="19"/>
      <c r="D15" s="20"/>
      <c r="E15" s="21"/>
      <c r="F15" s="22"/>
      <c r="G15" s="23"/>
    </row>
    <row r="16" spans="2:11" ht="15.75" hidden="1" thickBot="1" x14ac:dyDescent="0.3">
      <c r="B16" s="38"/>
      <c r="C16" s="39"/>
      <c r="D16" s="40"/>
      <c r="E16" s="38"/>
      <c r="F16" s="41"/>
      <c r="G16" s="42"/>
    </row>
    <row r="17" spans="2:16" ht="15.75" thickBot="1" x14ac:dyDescent="0.3">
      <c r="B17" s="43" t="s">
        <v>71</v>
      </c>
      <c r="C17" s="567"/>
      <c r="D17" s="568"/>
      <c r="E17" s="44" t="s">
        <v>72</v>
      </c>
      <c r="F17" s="567"/>
      <c r="G17" s="569"/>
    </row>
    <row r="18" spans="2:16" ht="20.25" customHeight="1" thickBot="1" x14ac:dyDescent="0.3">
      <c r="B18" s="46" t="s">
        <v>74</v>
      </c>
      <c r="C18" s="47"/>
      <c r="D18" s="47"/>
      <c r="E18" s="47"/>
      <c r="F18" s="47"/>
      <c r="G18" s="48"/>
    </row>
    <row r="19" spans="2:16" ht="24" customHeight="1" thickBot="1" x14ac:dyDescent="0.3">
      <c r="B19" s="50" t="s">
        <v>74</v>
      </c>
      <c r="C19" s="51" t="s">
        <v>76</v>
      </c>
      <c r="D19" s="51" t="s">
        <v>77</v>
      </c>
      <c r="E19" s="52" t="s">
        <v>78</v>
      </c>
      <c r="F19" s="53"/>
      <c r="G19" s="53"/>
    </row>
    <row r="20" spans="2:16" s="54" customFormat="1" ht="15.75" thickBot="1" x14ac:dyDescent="0.3">
      <c r="B20" s="17" t="s">
        <v>11</v>
      </c>
      <c r="C20" s="55"/>
      <c r="D20" s="56"/>
      <c r="E20" s="24">
        <f>J32</f>
        <v>2000</v>
      </c>
      <c r="F20" s="57"/>
      <c r="G20" s="58"/>
      <c r="H20" s="9"/>
      <c r="I20" s="9"/>
      <c r="J20" s="9"/>
      <c r="K20" s="9"/>
      <c r="L20" s="9"/>
      <c r="M20" s="9"/>
      <c r="N20" s="9"/>
      <c r="O20" s="9"/>
      <c r="P20" s="9"/>
    </row>
    <row r="21" spans="2:16" s="54" customFormat="1" ht="15.75" hidden="1" thickBot="1" x14ac:dyDescent="0.3">
      <c r="B21" s="61"/>
      <c r="C21" s="62"/>
      <c r="D21" s="63"/>
      <c r="E21" s="64"/>
      <c r="F21" s="65"/>
      <c r="G21" s="66"/>
      <c r="I21" s="9"/>
      <c r="J21" s="9"/>
      <c r="K21" s="9"/>
      <c r="L21" s="9"/>
      <c r="M21" s="9"/>
      <c r="N21" s="9"/>
      <c r="O21" s="9"/>
      <c r="P21" s="9"/>
    </row>
    <row r="22" spans="2:16" s="54" customFormat="1" ht="15.75" hidden="1" thickBot="1" x14ac:dyDescent="0.3">
      <c r="B22" s="61"/>
      <c r="C22" s="62"/>
      <c r="D22" s="67"/>
      <c r="E22" s="64"/>
      <c r="F22" s="65"/>
      <c r="G22" s="66"/>
      <c r="I22" s="9"/>
      <c r="J22" s="9"/>
      <c r="K22" s="9"/>
      <c r="L22" s="9"/>
      <c r="M22" s="9"/>
      <c r="N22" s="9"/>
      <c r="O22" s="9"/>
      <c r="P22" s="9"/>
    </row>
    <row r="23" spans="2:16" s="54" customFormat="1" ht="27.75" hidden="1" thickBot="1" x14ac:dyDescent="0.3">
      <c r="B23" s="61"/>
      <c r="C23" s="62"/>
      <c r="D23" s="63"/>
      <c r="E23" s="64"/>
      <c r="F23" s="65"/>
      <c r="G23" s="66"/>
      <c r="I23" s="82"/>
      <c r="J23" s="9"/>
      <c r="K23" s="9"/>
      <c r="L23" s="9"/>
      <c r="M23" s="9"/>
      <c r="N23" s="9"/>
      <c r="O23" s="9"/>
      <c r="P23" s="9"/>
    </row>
    <row r="24" spans="2:16" ht="15.75" hidden="1" thickBot="1" x14ac:dyDescent="0.3">
      <c r="B24" s="21" t="s">
        <v>63</v>
      </c>
      <c r="C24" s="22"/>
      <c r="D24" s="69">
        <f>IF($J$33&gt;=151.67,$J$32/151.67*1.25,0)</f>
        <v>16.483154216390851</v>
      </c>
      <c r="E24" s="70">
        <f>D24*C24</f>
        <v>0</v>
      </c>
      <c r="F24" s="71"/>
      <c r="G24" s="72"/>
    </row>
    <row r="25" spans="2:16" ht="16.5" hidden="1" thickBot="1" x14ac:dyDescent="0.3">
      <c r="B25" s="21" t="s">
        <v>66</v>
      </c>
      <c r="C25" s="22"/>
      <c r="D25" s="69">
        <f>IF($J$33&gt;=151.67,$J$32/151.67*1.5,0)</f>
        <v>19.77978505966902</v>
      </c>
      <c r="E25" s="70">
        <f>D25*C25</f>
        <v>0</v>
      </c>
      <c r="F25" s="71"/>
      <c r="G25" s="74"/>
      <c r="K25" s="76"/>
    </row>
    <row r="26" spans="2:16" ht="15.75" hidden="1" thickBot="1" x14ac:dyDescent="0.3">
      <c r="B26" s="21" t="s">
        <v>68</v>
      </c>
      <c r="C26" s="22"/>
      <c r="D26" s="22">
        <f>IF($J$33&lt;151.67,$E$20/151.67*1.1,0)</f>
        <v>0</v>
      </c>
      <c r="E26" s="70">
        <f t="shared" ref="E26:E27" si="0">D26*C26</f>
        <v>0</v>
      </c>
      <c r="F26" s="71"/>
      <c r="G26" s="74"/>
    </row>
    <row r="27" spans="2:16" ht="15.75" hidden="1" thickBot="1" x14ac:dyDescent="0.3">
      <c r="B27" s="21" t="s">
        <v>69</v>
      </c>
      <c r="C27" s="22"/>
      <c r="D27" s="22">
        <f>IF($J$33&lt;151.67,$E$20/151.67*1.1,0)</f>
        <v>0</v>
      </c>
      <c r="E27" s="70">
        <f t="shared" si="0"/>
        <v>0</v>
      </c>
      <c r="F27" s="71"/>
      <c r="G27" s="74"/>
    </row>
    <row r="28" spans="2:16" ht="15.75" hidden="1" thickBot="1" x14ac:dyDescent="0.3">
      <c r="B28" s="21"/>
      <c r="C28" s="22"/>
      <c r="D28" s="22"/>
      <c r="E28" s="70"/>
      <c r="F28" s="71"/>
      <c r="G28" s="74"/>
    </row>
    <row r="29" spans="2:16" ht="15.75" hidden="1" thickBot="1" x14ac:dyDescent="0.3">
      <c r="B29" s="21"/>
      <c r="C29" s="79"/>
      <c r="D29" s="69"/>
      <c r="E29" s="70"/>
      <c r="F29" s="80"/>
      <c r="G29" s="81"/>
    </row>
    <row r="30" spans="2:16" ht="23.25" hidden="1" thickBot="1" x14ac:dyDescent="0.3">
      <c r="B30" s="21"/>
      <c r="C30" s="79"/>
      <c r="D30" s="22"/>
      <c r="E30" s="70"/>
      <c r="F30" s="80"/>
      <c r="G30" s="81"/>
      <c r="I30" s="13" t="s">
        <v>35</v>
      </c>
    </row>
    <row r="31" spans="2:16" ht="15.75" hidden="1" thickBot="1" x14ac:dyDescent="0.3">
      <c r="B31" s="21"/>
      <c r="C31" s="83"/>
      <c r="D31" s="84"/>
      <c r="E31" s="85"/>
      <c r="F31" s="86"/>
      <c r="G31" s="87"/>
    </row>
    <row r="32" spans="2:16" ht="15.75" thickBot="1" x14ac:dyDescent="0.3">
      <c r="B32" s="88" t="s">
        <v>90</v>
      </c>
      <c r="C32" s="593">
        <f>+E139</f>
        <v>18</v>
      </c>
      <c r="D32" s="594">
        <f>+E138</f>
        <v>64.516129032258064</v>
      </c>
      <c r="E32" s="85">
        <f>+-D32*C32</f>
        <v>-1161.2903225806451</v>
      </c>
      <c r="F32" s="92"/>
      <c r="G32" s="93"/>
      <c r="I32" s="17" t="s">
        <v>11</v>
      </c>
      <c r="J32" s="24">
        <v>2000</v>
      </c>
    </row>
    <row r="33" spans="2:10" x14ac:dyDescent="0.25">
      <c r="B33" s="94" t="s">
        <v>91</v>
      </c>
      <c r="C33" s="593">
        <f>+C158</f>
        <v>18</v>
      </c>
      <c r="D33" s="262">
        <f>+E147</f>
        <v>39.447731755424059</v>
      </c>
      <c r="E33" s="85">
        <f>+-D33*C33</f>
        <v>-710.05917159763305</v>
      </c>
      <c r="F33" s="98"/>
      <c r="G33" s="99"/>
      <c r="I33" s="21" t="s">
        <v>41</v>
      </c>
      <c r="J33" s="25">
        <v>151.66999999999999</v>
      </c>
    </row>
    <row r="34" spans="2:10" ht="15.75" thickBot="1" x14ac:dyDescent="0.3">
      <c r="B34" s="88" t="s">
        <v>28</v>
      </c>
      <c r="C34" s="593">
        <f>+C33</f>
        <v>18</v>
      </c>
      <c r="D34" s="262">
        <f>+D32*0.9</f>
        <v>58.064516129032256</v>
      </c>
      <c r="E34" s="85">
        <f>+D34*C34</f>
        <v>1045.1612903225805</v>
      </c>
      <c r="F34" s="98"/>
      <c r="G34" s="99"/>
      <c r="I34" s="26" t="s">
        <v>8</v>
      </c>
      <c r="J34" s="27">
        <v>1</v>
      </c>
    </row>
    <row r="35" spans="2:10" ht="15.75" hidden="1" thickBot="1" x14ac:dyDescent="0.3">
      <c r="B35" s="94"/>
      <c r="C35" s="95"/>
      <c r="D35" s="96"/>
      <c r="E35" s="97"/>
      <c r="F35" s="98"/>
      <c r="G35" s="99"/>
      <c r="I35" s="21" t="s">
        <v>47</v>
      </c>
      <c r="J35" s="584">
        <v>5.1499999999999997E-2</v>
      </c>
    </row>
    <row r="36" spans="2:10" ht="15.75" hidden="1" thickBot="1" x14ac:dyDescent="0.3">
      <c r="B36" s="100" t="s">
        <v>92</v>
      </c>
      <c r="C36" s="95">
        <f>J18</f>
        <v>0</v>
      </c>
      <c r="D36" s="96">
        <f>J17</f>
        <v>0</v>
      </c>
      <c r="E36" s="101">
        <f>C36*D36</f>
        <v>0</v>
      </c>
      <c r="F36" s="98"/>
      <c r="G36" s="99"/>
      <c r="I36" s="21" t="s">
        <v>55</v>
      </c>
      <c r="J36" s="33">
        <v>10.57</v>
      </c>
    </row>
    <row r="37" spans="2:10" ht="16.5" thickTop="1" thickBot="1" x14ac:dyDescent="0.3">
      <c r="B37" s="102" t="s">
        <v>93</v>
      </c>
      <c r="C37" s="103"/>
      <c r="D37" s="104"/>
      <c r="E37" s="105">
        <f>SUM(E20:E36)</f>
        <v>1173.8117961443022</v>
      </c>
      <c r="F37" s="98"/>
      <c r="G37" s="99"/>
      <c r="I37" s="4" t="s">
        <v>0</v>
      </c>
      <c r="J37" s="583">
        <v>35</v>
      </c>
    </row>
    <row r="38" spans="2:10" ht="15.75" thickBot="1" x14ac:dyDescent="0.3">
      <c r="B38" s="106"/>
      <c r="C38" s="107"/>
      <c r="D38" s="108"/>
      <c r="E38" s="108"/>
      <c r="F38" s="109"/>
      <c r="G38" s="110"/>
      <c r="I38" s="26" t="s">
        <v>73</v>
      </c>
      <c r="J38" s="358">
        <f>E37</f>
        <v>1173.8117961443022</v>
      </c>
    </row>
    <row r="39" spans="2:10" ht="28.5" x14ac:dyDescent="0.25">
      <c r="B39" s="111" t="s">
        <v>94</v>
      </c>
      <c r="C39" s="112" t="s">
        <v>95</v>
      </c>
      <c r="D39" s="112" t="s">
        <v>96</v>
      </c>
      <c r="E39" s="112" t="s">
        <v>97</v>
      </c>
      <c r="F39" s="112" t="s">
        <v>96</v>
      </c>
      <c r="G39" s="113" t="s">
        <v>98</v>
      </c>
      <c r="I39" s="26" t="s">
        <v>75</v>
      </c>
      <c r="J39" s="45"/>
    </row>
    <row r="40" spans="2:10" x14ac:dyDescent="0.25">
      <c r="B40" s="114" t="s">
        <v>99</v>
      </c>
      <c r="C40" s="115"/>
      <c r="D40" s="116"/>
      <c r="E40" s="116"/>
      <c r="F40" s="117"/>
      <c r="G40" s="118"/>
      <c r="I40" s="21" t="s">
        <v>79</v>
      </c>
      <c r="J40" s="580">
        <v>0.31950000000000001</v>
      </c>
    </row>
    <row r="41" spans="2:10" x14ac:dyDescent="0.25">
      <c r="B41" s="119" t="s">
        <v>100</v>
      </c>
      <c r="C41" s="95">
        <f>$E$37</f>
        <v>1173.8117961443022</v>
      </c>
      <c r="D41" s="120"/>
      <c r="E41" s="121"/>
      <c r="F41" s="122">
        <f>IF(E37&lt;=2.5*J36*151.6667,7%,13%)</f>
        <v>7.0000000000000007E-2</v>
      </c>
      <c r="G41" s="123">
        <f>F41*C41</f>
        <v>82.166825730101166</v>
      </c>
      <c r="I41" s="59" t="s">
        <v>80</v>
      </c>
      <c r="J41" s="590">
        <v>5.1499999999999997E-2</v>
      </c>
    </row>
    <row r="42" spans="2:10" ht="15.75" thickBot="1" x14ac:dyDescent="0.3">
      <c r="B42" s="119" t="s">
        <v>101</v>
      </c>
      <c r="C42" s="95">
        <f>$J$38</f>
        <v>1173.8117961443022</v>
      </c>
      <c r="D42" s="124"/>
      <c r="E42" s="125"/>
      <c r="F42" s="126">
        <f>J16</f>
        <v>0</v>
      </c>
      <c r="G42" s="123">
        <f>F42*C42</f>
        <v>0</v>
      </c>
      <c r="I42" s="38" t="s">
        <v>83</v>
      </c>
      <c r="J42" s="589">
        <v>0.02</v>
      </c>
    </row>
    <row r="43" spans="2:10" x14ac:dyDescent="0.25">
      <c r="B43" s="119"/>
      <c r="C43" s="95"/>
      <c r="D43" s="124"/>
      <c r="E43" s="125"/>
      <c r="F43" s="126"/>
      <c r="G43" s="123"/>
    </row>
    <row r="44" spans="2:10" x14ac:dyDescent="0.25">
      <c r="B44" s="119" t="s">
        <v>103</v>
      </c>
      <c r="C44" s="95">
        <f>E37</f>
        <v>1173.8117961443022</v>
      </c>
      <c r="D44" s="124"/>
      <c r="E44" s="125"/>
      <c r="F44" s="126">
        <f>J42</f>
        <v>0.02</v>
      </c>
      <c r="G44" s="123">
        <f>F44*C44</f>
        <v>23.476235922886044</v>
      </c>
    </row>
    <row r="45" spans="2:10" x14ac:dyDescent="0.25">
      <c r="B45" s="127" t="s">
        <v>104</v>
      </c>
      <c r="C45" s="95">
        <f>J38+J39</f>
        <v>1173.8117961443022</v>
      </c>
      <c r="E45" s="95"/>
      <c r="F45" s="128">
        <f>J35</f>
        <v>5.1499999999999997E-2</v>
      </c>
      <c r="G45" s="123">
        <f>F45*C45</f>
        <v>60.451307501431558</v>
      </c>
    </row>
    <row r="46" spans="2:10" x14ac:dyDescent="0.25">
      <c r="B46" s="114" t="s">
        <v>105</v>
      </c>
      <c r="C46" s="115"/>
      <c r="D46" s="116"/>
      <c r="E46" s="116"/>
      <c r="F46" s="117"/>
      <c r="G46" s="118"/>
    </row>
    <row r="47" spans="2:10" x14ac:dyDescent="0.25">
      <c r="B47" s="119" t="s">
        <v>106</v>
      </c>
      <c r="C47" s="95">
        <f>$J$38</f>
        <v>1173.8117961443022</v>
      </c>
      <c r="D47" s="124">
        <v>6.9000000000000006E-2</v>
      </c>
      <c r="E47" s="125">
        <f>D47*C47</f>
        <v>80.99301393395686</v>
      </c>
      <c r="F47" s="126">
        <v>8.5500000000000007E-2</v>
      </c>
      <c r="G47" s="123">
        <f>F47*C47</f>
        <v>100.36090857033784</v>
      </c>
    </row>
    <row r="48" spans="2:10" x14ac:dyDescent="0.25">
      <c r="B48" s="119" t="s">
        <v>107</v>
      </c>
      <c r="C48" s="95">
        <f>$E$37</f>
        <v>1173.8117961443022</v>
      </c>
      <c r="D48" s="124">
        <v>4.0000000000000001E-3</v>
      </c>
      <c r="E48" s="125">
        <f t="shared" ref="E48:E51" si="1">D48*C48</f>
        <v>4.6952471845772088</v>
      </c>
      <c r="F48" s="126">
        <v>1.9E-2</v>
      </c>
      <c r="G48" s="123">
        <f t="shared" ref="G48:G51" si="2">F48*C48</f>
        <v>22.302424126741741</v>
      </c>
    </row>
    <row r="49" spans="2:7" x14ac:dyDescent="0.25">
      <c r="B49" s="119" t="s">
        <v>108</v>
      </c>
      <c r="C49" s="95">
        <f>$J$38</f>
        <v>1173.8117961443022</v>
      </c>
      <c r="D49" s="124">
        <v>4.0099999999999997E-2</v>
      </c>
      <c r="E49" s="125">
        <f t="shared" si="1"/>
        <v>47.069853025386514</v>
      </c>
      <c r="F49" s="126">
        <v>6.0100000000000001E-2</v>
      </c>
      <c r="G49" s="123">
        <f t="shared" si="2"/>
        <v>70.546088948272569</v>
      </c>
    </row>
    <row r="50" spans="2:7" hidden="1" x14ac:dyDescent="0.25">
      <c r="B50" s="119" t="s">
        <v>109</v>
      </c>
      <c r="C50" s="95">
        <f>+J39</f>
        <v>0</v>
      </c>
      <c r="D50" s="124">
        <v>9.7199999999999995E-2</v>
      </c>
      <c r="E50" s="125">
        <f t="shared" si="1"/>
        <v>0</v>
      </c>
      <c r="F50" s="126">
        <v>0.1457</v>
      </c>
      <c r="G50" s="123">
        <f t="shared" si="2"/>
        <v>0</v>
      </c>
    </row>
    <row r="51" spans="2:7" hidden="1" x14ac:dyDescent="0.25">
      <c r="B51" s="119" t="s">
        <v>110</v>
      </c>
      <c r="C51" s="95"/>
      <c r="D51" s="124">
        <v>1.4E-3</v>
      </c>
      <c r="E51" s="125">
        <f t="shared" si="1"/>
        <v>0</v>
      </c>
      <c r="F51" s="126">
        <v>2.0999999999999999E-3</v>
      </c>
      <c r="G51" s="123">
        <f t="shared" si="2"/>
        <v>0</v>
      </c>
    </row>
    <row r="52" spans="2:7" hidden="1" x14ac:dyDescent="0.25">
      <c r="B52" s="119" t="s">
        <v>111</v>
      </c>
      <c r="C52" s="95"/>
      <c r="D52" s="124"/>
      <c r="E52" s="125"/>
      <c r="F52" s="126"/>
      <c r="G52" s="123"/>
    </row>
    <row r="53" spans="2:7" x14ac:dyDescent="0.25">
      <c r="B53" s="114" t="s">
        <v>112</v>
      </c>
      <c r="C53" s="95">
        <f>$E$37</f>
        <v>1173.8117961443022</v>
      </c>
      <c r="D53" s="129"/>
      <c r="E53" s="95"/>
      <c r="F53" s="126">
        <v>3.4500000000000003E-2</v>
      </c>
      <c r="G53" s="123">
        <f>F53*C53</f>
        <v>40.49650696697843</v>
      </c>
    </row>
    <row r="54" spans="2:7" x14ac:dyDescent="0.25">
      <c r="B54" s="114" t="s">
        <v>113</v>
      </c>
      <c r="C54" s="95"/>
      <c r="D54" s="129"/>
      <c r="E54" s="95"/>
      <c r="F54" s="131"/>
      <c r="G54" s="123"/>
    </row>
    <row r="55" spans="2:7" x14ac:dyDescent="0.25">
      <c r="B55" s="119" t="s">
        <v>114</v>
      </c>
      <c r="C55" s="95">
        <f>E37</f>
        <v>1173.8117961443022</v>
      </c>
      <c r="D55" s="129"/>
      <c r="E55" s="95"/>
      <c r="F55" s="132">
        <v>4.2000000000000003E-2</v>
      </c>
      <c r="G55" s="123">
        <f t="shared" ref="G55" si="3">F55*C55</f>
        <v>49.300095438060694</v>
      </c>
    </row>
    <row r="56" spans="2:7" hidden="1" x14ac:dyDescent="0.25">
      <c r="B56" s="119" t="s">
        <v>115</v>
      </c>
      <c r="C56" s="95"/>
      <c r="D56" s="133">
        <v>2.4000000000000001E-4</v>
      </c>
      <c r="E56" s="134">
        <f>D56*C56</f>
        <v>0</v>
      </c>
      <c r="F56" s="131">
        <v>3.6000000000000002E-4</v>
      </c>
      <c r="G56" s="135">
        <f>C56*F56</f>
        <v>0</v>
      </c>
    </row>
    <row r="57" spans="2:7" x14ac:dyDescent="0.25">
      <c r="B57" s="114" t="s">
        <v>116</v>
      </c>
      <c r="C57" s="95"/>
      <c r="D57" s="129"/>
      <c r="E57" s="95"/>
      <c r="F57" s="131"/>
      <c r="G57" s="123">
        <f>E98</f>
        <v>18.264511548005345</v>
      </c>
    </row>
    <row r="58" spans="2:7" hidden="1" x14ac:dyDescent="0.25">
      <c r="B58" s="127"/>
      <c r="C58" s="95"/>
      <c r="D58" s="95"/>
      <c r="E58" s="95"/>
      <c r="F58" s="95"/>
      <c r="G58" s="136"/>
    </row>
    <row r="59" spans="2:7" ht="25.5" hidden="1" x14ac:dyDescent="0.25">
      <c r="B59" s="137" t="s">
        <v>117</v>
      </c>
      <c r="C59" s="95"/>
      <c r="D59" s="95"/>
      <c r="E59" s="95"/>
      <c r="F59" s="95"/>
      <c r="G59" s="136"/>
    </row>
    <row r="60" spans="2:7" hidden="1" x14ac:dyDescent="0.25">
      <c r="B60" s="127"/>
      <c r="C60" s="95"/>
      <c r="D60" s="133"/>
      <c r="E60" s="95"/>
      <c r="F60" s="138"/>
      <c r="G60" s="123"/>
    </row>
    <row r="61" spans="2:7" x14ac:dyDescent="0.25">
      <c r="B61" s="127" t="s">
        <v>118</v>
      </c>
      <c r="C61" s="95">
        <f>(E37-E24-E25-E26-E27)*0.9825+G42+G43+G44</f>
        <v>1176.746325634663</v>
      </c>
      <c r="D61" s="124">
        <v>6.8000000000000005E-2</v>
      </c>
      <c r="E61" s="125">
        <f>D61*C61</f>
        <v>80.018750143157092</v>
      </c>
      <c r="F61" s="126"/>
      <c r="G61" s="123"/>
    </row>
    <row r="62" spans="2:7" x14ac:dyDescent="0.25">
      <c r="B62" s="127" t="s">
        <v>119</v>
      </c>
      <c r="C62" s="95">
        <f>C61</f>
        <v>1176.746325634663</v>
      </c>
      <c r="D62" s="124">
        <v>2.9000000000000001E-2</v>
      </c>
      <c r="E62" s="125">
        <f>D62*C62</f>
        <v>34.125643443405231</v>
      </c>
      <c r="F62" s="126"/>
      <c r="G62" s="123"/>
    </row>
    <row r="63" spans="2:7" x14ac:dyDescent="0.25">
      <c r="B63" s="139"/>
      <c r="C63" s="95"/>
      <c r="D63" s="124"/>
      <c r="E63" s="125"/>
      <c r="F63" s="126"/>
      <c r="G63" s="123"/>
    </row>
    <row r="64" spans="2:7" ht="23.25" customHeight="1" thickBot="1" x14ac:dyDescent="0.3">
      <c r="B64" s="139" t="s">
        <v>121</v>
      </c>
      <c r="C64" s="124"/>
      <c r="D64" s="124"/>
      <c r="E64" s="125"/>
      <c r="F64" s="126"/>
      <c r="G64" s="445">
        <f>-'REGUL ACCIDENT DU TRAVAIL'!H9</f>
        <v>-176.5412941401031</v>
      </c>
    </row>
    <row r="65" spans="2:14" ht="15.75" thickBot="1" x14ac:dyDescent="0.3">
      <c r="B65" s="147" t="s">
        <v>124</v>
      </c>
      <c r="C65" s="148"/>
      <c r="D65" s="149"/>
      <c r="E65" s="150">
        <f>SUM(E41:E64)</f>
        <v>246.90250773048291</v>
      </c>
      <c r="F65" s="151"/>
      <c r="G65" s="152">
        <f>SUM(G41:G64)</f>
        <v>290.82361061271229</v>
      </c>
    </row>
    <row r="66" spans="2:14" ht="15.75" customHeight="1" x14ac:dyDescent="0.25">
      <c r="B66" s="163"/>
      <c r="C66" s="385"/>
      <c r="D66" s="159"/>
      <c r="E66" s="164"/>
      <c r="F66" s="161"/>
      <c r="G66" s="162"/>
      <c r="I66" s="463" t="s">
        <v>93</v>
      </c>
      <c r="J66" s="464">
        <f>E37</f>
        <v>1173.8117961443022</v>
      </c>
    </row>
    <row r="67" spans="2:14" x14ac:dyDescent="0.25">
      <c r="B67" s="476"/>
      <c r="C67" s="477"/>
      <c r="D67" s="478"/>
      <c r="E67" s="479"/>
      <c r="F67" s="168"/>
      <c r="G67" s="162"/>
      <c r="I67" s="465" t="s">
        <v>15</v>
      </c>
      <c r="J67" s="466">
        <f>-E65</f>
        <v>-246.90250773048291</v>
      </c>
    </row>
    <row r="68" spans="2:14" x14ac:dyDescent="0.25">
      <c r="B68" s="169" t="s">
        <v>270</v>
      </c>
      <c r="C68" s="125"/>
      <c r="D68" s="159"/>
      <c r="E68" s="170">
        <f>E151</f>
        <v>662.48520710059165</v>
      </c>
      <c r="F68" s="161"/>
      <c r="G68" s="162"/>
      <c r="I68" s="465" t="s">
        <v>386</v>
      </c>
      <c r="J68" s="466">
        <f>E62</f>
        <v>34.125643443405231</v>
      </c>
      <c r="N68" s="9" t="s">
        <v>230</v>
      </c>
    </row>
    <row r="69" spans="2:14" ht="15.75" thickBot="1" x14ac:dyDescent="0.3">
      <c r="B69" s="141"/>
      <c r="C69" s="144"/>
      <c r="D69" s="171"/>
      <c r="E69" s="172"/>
      <c r="F69" s="173"/>
      <c r="G69" s="146"/>
      <c r="I69" s="465" t="s">
        <v>2</v>
      </c>
      <c r="J69" s="466">
        <f>G44</f>
        <v>23.476235922886044</v>
      </c>
      <c r="L69" s="9" t="s">
        <v>388</v>
      </c>
      <c r="M69" s="606">
        <v>2.9000000000000001E-2</v>
      </c>
      <c r="N69" s="606">
        <v>2.9000000000000001E-2</v>
      </c>
    </row>
    <row r="70" spans="2:14" ht="15.75" thickBot="1" x14ac:dyDescent="0.3">
      <c r="B70" s="174" t="s">
        <v>130</v>
      </c>
      <c r="C70" s="148"/>
      <c r="D70" s="149"/>
      <c r="E70" s="150"/>
      <c r="F70" s="151"/>
      <c r="G70" s="175">
        <f>E37-E65+E66+E67+E68+E69</f>
        <v>1589.3944955144109</v>
      </c>
      <c r="H70" s="356"/>
      <c r="I70" s="465" t="s">
        <v>272</v>
      </c>
      <c r="J70" s="466">
        <f>SUM(J66:J69)</f>
        <v>984.51116778011055</v>
      </c>
      <c r="L70" s="9" t="s">
        <v>389</v>
      </c>
      <c r="M70" s="606">
        <v>6.8000000000000005E-2</v>
      </c>
      <c r="N70" s="606">
        <v>3.7999999999999999E-2</v>
      </c>
    </row>
    <row r="71" spans="2:14" ht="28.5" x14ac:dyDescent="0.25">
      <c r="B71" s="176" t="s">
        <v>131</v>
      </c>
      <c r="C71" s="177"/>
      <c r="D71" s="178"/>
      <c r="E71" s="179"/>
      <c r="F71" s="180"/>
      <c r="G71" s="181"/>
      <c r="I71" s="465"/>
      <c r="J71" s="467"/>
      <c r="M71" s="606">
        <f>M70+M69</f>
        <v>9.7000000000000003E-2</v>
      </c>
      <c r="N71" s="606">
        <f>N70+N69</f>
        <v>6.7000000000000004E-2</v>
      </c>
    </row>
    <row r="72" spans="2:14" x14ac:dyDescent="0.25">
      <c r="B72" s="570" t="s">
        <v>132</v>
      </c>
      <c r="C72" s="572" t="s">
        <v>133</v>
      </c>
      <c r="D72" s="182" t="s">
        <v>96</v>
      </c>
      <c r="E72" s="574"/>
      <c r="F72" s="183"/>
      <c r="G72" s="576" t="s">
        <v>134</v>
      </c>
      <c r="I72" s="465" t="s">
        <v>231</v>
      </c>
      <c r="J72" s="466">
        <f>'BULLETIN ACCIDENT DU TRAVAIL'!E149</f>
        <v>710.05917159763305</v>
      </c>
    </row>
    <row r="73" spans="2:14" ht="15.75" thickBot="1" x14ac:dyDescent="0.3">
      <c r="B73" s="571"/>
      <c r="C73" s="573"/>
      <c r="D73" s="184" t="s">
        <v>135</v>
      </c>
      <c r="E73" s="575"/>
      <c r="F73" s="185"/>
      <c r="G73" s="577"/>
      <c r="I73" s="465" t="s">
        <v>387</v>
      </c>
      <c r="J73" s="466">
        <f>J72*3.8%</f>
        <v>26.982248520710055</v>
      </c>
    </row>
    <row r="74" spans="2:14" ht="15.75" thickBot="1" x14ac:dyDescent="0.3">
      <c r="B74" s="174" t="s">
        <v>136</v>
      </c>
      <c r="C74" s="186">
        <f>J76</f>
        <v>1326.049629318572</v>
      </c>
      <c r="D74" s="382">
        <f>J41</f>
        <v>5.1499999999999997E-2</v>
      </c>
      <c r="E74" s="187"/>
      <c r="F74" s="188"/>
      <c r="G74" s="189">
        <f>D74*C74</f>
        <v>68.29155590990645</v>
      </c>
      <c r="I74" s="470" t="s">
        <v>392</v>
      </c>
      <c r="J74" s="610">
        <f>(J72-J73)/2</f>
        <v>341.53846153846149</v>
      </c>
    </row>
    <row r="75" spans="2:14" x14ac:dyDescent="0.25">
      <c r="B75" s="190"/>
      <c r="C75" s="191"/>
      <c r="D75" s="192"/>
      <c r="E75" s="193" t="s">
        <v>137</v>
      </c>
      <c r="F75" s="194"/>
      <c r="G75" s="195">
        <f>G70-G74</f>
        <v>1521.1029396045044</v>
      </c>
      <c r="I75" s="465"/>
      <c r="J75" s="467"/>
    </row>
    <row r="76" spans="2:14" ht="15.75" thickBot="1" x14ac:dyDescent="0.3">
      <c r="B76" s="196" t="s">
        <v>371</v>
      </c>
      <c r="C76" s="197"/>
      <c r="D76" s="591">
        <f>+E37+G44+E62-E65</f>
        <v>984.51116778011033</v>
      </c>
      <c r="E76" s="199"/>
      <c r="F76" s="200"/>
      <c r="G76" s="201"/>
      <c r="I76" s="468" t="s">
        <v>273</v>
      </c>
      <c r="J76" s="469">
        <f>J74+J70</f>
        <v>1326.049629318572</v>
      </c>
    </row>
    <row r="77" spans="2:14" ht="15.75" hidden="1" thickTop="1" x14ac:dyDescent="0.25">
      <c r="B77" s="555" t="s">
        <v>140</v>
      </c>
      <c r="C77" s="557"/>
      <c r="D77" s="558"/>
      <c r="E77" s="202"/>
      <c r="F77" s="203"/>
      <c r="G77" s="201"/>
    </row>
    <row r="78" spans="2:14" hidden="1" x14ac:dyDescent="0.25">
      <c r="B78" s="556"/>
      <c r="C78" s="559"/>
      <c r="D78" s="560"/>
      <c r="E78" s="204"/>
      <c r="F78" s="205"/>
      <c r="G78" s="206"/>
    </row>
    <row r="79" spans="2:14" hidden="1" x14ac:dyDescent="0.25">
      <c r="B79" s="207"/>
      <c r="C79" s="208" t="s">
        <v>143</v>
      </c>
      <c r="D79" s="209" t="s">
        <v>144</v>
      </c>
      <c r="E79" s="210"/>
      <c r="F79" s="211"/>
      <c r="G79" s="212"/>
      <c r="I79" s="225"/>
      <c r="J79" s="225"/>
    </row>
    <row r="80" spans="2:14" hidden="1" x14ac:dyDescent="0.25">
      <c r="B80" s="213" t="s">
        <v>145</v>
      </c>
      <c r="C80" s="214">
        <f>E37</f>
        <v>1173.8117961443022</v>
      </c>
      <c r="D80" s="215"/>
      <c r="E80" s="216"/>
      <c r="F80" s="199"/>
      <c r="G80" s="217"/>
      <c r="I80" s="225"/>
      <c r="J80" s="225"/>
    </row>
    <row r="81" spans="2:10" ht="15.75" hidden="1" thickBot="1" x14ac:dyDescent="0.3">
      <c r="B81" s="218" t="s">
        <v>146</v>
      </c>
      <c r="C81" s="219">
        <f>E37-E24-E25+G44+E63+E62-E65</f>
        <v>984.51116778011033</v>
      </c>
      <c r="D81" s="220"/>
      <c r="E81" s="216"/>
      <c r="F81" s="199"/>
      <c r="G81" s="217"/>
      <c r="I81" s="225"/>
      <c r="J81" s="225"/>
    </row>
    <row r="82" spans="2:10" ht="15.75" hidden="1" thickBot="1" x14ac:dyDescent="0.3">
      <c r="B82" s="221" t="s">
        <v>147</v>
      </c>
      <c r="C82" s="222"/>
      <c r="D82" s="222"/>
      <c r="E82" s="223"/>
      <c r="F82" s="223"/>
      <c r="G82" s="224"/>
      <c r="I82" s="225"/>
      <c r="J82" s="225"/>
    </row>
    <row r="83" spans="2:10" x14ac:dyDescent="0.25">
      <c r="I83" s="225"/>
      <c r="J83" s="225"/>
    </row>
    <row r="84" spans="2:10" x14ac:dyDescent="0.25">
      <c r="I84" s="225"/>
      <c r="J84" s="225"/>
    </row>
    <row r="85" spans="2:10" s="225" customFormat="1" ht="15.75" thickBot="1" x14ac:dyDescent="0.3">
      <c r="B85" s="561" t="s">
        <v>116</v>
      </c>
      <c r="C85" s="562"/>
      <c r="D85" s="9"/>
      <c r="E85" s="9"/>
    </row>
    <row r="86" spans="2:10" s="225" customFormat="1" x14ac:dyDescent="0.25">
      <c r="B86" s="226"/>
      <c r="C86" s="227"/>
      <c r="D86" s="563">
        <f>+E37</f>
        <v>1173.8117961443022</v>
      </c>
      <c r="E86" s="228"/>
    </row>
    <row r="87" spans="2:10" s="225" customFormat="1" x14ac:dyDescent="0.25">
      <c r="B87" s="229" t="s">
        <v>148</v>
      </c>
      <c r="C87" s="230">
        <f>IF(J34&gt;=11,#REF!,0)</f>
        <v>0</v>
      </c>
      <c r="D87" s="564"/>
      <c r="E87" s="231">
        <f>C87*$D$86</f>
        <v>0</v>
      </c>
    </row>
    <row r="88" spans="2:10" s="225" customFormat="1" x14ac:dyDescent="0.25">
      <c r="B88" s="229" t="s">
        <v>149</v>
      </c>
      <c r="C88" s="230">
        <f>IF(J34&lt;50,0%,0.5%)</f>
        <v>0</v>
      </c>
      <c r="D88" s="564"/>
      <c r="E88" s="231">
        <f t="shared" ref="E88:E93" si="4">C88*$D$86</f>
        <v>0</v>
      </c>
    </row>
    <row r="89" spans="2:10" s="225" customFormat="1" x14ac:dyDescent="0.25">
      <c r="B89" s="229" t="s">
        <v>150</v>
      </c>
      <c r="C89" s="230">
        <v>1.6000000000000001E-4</v>
      </c>
      <c r="D89" s="564"/>
      <c r="E89" s="231">
        <f t="shared" si="4"/>
        <v>0.18780988738308838</v>
      </c>
    </row>
    <row r="90" spans="2:10" s="225" customFormat="1" x14ac:dyDescent="0.25">
      <c r="B90" s="229" t="s">
        <v>151</v>
      </c>
      <c r="C90" s="230">
        <v>3.0000000000000001E-3</v>
      </c>
      <c r="D90" s="564"/>
      <c r="E90" s="231">
        <f t="shared" si="4"/>
        <v>3.5214353884329066</v>
      </c>
    </row>
    <row r="91" spans="2:10" s="225" customFormat="1" x14ac:dyDescent="0.25">
      <c r="B91" s="229" t="s">
        <v>152</v>
      </c>
      <c r="C91" s="230">
        <v>5.8999999999999999E-3</v>
      </c>
      <c r="D91" s="564"/>
      <c r="E91" s="231">
        <f t="shared" si="4"/>
        <v>6.9254895972513832</v>
      </c>
    </row>
    <row r="92" spans="2:10" s="225" customFormat="1" x14ac:dyDescent="0.25">
      <c r="B92" s="229" t="s">
        <v>153</v>
      </c>
      <c r="C92" s="230">
        <f>IF(J34&lt;11,0.55%,1%)</f>
        <v>5.5000000000000005E-3</v>
      </c>
      <c r="D92" s="564"/>
      <c r="E92" s="231">
        <f t="shared" si="4"/>
        <v>6.4559648787936625</v>
      </c>
    </row>
    <row r="93" spans="2:10" s="225" customFormat="1" x14ac:dyDescent="0.25">
      <c r="B93" s="229"/>
      <c r="C93" s="230">
        <f>IF(J34&lt;=50,0,0.45%)</f>
        <v>0</v>
      </c>
      <c r="D93" s="564"/>
      <c r="E93" s="231">
        <f t="shared" si="4"/>
        <v>0</v>
      </c>
    </row>
    <row r="94" spans="2:10" s="225" customFormat="1" x14ac:dyDescent="0.25">
      <c r="B94" s="21"/>
      <c r="C94" s="22"/>
      <c r="D94" s="22"/>
      <c r="E94" s="23"/>
    </row>
    <row r="95" spans="2:10" s="225" customFormat="1" x14ac:dyDescent="0.25">
      <c r="B95" s="21" t="s">
        <v>154</v>
      </c>
      <c r="C95" s="232">
        <f>IF(J34&gt;=11,+G42+G43+G44,0)</f>
        <v>0</v>
      </c>
      <c r="D95" s="233">
        <v>0.08</v>
      </c>
      <c r="E95" s="234">
        <f>D95*C95</f>
        <v>0</v>
      </c>
    </row>
    <row r="96" spans="2:10" s="225" customFormat="1" ht="15.75" thickBot="1" x14ac:dyDescent="0.3">
      <c r="B96" s="38" t="s">
        <v>155</v>
      </c>
      <c r="C96" s="235">
        <f>IF(J34&lt;50,J38,0)</f>
        <v>1173.8117961443022</v>
      </c>
      <c r="D96" s="236">
        <v>1E-3</v>
      </c>
      <c r="E96" s="237">
        <f>D96*C96</f>
        <v>1.1738117961443022</v>
      </c>
    </row>
    <row r="97" spans="2:10" s="225" customFormat="1" ht="15.75" thickBot="1" x14ac:dyDescent="0.3">
      <c r="B97" s="9"/>
      <c r="C97" s="9"/>
      <c r="D97" s="9"/>
      <c r="E97" s="9"/>
    </row>
    <row r="98" spans="2:10" s="225" customFormat="1" ht="15.75" thickBot="1" x14ac:dyDescent="0.3">
      <c r="B98" s="238" t="s">
        <v>156</v>
      </c>
      <c r="C98" s="239"/>
      <c r="D98" s="239"/>
      <c r="E98" s="592">
        <f>SUM(E87:E96)</f>
        <v>18.264511548005345</v>
      </c>
    </row>
    <row r="99" spans="2:10" s="225" customFormat="1" x14ac:dyDescent="0.25">
      <c r="B99" s="9"/>
      <c r="C99" s="9"/>
      <c r="D99" s="9"/>
      <c r="E99" s="9"/>
    </row>
    <row r="100" spans="2:10" s="225" customFormat="1" hidden="1" thickBot="1" x14ac:dyDescent="0.3">
      <c r="B100" s="548" t="s">
        <v>157</v>
      </c>
      <c r="C100" s="549"/>
      <c r="D100" s="549"/>
      <c r="E100" s="550"/>
    </row>
    <row r="101" spans="2:10" s="225" customFormat="1" hidden="1" x14ac:dyDescent="0.25">
      <c r="B101" s="241" t="s">
        <v>158</v>
      </c>
      <c r="C101" s="242">
        <f>E37</f>
        <v>1173.8117961443022</v>
      </c>
      <c r="D101" s="243">
        <v>2.4E-2</v>
      </c>
      <c r="E101" s="244">
        <f>D101*C101</f>
        <v>28.171483107463253</v>
      </c>
    </row>
    <row r="102" spans="2:10" s="225" customFormat="1" hidden="1" x14ac:dyDescent="0.25">
      <c r="B102" s="245" t="s">
        <v>17</v>
      </c>
      <c r="C102" s="242">
        <f>C101</f>
        <v>1173.8117961443022</v>
      </c>
      <c r="D102" s="246">
        <v>7.4999999999999997E-3</v>
      </c>
      <c r="E102" s="247">
        <f t="shared" ref="E102:E103" si="5">D102*C102</f>
        <v>8.8035884710822661</v>
      </c>
    </row>
    <row r="103" spans="2:10" s="225" customFormat="1" hidden="1" x14ac:dyDescent="0.25">
      <c r="B103" s="245" t="s">
        <v>159</v>
      </c>
      <c r="C103" s="242">
        <f>C61+C63</f>
        <v>1176.746325634663</v>
      </c>
      <c r="D103" s="246">
        <v>-1.7000000000000001E-2</v>
      </c>
      <c r="E103" s="247">
        <f t="shared" si="5"/>
        <v>-20.004687535789273</v>
      </c>
    </row>
    <row r="104" spans="2:10" s="225" customFormat="1" hidden="1" x14ac:dyDescent="0.25">
      <c r="B104" s="196"/>
      <c r="C104" s="248"/>
      <c r="D104" s="249"/>
      <c r="E104" s="250"/>
    </row>
    <row r="105" spans="2:10" s="225" customFormat="1" ht="15.75" hidden="1" thickBot="1" x14ac:dyDescent="0.3">
      <c r="B105" s="251" t="s">
        <v>160</v>
      </c>
      <c r="C105" s="252"/>
      <c r="D105" s="253"/>
      <c r="E105" s="254">
        <f>SUM(E101:E104)</f>
        <v>16.970384042756244</v>
      </c>
    </row>
    <row r="106" spans="2:10" s="225" customFormat="1" ht="12.75" hidden="1" x14ac:dyDescent="0.25"/>
    <row r="107" spans="2:10" s="225" customFormat="1" ht="12.75" hidden="1" x14ac:dyDescent="0.25"/>
    <row r="108" spans="2:10" s="225" customFormat="1" ht="15.75" hidden="1" thickBot="1" x14ac:dyDescent="0.3">
      <c r="B108" s="548" t="s">
        <v>161</v>
      </c>
      <c r="C108" s="549"/>
      <c r="D108" s="549"/>
      <c r="E108" s="550"/>
      <c r="I108" s="9"/>
      <c r="J108" s="9"/>
    </row>
    <row r="109" spans="2:10" s="225" customFormat="1" ht="15.75" hidden="1" customHeight="1" x14ac:dyDescent="0.25">
      <c r="B109" s="255" t="s">
        <v>162</v>
      </c>
      <c r="C109" s="256"/>
      <c r="D109" s="256"/>
      <c r="E109" s="257">
        <f>-G64</f>
        <v>176.5412941401031</v>
      </c>
      <c r="I109" s="9"/>
      <c r="J109" s="9"/>
    </row>
    <row r="110" spans="2:10" s="225" customFormat="1" ht="15.75" hidden="1" customHeight="1" x14ac:dyDescent="0.25">
      <c r="B110" s="258" t="s">
        <v>163</v>
      </c>
      <c r="C110" s="259"/>
      <c r="D110" s="260">
        <v>1.5</v>
      </c>
      <c r="E110" s="261">
        <f>D110*C110</f>
        <v>0</v>
      </c>
      <c r="I110" s="9"/>
      <c r="J110" s="9"/>
    </row>
    <row r="111" spans="2:10" s="225" customFormat="1" ht="15.75" hidden="1" customHeight="1" x14ac:dyDescent="0.25">
      <c r="B111" s="258" t="s">
        <v>164</v>
      </c>
      <c r="C111" s="262">
        <f>E37</f>
        <v>1173.8117961443022</v>
      </c>
      <c r="D111" s="246">
        <v>1.7999999999999999E-2</v>
      </c>
      <c r="E111" s="261">
        <f>D111*C111</f>
        <v>21.128612330597438</v>
      </c>
      <c r="I111" s="9"/>
      <c r="J111" s="9"/>
    </row>
    <row r="112" spans="2:10" s="225" customFormat="1" ht="15.75" hidden="1" customHeight="1" x14ac:dyDescent="0.25">
      <c r="B112" s="258" t="s">
        <v>165</v>
      </c>
      <c r="C112" s="262">
        <f>C111</f>
        <v>1173.8117961443022</v>
      </c>
      <c r="D112" s="246">
        <v>0.06</v>
      </c>
      <c r="E112" s="261">
        <f>D112*C112</f>
        <v>70.428707768658128</v>
      </c>
      <c r="I112" s="9"/>
      <c r="J112" s="9"/>
    </row>
    <row r="113" spans="2:10" s="225" customFormat="1" ht="15.75" hidden="1" customHeight="1" thickBot="1" x14ac:dyDescent="0.3">
      <c r="B113" s="263" t="s">
        <v>166</v>
      </c>
      <c r="C113" s="264"/>
      <c r="D113" s="264"/>
      <c r="E113" s="265">
        <f>E109+E110+E111+E112</f>
        <v>268.09861423935865</v>
      </c>
      <c r="I113" s="9"/>
      <c r="J113" s="9"/>
    </row>
    <row r="114" spans="2:10" hidden="1" x14ac:dyDescent="0.25"/>
    <row r="115" spans="2:10" hidden="1" x14ac:dyDescent="0.25"/>
    <row r="116" spans="2:10" ht="15.75" hidden="1" thickBot="1" x14ac:dyDescent="0.3">
      <c r="B116" s="266" t="s">
        <v>167</v>
      </c>
      <c r="C116" s="267">
        <f>J40</f>
        <v>0.31950000000000001</v>
      </c>
      <c r="D116" s="493"/>
      <c r="E116" s="493"/>
      <c r="F116" s="493"/>
      <c r="G116" s="493"/>
      <c r="H116" s="493"/>
    </row>
    <row r="117" spans="2:10" hidden="1" x14ac:dyDescent="0.25">
      <c r="B117" s="493"/>
      <c r="C117" s="493"/>
      <c r="D117" s="493"/>
      <c r="E117" s="493"/>
      <c r="F117" s="493"/>
      <c r="G117" s="493"/>
      <c r="H117" s="493"/>
    </row>
    <row r="118" spans="2:10" ht="30" hidden="1" x14ac:dyDescent="0.25">
      <c r="B118" s="3" t="s">
        <v>168</v>
      </c>
      <c r="C118" s="269" t="s">
        <v>169</v>
      </c>
      <c r="D118" s="269" t="s">
        <v>170</v>
      </c>
      <c r="E118" s="270" t="s">
        <v>171</v>
      </c>
      <c r="F118" s="271" t="s">
        <v>172</v>
      </c>
      <c r="G118" s="271" t="s">
        <v>173</v>
      </c>
      <c r="H118" s="271" t="s">
        <v>174</v>
      </c>
    </row>
    <row r="119" spans="2:10" ht="15.75" hidden="1" thickBot="1" x14ac:dyDescent="0.3">
      <c r="B119" s="77" t="s">
        <v>176</v>
      </c>
      <c r="C119" s="273"/>
      <c r="D119" s="274">
        <f>C119</f>
        <v>0</v>
      </c>
      <c r="E119" s="275">
        <v>1603.12</v>
      </c>
      <c r="F119" s="273">
        <f>+E119</f>
        <v>1603.12</v>
      </c>
      <c r="G119" s="276" t="e">
        <f>ROUND((C116/0.6)*((1.6*F119/D119)-1),4)</f>
        <v>#DIV/0!</v>
      </c>
      <c r="H119" s="274" t="e">
        <f>IF(G119&gt;0,G119*D119,0)</f>
        <v>#DIV/0!</v>
      </c>
    </row>
    <row r="120" spans="2:10" hidden="1" x14ac:dyDescent="0.25"/>
    <row r="121" spans="2:10" hidden="1" x14ac:dyDescent="0.25"/>
    <row r="122" spans="2:10" ht="18.75" hidden="1" x14ac:dyDescent="0.25">
      <c r="B122" s="543" t="s">
        <v>177</v>
      </c>
      <c r="C122" s="543"/>
      <c r="D122" s="543"/>
      <c r="E122" s="543"/>
    </row>
    <row r="123" spans="2:10" hidden="1" x14ac:dyDescent="0.25"/>
    <row r="124" spans="2:10" hidden="1" x14ac:dyDescent="0.25">
      <c r="B124" s="278" t="s">
        <v>178</v>
      </c>
      <c r="C124" s="279" t="s">
        <v>179</v>
      </c>
      <c r="D124" s="280" t="s">
        <v>180</v>
      </c>
      <c r="E124" s="280" t="s">
        <v>181</v>
      </c>
      <c r="F124" s="281" t="s">
        <v>182</v>
      </c>
    </row>
    <row r="125" spans="2:10" hidden="1" x14ac:dyDescent="0.25">
      <c r="B125" s="282" t="s">
        <v>183</v>
      </c>
      <c r="C125" s="2"/>
      <c r="D125" s="283">
        <f>C125-25</f>
        <v>-25</v>
      </c>
      <c r="E125" s="283">
        <f>IF(D125&lt;2.8,D125,2.8)</f>
        <v>-25</v>
      </c>
      <c r="F125" s="6">
        <f>IF(D125&gt;2.8,D125-2.8,0)</f>
        <v>0</v>
      </c>
    </row>
    <row r="126" spans="2:10" hidden="1" x14ac:dyDescent="0.25">
      <c r="B126" s="282" t="s">
        <v>184</v>
      </c>
      <c r="C126" s="2"/>
      <c r="D126" s="283">
        <f>C126-25</f>
        <v>-25</v>
      </c>
      <c r="E126" s="283">
        <f t="shared" ref="E126:E128" si="6">IF(D126&lt;2.8,D126,2.8)</f>
        <v>-25</v>
      </c>
      <c r="F126" s="6">
        <f t="shared" ref="F126:F128" si="7">IF(D126&gt;2.8,D126-2.8,0)</f>
        <v>0</v>
      </c>
    </row>
    <row r="127" spans="2:10" hidden="1" x14ac:dyDescent="0.25">
      <c r="B127" s="282" t="s">
        <v>185</v>
      </c>
      <c r="C127" s="2"/>
      <c r="D127" s="283">
        <f t="shared" ref="D127:D128" si="8">C127-25</f>
        <v>-25</v>
      </c>
      <c r="E127" s="283">
        <f t="shared" si="6"/>
        <v>-25</v>
      </c>
      <c r="F127" s="6">
        <f t="shared" si="7"/>
        <v>0</v>
      </c>
    </row>
    <row r="128" spans="2:10" hidden="1" x14ac:dyDescent="0.25">
      <c r="B128" s="282" t="s">
        <v>186</v>
      </c>
      <c r="C128" s="2"/>
      <c r="D128" s="283">
        <f t="shared" si="8"/>
        <v>-25</v>
      </c>
      <c r="E128" s="284">
        <f t="shared" si="6"/>
        <v>-25</v>
      </c>
      <c r="F128" s="285">
        <f t="shared" si="7"/>
        <v>0</v>
      </c>
    </row>
    <row r="129" spans="2:6" ht="15.75" hidden="1" thickBot="1" x14ac:dyDescent="0.3">
      <c r="B129" s="286" t="s">
        <v>187</v>
      </c>
      <c r="C129" s="2"/>
      <c r="D129" s="586" t="s">
        <v>188</v>
      </c>
      <c r="E129" s="587"/>
      <c r="F129" s="588"/>
    </row>
    <row r="130" spans="2:6" ht="15.75" hidden="1" thickBot="1" x14ac:dyDescent="0.3">
      <c r="B130" s="287" t="s">
        <v>189</v>
      </c>
      <c r="C130" s="288"/>
      <c r="D130" s="288">
        <f>SUM(D125:D128)</f>
        <v>-100</v>
      </c>
      <c r="E130" s="288">
        <f>SUM(E125:E128)</f>
        <v>-100</v>
      </c>
      <c r="F130" s="289">
        <f>SUM(F125:F128)</f>
        <v>0</v>
      </c>
    </row>
    <row r="131" spans="2:6" hidden="1" x14ac:dyDescent="0.25"/>
    <row r="132" spans="2:6" ht="18.75" hidden="1" customHeight="1" x14ac:dyDescent="0.25">
      <c r="B132" s="7"/>
      <c r="C132" s="290"/>
      <c r="D132" s="291"/>
      <c r="E132" s="7"/>
      <c r="F132" s="7"/>
    </row>
    <row r="133" spans="2:6" ht="18.75" x14ac:dyDescent="0.25">
      <c r="B133" s="543" t="s">
        <v>390</v>
      </c>
      <c r="C133" s="544"/>
      <c r="D133" s="544"/>
      <c r="E133" s="544"/>
    </row>
    <row r="134" spans="2:6" ht="15.75" thickBot="1" x14ac:dyDescent="0.3"/>
    <row r="135" spans="2:6" x14ac:dyDescent="0.25">
      <c r="B135" s="545" t="s">
        <v>10</v>
      </c>
      <c r="C135" s="546"/>
      <c r="D135" s="546"/>
      <c r="E135" s="547"/>
    </row>
    <row r="136" spans="2:6" x14ac:dyDescent="0.25">
      <c r="B136" s="292" t="s">
        <v>11</v>
      </c>
      <c r="C136" s="293"/>
      <c r="D136" s="293"/>
      <c r="E136" s="307">
        <v>2000</v>
      </c>
    </row>
    <row r="137" spans="2:6" x14ac:dyDescent="0.25">
      <c r="B137" s="292" t="s">
        <v>12</v>
      </c>
      <c r="C137" s="293"/>
      <c r="D137" s="293"/>
      <c r="E137" s="294">
        <v>31</v>
      </c>
    </row>
    <row r="138" spans="2:6" ht="15.75" thickBot="1" x14ac:dyDescent="0.3">
      <c r="B138" s="292" t="s">
        <v>13</v>
      </c>
      <c r="C138" s="293"/>
      <c r="D138" s="293"/>
      <c r="E138" s="608">
        <f>+E136/E137</f>
        <v>64.516129032258064</v>
      </c>
    </row>
    <row r="139" spans="2:6" ht="16.5" thickTop="1" thickBot="1" x14ac:dyDescent="0.3">
      <c r="B139" s="292" t="s">
        <v>14</v>
      </c>
      <c r="C139" s="293"/>
      <c r="D139" s="607"/>
      <c r="E139" s="609">
        <v>18</v>
      </c>
    </row>
    <row r="140" spans="2:6" ht="16.5" thickTop="1" thickBot="1" x14ac:dyDescent="0.3">
      <c r="B140" s="295" t="s">
        <v>15</v>
      </c>
      <c r="C140" s="296"/>
      <c r="D140" s="297"/>
      <c r="E140" s="312">
        <f>E138*E139</f>
        <v>1161.2903225806451</v>
      </c>
    </row>
    <row r="141" spans="2:6" ht="15.75" thickBot="1" x14ac:dyDescent="0.3">
      <c r="B141" s="298"/>
      <c r="C141" s="298"/>
      <c r="D141" s="298"/>
      <c r="E141" s="298"/>
    </row>
    <row r="142" spans="2:6" ht="15.75" thickBot="1" x14ac:dyDescent="0.3">
      <c r="B142" s="548" t="s">
        <v>16</v>
      </c>
      <c r="C142" s="549"/>
      <c r="D142" s="549"/>
      <c r="E142" s="550"/>
    </row>
    <row r="143" spans="2:6" x14ac:dyDescent="0.25">
      <c r="B143" s="299" t="s">
        <v>17</v>
      </c>
      <c r="C143" s="300"/>
      <c r="D143" s="301" t="s">
        <v>18</v>
      </c>
      <c r="E143" s="302" t="s">
        <v>19</v>
      </c>
    </row>
    <row r="144" spans="2:6" x14ac:dyDescent="0.25">
      <c r="B144" s="245" t="s">
        <v>20</v>
      </c>
      <c r="C144" s="309"/>
      <c r="D144" s="310"/>
      <c r="E144" s="313">
        <v>2000</v>
      </c>
    </row>
    <row r="145" spans="2:5" x14ac:dyDescent="0.25">
      <c r="B145" s="245" t="s">
        <v>21</v>
      </c>
      <c r="C145" s="309"/>
      <c r="D145" s="310"/>
      <c r="E145" s="313"/>
    </row>
    <row r="146" spans="2:5" x14ac:dyDescent="0.25">
      <c r="B146" s="245" t="s">
        <v>22</v>
      </c>
      <c r="C146" s="309"/>
      <c r="D146" s="310"/>
      <c r="E146" s="313"/>
    </row>
    <row r="147" spans="2:5" ht="15.75" thickBot="1" x14ac:dyDescent="0.3">
      <c r="B147" s="245" t="s">
        <v>24</v>
      </c>
      <c r="C147" s="303"/>
      <c r="D147" s="303"/>
      <c r="E147" s="313">
        <f>E144/30.42*0.6</f>
        <v>39.447731755424059</v>
      </c>
    </row>
    <row r="148" spans="2:5" ht="16.5" thickTop="1" thickBot="1" x14ac:dyDescent="0.3">
      <c r="B148" s="245" t="s">
        <v>190</v>
      </c>
      <c r="C148" s="609">
        <f>E139</f>
        <v>18</v>
      </c>
      <c r="D148" s="315"/>
      <c r="E148" s="484">
        <v>18</v>
      </c>
    </row>
    <row r="149" spans="2:5" ht="15.75" thickTop="1" x14ac:dyDescent="0.25">
      <c r="B149" s="245" t="s">
        <v>25</v>
      </c>
      <c r="C149" s="303"/>
      <c r="D149" s="303"/>
      <c r="E149" s="319">
        <f>E148*E147</f>
        <v>710.05917159763305</v>
      </c>
    </row>
    <row r="150" spans="2:5" x14ac:dyDescent="0.25">
      <c r="B150" s="245" t="s">
        <v>26</v>
      </c>
      <c r="C150" s="303"/>
      <c r="D150" s="303"/>
      <c r="E150" s="247">
        <f>E149*6.7%</f>
        <v>47.573964497041416</v>
      </c>
    </row>
    <row r="151" spans="2:5" ht="15.75" thickBot="1" x14ac:dyDescent="0.3">
      <c r="B151" s="305" t="s">
        <v>27</v>
      </c>
      <c r="C151" s="306"/>
      <c r="D151" s="306"/>
      <c r="E151" s="314">
        <f>E149-E150</f>
        <v>662.48520710059165</v>
      </c>
    </row>
    <row r="152" spans="2:5" ht="15.75" thickBot="1" x14ac:dyDescent="0.3"/>
    <row r="153" spans="2:5" ht="15.75" thickBot="1" x14ac:dyDescent="0.3">
      <c r="B153" s="545" t="s">
        <v>28</v>
      </c>
      <c r="C153" s="546"/>
      <c r="D153" s="546"/>
      <c r="E153" s="547"/>
    </row>
    <row r="154" spans="2:5" ht="16.5" thickTop="1" thickBot="1" x14ac:dyDescent="0.3">
      <c r="B154" s="292" t="s">
        <v>29</v>
      </c>
      <c r="C154" s="609">
        <f>C148</f>
        <v>18</v>
      </c>
      <c r="D154" s="293"/>
      <c r="E154" s="316">
        <f>C154</f>
        <v>18</v>
      </c>
    </row>
    <row r="155" spans="2:5" ht="16.5" thickTop="1" thickBot="1" x14ac:dyDescent="0.3">
      <c r="B155" s="292" t="s">
        <v>30</v>
      </c>
      <c r="C155" s="582" t="s">
        <v>368</v>
      </c>
      <c r="D155" s="293"/>
      <c r="E155" s="294">
        <f>E138*0.9</f>
        <v>58.064516129032256</v>
      </c>
    </row>
    <row r="156" spans="2:5" ht="16.5" thickTop="1" thickBot="1" x14ac:dyDescent="0.3">
      <c r="B156" s="292" t="s">
        <v>31</v>
      </c>
      <c r="C156" s="293" t="s">
        <v>391</v>
      </c>
      <c r="D156" s="293"/>
      <c r="E156" s="312">
        <f>E154*E155</f>
        <v>1045.1612903225805</v>
      </c>
    </row>
    <row r="157" spans="2:5" ht="16.5" thickTop="1" thickBot="1" x14ac:dyDescent="0.3">
      <c r="B157" s="245" t="s">
        <v>32</v>
      </c>
      <c r="C157" s="293"/>
      <c r="D157" s="293"/>
      <c r="E157" s="317">
        <f>E147</f>
        <v>39.447731755424059</v>
      </c>
    </row>
    <row r="158" spans="2:5" ht="16.5" thickTop="1" thickBot="1" x14ac:dyDescent="0.3">
      <c r="B158" s="295" t="s">
        <v>33</v>
      </c>
      <c r="C158" s="320">
        <f>E154</f>
        <v>18</v>
      </c>
      <c r="D158" s="318">
        <f>E157</f>
        <v>39.447731755424059</v>
      </c>
      <c r="E158" s="312">
        <f>D158*C158</f>
        <v>710.05917159763305</v>
      </c>
    </row>
  </sheetData>
  <mergeCells count="18">
    <mergeCell ref="B122:E122"/>
    <mergeCell ref="D129:F129"/>
    <mergeCell ref="B133:E133"/>
    <mergeCell ref="B135:E135"/>
    <mergeCell ref="B142:E142"/>
    <mergeCell ref="B153:E153"/>
    <mergeCell ref="B77:B78"/>
    <mergeCell ref="C77:D78"/>
    <mergeCell ref="B85:C85"/>
    <mergeCell ref="D86:D93"/>
    <mergeCell ref="B100:E100"/>
    <mergeCell ref="B108:E108"/>
    <mergeCell ref="C17:D17"/>
    <mergeCell ref="F17:G17"/>
    <mergeCell ref="B72:B73"/>
    <mergeCell ref="C72:C73"/>
    <mergeCell ref="E72:E73"/>
    <mergeCell ref="G72:G7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DCDB2-B4DB-47A2-BAE8-EBF85DC51B92}">
  <sheetPr>
    <tabColor rgb="FFFF0000"/>
  </sheetPr>
  <dimension ref="B1:P166"/>
  <sheetViews>
    <sheetView topLeftCell="A16" zoomScale="75" zoomScaleNormal="75" workbookViewId="0">
      <selection activeCell="I45" sqref="I45"/>
    </sheetView>
  </sheetViews>
  <sheetFormatPr baseColWidth="10" defaultRowHeight="15" x14ac:dyDescent="0.25"/>
  <cols>
    <col min="1" max="1" width="11.42578125" style="9"/>
    <col min="2" max="2" width="63.5703125" style="9" customWidth="1"/>
    <col min="3" max="3" width="15" style="9" bestFit="1" customWidth="1"/>
    <col min="4" max="4" width="17.140625" style="9" bestFit="1" customWidth="1"/>
    <col min="5" max="5" width="25.5703125" style="9" bestFit="1" customWidth="1"/>
    <col min="6" max="6" width="12.5703125" style="9" customWidth="1"/>
    <col min="7" max="7" width="18.28515625" style="9" customWidth="1"/>
    <col min="8" max="8" width="11.42578125" style="9"/>
    <col min="9" max="9" width="52.140625" style="9" bestFit="1" customWidth="1"/>
    <col min="10" max="10" width="14" style="9" bestFit="1" customWidth="1"/>
    <col min="11" max="11" width="12" style="9" bestFit="1" customWidth="1"/>
    <col min="12" max="12" width="11.42578125" style="9"/>
    <col min="13" max="13" width="12.140625" style="9" bestFit="1" customWidth="1"/>
    <col min="14" max="15" width="12" style="9" bestFit="1" customWidth="1"/>
    <col min="16" max="16384" width="11.42578125" style="9"/>
  </cols>
  <sheetData>
    <row r="1" spans="2:11" ht="23.25" thickBot="1" x14ac:dyDescent="0.3">
      <c r="B1" s="10" t="s">
        <v>34</v>
      </c>
      <c r="C1" s="11"/>
      <c r="D1" s="11"/>
      <c r="E1" s="11"/>
      <c r="F1" s="11"/>
      <c r="G1" s="12"/>
      <c r="I1" s="13" t="s">
        <v>35</v>
      </c>
    </row>
    <row r="2" spans="2:11" ht="15.75" thickBot="1" x14ac:dyDescent="0.3">
      <c r="B2" s="14" t="s">
        <v>36</v>
      </c>
      <c r="C2" s="15"/>
      <c r="D2" s="16"/>
      <c r="E2" s="17" t="s">
        <v>37</v>
      </c>
      <c r="F2" s="15"/>
      <c r="G2" s="16"/>
    </row>
    <row r="3" spans="2:11" x14ac:dyDescent="0.25">
      <c r="B3" s="18" t="s">
        <v>38</v>
      </c>
      <c r="C3" s="19"/>
      <c r="D3" s="20"/>
      <c r="E3" s="21" t="s">
        <v>38</v>
      </c>
      <c r="F3" s="22"/>
      <c r="G3" s="23"/>
      <c r="I3" s="17" t="s">
        <v>11</v>
      </c>
      <c r="J3" s="24">
        <v>2600</v>
      </c>
    </row>
    <row r="4" spans="2:11" x14ac:dyDescent="0.25">
      <c r="B4" s="18" t="s">
        <v>39</v>
      </c>
      <c r="C4" s="19"/>
      <c r="D4" s="20"/>
      <c r="E4" s="21" t="s">
        <v>40</v>
      </c>
      <c r="F4" s="22"/>
      <c r="G4" s="23"/>
      <c r="I4" s="21" t="s">
        <v>41</v>
      </c>
      <c r="J4" s="25">
        <v>151.66999999999999</v>
      </c>
    </row>
    <row r="5" spans="2:11" x14ac:dyDescent="0.25">
      <c r="B5" s="18" t="s">
        <v>42</v>
      </c>
      <c r="C5" s="19"/>
      <c r="D5" s="20"/>
      <c r="E5" s="21" t="s">
        <v>43</v>
      </c>
      <c r="F5" s="22"/>
      <c r="G5" s="23"/>
      <c r="I5" s="21" t="s">
        <v>44</v>
      </c>
      <c r="J5" s="23">
        <v>140</v>
      </c>
    </row>
    <row r="6" spans="2:11" x14ac:dyDescent="0.25">
      <c r="B6" s="18" t="s">
        <v>42</v>
      </c>
      <c r="C6" s="19"/>
      <c r="D6" s="20"/>
      <c r="E6" s="21" t="s">
        <v>45</v>
      </c>
      <c r="F6" s="22"/>
      <c r="G6" s="23"/>
      <c r="I6" s="26" t="s">
        <v>8</v>
      </c>
      <c r="J6" s="27">
        <v>5</v>
      </c>
    </row>
    <row r="7" spans="2:11" x14ac:dyDescent="0.25">
      <c r="B7" s="18" t="s">
        <v>46</v>
      </c>
      <c r="C7" s="19"/>
      <c r="D7" s="20"/>
      <c r="E7" s="21"/>
      <c r="F7" s="22"/>
      <c r="G7" s="23"/>
      <c r="I7" s="21" t="s">
        <v>47</v>
      </c>
      <c r="J7" s="28">
        <v>3.9E-2</v>
      </c>
    </row>
    <row r="8" spans="2:11" x14ac:dyDescent="0.25">
      <c r="B8" s="18" t="s">
        <v>48</v>
      </c>
      <c r="C8" s="19"/>
      <c r="D8" s="20"/>
      <c r="E8" s="21" t="s">
        <v>49</v>
      </c>
      <c r="F8" s="22"/>
      <c r="G8" s="23"/>
      <c r="I8" s="29" t="s">
        <v>50</v>
      </c>
      <c r="J8" s="30"/>
      <c r="K8" s="31" t="s">
        <v>51</v>
      </c>
    </row>
    <row r="9" spans="2:11" x14ac:dyDescent="0.25">
      <c r="B9" s="18" t="s">
        <v>52</v>
      </c>
      <c r="C9" s="19"/>
      <c r="D9" s="20"/>
      <c r="E9" s="21" t="s">
        <v>53</v>
      </c>
      <c r="F9" s="32" t="s">
        <v>54</v>
      </c>
      <c r="G9" s="23"/>
      <c r="I9" s="21" t="s">
        <v>55</v>
      </c>
      <c r="J9" s="33">
        <v>10.57</v>
      </c>
    </row>
    <row r="10" spans="2:11" x14ac:dyDescent="0.25">
      <c r="B10" s="18" t="s">
        <v>56</v>
      </c>
      <c r="C10" s="19"/>
      <c r="D10" s="20"/>
      <c r="E10" s="21" t="s">
        <v>57</v>
      </c>
      <c r="F10" s="32"/>
      <c r="G10" s="23"/>
      <c r="I10" s="4" t="s">
        <v>0</v>
      </c>
      <c r="J10" s="34">
        <v>35</v>
      </c>
    </row>
    <row r="11" spans="2:11" x14ac:dyDescent="0.25">
      <c r="B11" s="18" t="s">
        <v>58</v>
      </c>
      <c r="C11" s="19"/>
      <c r="D11" s="20"/>
      <c r="E11" s="21" t="s">
        <v>59</v>
      </c>
      <c r="F11" s="32"/>
      <c r="G11" s="23"/>
      <c r="I11" s="21" t="s">
        <v>60</v>
      </c>
      <c r="J11" s="23"/>
    </row>
    <row r="12" spans="2:11" x14ac:dyDescent="0.25">
      <c r="B12" s="18" t="s">
        <v>61</v>
      </c>
      <c r="C12" s="19">
        <v>4</v>
      </c>
      <c r="D12" s="20"/>
      <c r="E12" s="21" t="s">
        <v>62</v>
      </c>
      <c r="F12" s="35"/>
      <c r="G12" s="36"/>
      <c r="I12" s="21" t="s">
        <v>63</v>
      </c>
      <c r="J12" s="9">
        <v>10</v>
      </c>
    </row>
    <row r="13" spans="2:11" x14ac:dyDescent="0.25">
      <c r="B13" s="18" t="s">
        <v>64</v>
      </c>
      <c r="C13" s="19"/>
      <c r="D13" s="20"/>
      <c r="E13" s="21" t="s">
        <v>65</v>
      </c>
      <c r="F13" s="37"/>
      <c r="G13" s="23"/>
      <c r="I13" s="21" t="s">
        <v>66</v>
      </c>
      <c r="J13" s="23"/>
    </row>
    <row r="14" spans="2:11" x14ac:dyDescent="0.25">
      <c r="B14" s="18"/>
      <c r="C14" s="19"/>
      <c r="D14" s="20"/>
      <c r="E14" s="21" t="s">
        <v>67</v>
      </c>
      <c r="F14" s="22"/>
      <c r="G14" s="23"/>
      <c r="I14" s="21" t="s">
        <v>68</v>
      </c>
      <c r="J14" s="23"/>
    </row>
    <row r="15" spans="2:11" x14ac:dyDescent="0.25">
      <c r="B15" s="21"/>
      <c r="C15" s="19"/>
      <c r="D15" s="20"/>
      <c r="E15" s="21"/>
      <c r="F15" s="22"/>
      <c r="G15" s="23"/>
      <c r="I15" s="21" t="s">
        <v>69</v>
      </c>
      <c r="J15" s="23"/>
    </row>
    <row r="16" spans="2:11" ht="15.75" thickBot="1" x14ac:dyDescent="0.3">
      <c r="B16" s="38"/>
      <c r="C16" s="39"/>
      <c r="D16" s="40"/>
      <c r="E16" s="38"/>
      <c r="F16" s="41"/>
      <c r="G16" s="42"/>
      <c r="I16" s="26" t="s">
        <v>70</v>
      </c>
      <c r="J16" s="23"/>
    </row>
    <row r="17" spans="2:16" ht="15.75" thickBot="1" x14ac:dyDescent="0.3">
      <c r="B17" s="43" t="s">
        <v>71</v>
      </c>
      <c r="C17" s="567"/>
      <c r="D17" s="568"/>
      <c r="E17" s="44" t="s">
        <v>72</v>
      </c>
      <c r="F17" s="567"/>
      <c r="G17" s="569"/>
      <c r="I17" s="26" t="s">
        <v>73</v>
      </c>
      <c r="J17" s="358">
        <f>+E37</f>
        <v>2828.1974731562591</v>
      </c>
    </row>
    <row r="18" spans="2:16" ht="20.25" customHeight="1" thickBot="1" x14ac:dyDescent="0.3">
      <c r="B18" s="46" t="s">
        <v>74</v>
      </c>
      <c r="C18" s="47"/>
      <c r="D18" s="47"/>
      <c r="E18" s="47"/>
      <c r="F18" s="47"/>
      <c r="G18" s="48"/>
      <c r="I18" s="26" t="s">
        <v>75</v>
      </c>
      <c r="J18" s="45">
        <v>0</v>
      </c>
    </row>
    <row r="19" spans="2:16" ht="24" customHeight="1" thickBot="1" x14ac:dyDescent="0.3">
      <c r="B19" s="50" t="s">
        <v>74</v>
      </c>
      <c r="C19" s="51" t="s">
        <v>76</v>
      </c>
      <c r="D19" s="51" t="s">
        <v>77</v>
      </c>
      <c r="E19" s="52" t="s">
        <v>78</v>
      </c>
      <c r="F19" s="53"/>
      <c r="G19" s="53"/>
      <c r="I19" s="21" t="s">
        <v>79</v>
      </c>
      <c r="J19" s="442">
        <v>0.31950000000000001</v>
      </c>
    </row>
    <row r="20" spans="2:16" s="54" customFormat="1" x14ac:dyDescent="0.25">
      <c r="B20" s="17" t="s">
        <v>11</v>
      </c>
      <c r="C20" s="55"/>
      <c r="D20" s="56"/>
      <c r="E20" s="24">
        <f>J3</f>
        <v>2600</v>
      </c>
      <c r="F20" s="57"/>
      <c r="G20" s="58"/>
      <c r="H20" s="9"/>
      <c r="I20" s="59" t="s">
        <v>80</v>
      </c>
      <c r="J20" s="60">
        <v>6.9000000000000006E-2</v>
      </c>
      <c r="K20" s="9"/>
      <c r="L20" s="9"/>
      <c r="M20" s="9"/>
      <c r="N20" s="9"/>
      <c r="O20" s="9"/>
      <c r="P20" s="9"/>
    </row>
    <row r="21" spans="2:16" s="54" customFormat="1" x14ac:dyDescent="0.25">
      <c r="B21" s="61"/>
      <c r="C21" s="62"/>
      <c r="D21" s="63"/>
      <c r="E21" s="64"/>
      <c r="F21" s="65"/>
      <c r="G21" s="66"/>
      <c r="I21" s="21" t="s">
        <v>81</v>
      </c>
      <c r="J21" s="70">
        <v>20</v>
      </c>
      <c r="K21" s="9"/>
      <c r="L21" s="9"/>
      <c r="M21" s="9"/>
      <c r="N21" s="9"/>
      <c r="O21" s="9"/>
      <c r="P21" s="9"/>
    </row>
    <row r="22" spans="2:16" s="54" customFormat="1" x14ac:dyDescent="0.25">
      <c r="B22" s="61" t="s">
        <v>82</v>
      </c>
      <c r="C22" s="62"/>
      <c r="D22" s="67">
        <f>E20/J5</f>
        <v>18.571428571428573</v>
      </c>
      <c r="E22" s="64">
        <f>-D22*C22</f>
        <v>0</v>
      </c>
      <c r="F22" s="65"/>
      <c r="G22" s="66"/>
      <c r="I22" s="21" t="s">
        <v>83</v>
      </c>
      <c r="J22" s="70">
        <v>22</v>
      </c>
      <c r="K22" s="9"/>
      <c r="L22" s="9"/>
      <c r="M22" s="9"/>
      <c r="N22" s="9"/>
      <c r="O22" s="9"/>
      <c r="P22" s="9"/>
    </row>
    <row r="23" spans="2:16" s="54" customFormat="1" x14ac:dyDescent="0.25">
      <c r="B23" s="61"/>
      <c r="C23" s="62"/>
      <c r="D23" s="63"/>
      <c r="E23" s="64"/>
      <c r="F23" s="65"/>
      <c r="G23" s="66"/>
      <c r="I23" s="21" t="s">
        <v>84</v>
      </c>
      <c r="K23" s="9"/>
      <c r="L23" s="9"/>
      <c r="M23" s="9"/>
      <c r="N23" s="9"/>
      <c r="O23" s="9"/>
      <c r="P23" s="9"/>
    </row>
    <row r="24" spans="2:16" ht="15.75" thickBot="1" x14ac:dyDescent="0.3">
      <c r="B24" s="21" t="s">
        <v>63</v>
      </c>
      <c r="C24" s="22">
        <f>J12</f>
        <v>10</v>
      </c>
      <c r="D24" s="69">
        <f>(E20+E28)/151.67*1.25</f>
        <v>21.534061286747423</v>
      </c>
      <c r="E24" s="70">
        <f>D24*C24</f>
        <v>215.34061286747425</v>
      </c>
      <c r="F24" s="71"/>
      <c r="G24" s="72"/>
      <c r="I24" s="38" t="s">
        <v>85</v>
      </c>
      <c r="J24" s="68"/>
    </row>
    <row r="25" spans="2:16" ht="16.5" thickBot="1" x14ac:dyDescent="0.3">
      <c r="B25" s="21" t="s">
        <v>66</v>
      </c>
      <c r="C25" s="22">
        <f>J13</f>
        <v>0</v>
      </c>
      <c r="D25" s="69">
        <f>IF($J$4&gt;=151.67,$J$3/151.67*1.5,0)</f>
        <v>25.713720577569724</v>
      </c>
      <c r="E25" s="70">
        <f>D25*C25</f>
        <v>0</v>
      </c>
      <c r="F25" s="71"/>
      <c r="G25" s="74"/>
      <c r="I25" s="4" t="s">
        <v>86</v>
      </c>
      <c r="J25" s="73">
        <v>0</v>
      </c>
      <c r="K25" s="76"/>
    </row>
    <row r="26" spans="2:16" ht="15.75" thickBot="1" x14ac:dyDescent="0.3">
      <c r="B26" s="21" t="s">
        <v>68</v>
      </c>
      <c r="C26" s="22">
        <f>J14</f>
        <v>0</v>
      </c>
      <c r="D26" s="22">
        <f>IF($J$4&lt;151.67,$E$20/151.67*1.1,0)</f>
        <v>0</v>
      </c>
      <c r="E26" s="70">
        <f t="shared" ref="E26:E27" si="0">D26*C26</f>
        <v>0</v>
      </c>
      <c r="F26" s="71"/>
      <c r="G26" s="74"/>
      <c r="I26" s="77" t="s">
        <v>87</v>
      </c>
      <c r="J26" s="75"/>
    </row>
    <row r="27" spans="2:16" ht="15.75" thickBot="1" x14ac:dyDescent="0.3">
      <c r="B27" s="21" t="s">
        <v>69</v>
      </c>
      <c r="C27" s="22">
        <f>J15</f>
        <v>0</v>
      </c>
      <c r="D27" s="22">
        <f>IF($J$4&lt;151.67,$E$20/151.67*1.1,0)</f>
        <v>0</v>
      </c>
      <c r="E27" s="70">
        <f t="shared" si="0"/>
        <v>0</v>
      </c>
      <c r="F27" s="71"/>
      <c r="G27" s="74"/>
      <c r="J27" s="78"/>
    </row>
    <row r="28" spans="2:16" x14ac:dyDescent="0.25">
      <c r="B28" s="21" t="s">
        <v>266</v>
      </c>
      <c r="C28" s="22">
        <v>3</v>
      </c>
      <c r="D28" s="386">
        <f>E20/151.67*0.25</f>
        <v>4.2856200962616207</v>
      </c>
      <c r="E28" s="70">
        <f>D28*C28</f>
        <v>12.856860288784862</v>
      </c>
      <c r="F28" s="71"/>
      <c r="G28" s="74"/>
    </row>
    <row r="29" spans="2:16" ht="27" x14ac:dyDescent="0.25">
      <c r="B29" s="21" t="s">
        <v>88</v>
      </c>
      <c r="C29" s="79"/>
      <c r="D29" s="22"/>
      <c r="E29" s="70"/>
      <c r="F29" s="80"/>
      <c r="G29" s="81"/>
      <c r="I29" s="82"/>
    </row>
    <row r="30" spans="2:16" x14ac:dyDescent="0.25">
      <c r="B30" s="21" t="s">
        <v>89</v>
      </c>
      <c r="C30" s="79"/>
      <c r="D30" s="22"/>
      <c r="E30" s="70"/>
      <c r="F30" s="80"/>
      <c r="G30" s="81"/>
    </row>
    <row r="31" spans="2:16" x14ac:dyDescent="0.25">
      <c r="B31" s="21"/>
      <c r="C31" s="83"/>
      <c r="D31" s="84"/>
      <c r="E31" s="85"/>
      <c r="F31" s="86"/>
      <c r="G31" s="87"/>
    </row>
    <row r="32" spans="2:16" ht="15.75" thickBot="1" x14ac:dyDescent="0.3">
      <c r="B32" s="88" t="s">
        <v>90</v>
      </c>
      <c r="C32" s="89"/>
      <c r="D32" s="90"/>
      <c r="E32" s="91"/>
      <c r="F32" s="92"/>
      <c r="G32" s="93"/>
    </row>
    <row r="33" spans="2:7" x14ac:dyDescent="0.25">
      <c r="B33" s="94" t="s">
        <v>91</v>
      </c>
      <c r="C33" s="95"/>
      <c r="D33" s="96"/>
      <c r="E33" s="97"/>
      <c r="F33" s="98"/>
      <c r="G33" s="99"/>
    </row>
    <row r="34" spans="2:7" x14ac:dyDescent="0.25">
      <c r="B34" s="88" t="s">
        <v>28</v>
      </c>
      <c r="C34" s="95"/>
      <c r="D34" s="96"/>
      <c r="E34" s="97"/>
      <c r="F34" s="98"/>
      <c r="G34" s="99"/>
    </row>
    <row r="35" spans="2:7" x14ac:dyDescent="0.25">
      <c r="B35" s="94"/>
      <c r="C35" s="95"/>
      <c r="D35" s="96"/>
      <c r="E35" s="97"/>
      <c r="F35" s="98"/>
      <c r="G35" s="99"/>
    </row>
    <row r="36" spans="2:7" ht="15.75" thickBot="1" x14ac:dyDescent="0.3">
      <c r="B36" s="100" t="s">
        <v>92</v>
      </c>
      <c r="C36" s="95"/>
      <c r="D36" s="96"/>
      <c r="E36" s="101">
        <f>C36*D36</f>
        <v>0</v>
      </c>
      <c r="F36" s="98"/>
      <c r="G36" s="99"/>
    </row>
    <row r="37" spans="2:7" ht="16.5" thickTop="1" thickBot="1" x14ac:dyDescent="0.3">
      <c r="B37" s="102" t="s">
        <v>93</v>
      </c>
      <c r="C37" s="103"/>
      <c r="D37" s="104"/>
      <c r="E37" s="105">
        <f>SUM(E20:E36)</f>
        <v>2828.1974731562591</v>
      </c>
      <c r="F37" s="98"/>
      <c r="G37" s="99"/>
    </row>
    <row r="38" spans="2:7" ht="15.75" thickBot="1" x14ac:dyDescent="0.3">
      <c r="B38" s="106"/>
      <c r="C38" s="107"/>
      <c r="D38" s="108"/>
      <c r="E38" s="108"/>
      <c r="F38" s="109"/>
      <c r="G38" s="110"/>
    </row>
    <row r="39" spans="2:7" ht="28.5" x14ac:dyDescent="0.25">
      <c r="B39" s="111" t="s">
        <v>94</v>
      </c>
      <c r="C39" s="112" t="s">
        <v>95</v>
      </c>
      <c r="D39" s="112" t="s">
        <v>96</v>
      </c>
      <c r="E39" s="112" t="s">
        <v>97</v>
      </c>
      <c r="F39" s="112" t="s">
        <v>96</v>
      </c>
      <c r="G39" s="113" t="s">
        <v>98</v>
      </c>
    </row>
    <row r="40" spans="2:7" x14ac:dyDescent="0.25">
      <c r="B40" s="114" t="s">
        <v>99</v>
      </c>
      <c r="C40" s="115"/>
      <c r="D40" s="116"/>
      <c r="E40" s="116"/>
      <c r="F40" s="117"/>
      <c r="G40" s="118"/>
    </row>
    <row r="41" spans="2:7" x14ac:dyDescent="0.25">
      <c r="B41" s="119" t="s">
        <v>100</v>
      </c>
      <c r="C41" s="95">
        <f>$E$37</f>
        <v>2828.1974731562591</v>
      </c>
      <c r="D41" s="120"/>
      <c r="E41" s="121"/>
      <c r="F41" s="122">
        <v>7.0000000000000007E-2</v>
      </c>
      <c r="G41" s="362">
        <f>F41*C41</f>
        <v>197.97382312093816</v>
      </c>
    </row>
    <row r="42" spans="2:7" x14ac:dyDescent="0.25">
      <c r="B42" s="119" t="s">
        <v>101</v>
      </c>
      <c r="C42" s="95">
        <f>$J$17</f>
        <v>2828.1974731562591</v>
      </c>
      <c r="D42" s="124"/>
      <c r="E42" s="125"/>
      <c r="F42" s="126">
        <f>J24</f>
        <v>0</v>
      </c>
      <c r="G42" s="123">
        <f>F42*C42</f>
        <v>0</v>
      </c>
    </row>
    <row r="43" spans="2:7" x14ac:dyDescent="0.25">
      <c r="B43" s="119" t="s">
        <v>102</v>
      </c>
      <c r="C43" s="95">
        <f>$J$18</f>
        <v>0</v>
      </c>
      <c r="D43" s="124"/>
      <c r="E43" s="125"/>
      <c r="F43" s="126"/>
      <c r="G43" s="123">
        <f>F43*C43</f>
        <v>0</v>
      </c>
    </row>
    <row r="44" spans="2:7" x14ac:dyDescent="0.25">
      <c r="B44" s="119" t="s">
        <v>103</v>
      </c>
      <c r="C44" s="95"/>
      <c r="D44" s="124"/>
      <c r="E44" s="125"/>
      <c r="F44" s="126"/>
      <c r="G44" s="123">
        <f>F44*C44</f>
        <v>0</v>
      </c>
    </row>
    <row r="45" spans="2:7" x14ac:dyDescent="0.25">
      <c r="B45" s="127" t="s">
        <v>104</v>
      </c>
      <c r="C45" s="95">
        <f>J17+J18</f>
        <v>2828.1974731562591</v>
      </c>
      <c r="E45" s="95"/>
      <c r="F45" s="128">
        <f>J7</f>
        <v>3.9E-2</v>
      </c>
      <c r="G45" s="123">
        <f>F45*C45</f>
        <v>110.2997014530941</v>
      </c>
    </row>
    <row r="46" spans="2:7" x14ac:dyDescent="0.25">
      <c r="B46" s="114" t="s">
        <v>105</v>
      </c>
      <c r="C46" s="115"/>
      <c r="D46" s="116"/>
      <c r="E46" s="116"/>
      <c r="F46" s="117"/>
      <c r="G46" s="118"/>
    </row>
    <row r="47" spans="2:7" x14ac:dyDescent="0.25">
      <c r="B47" s="119" t="s">
        <v>106</v>
      </c>
      <c r="C47" s="95">
        <f>$J$17</f>
        <v>2828.1974731562591</v>
      </c>
      <c r="D47" s="124">
        <v>6.9000000000000006E-2</v>
      </c>
      <c r="E47" s="125">
        <f>D47*C47</f>
        <v>195.14562564778188</v>
      </c>
      <c r="F47" s="126">
        <v>8.5500000000000007E-2</v>
      </c>
      <c r="G47" s="123">
        <f>F47*C47</f>
        <v>241.81088395486017</v>
      </c>
    </row>
    <row r="48" spans="2:7" x14ac:dyDescent="0.25">
      <c r="B48" s="119" t="s">
        <v>107</v>
      </c>
      <c r="C48" s="95">
        <f>$E$37</f>
        <v>2828.1974731562591</v>
      </c>
      <c r="D48" s="124">
        <v>4.0000000000000001E-3</v>
      </c>
      <c r="E48" s="125">
        <f t="shared" ref="E48:E51" si="1">D48*C48</f>
        <v>11.312789892625037</v>
      </c>
      <c r="F48" s="126">
        <v>1.9E-2</v>
      </c>
      <c r="G48" s="123">
        <f t="shared" ref="G48:G51" si="2">F48*C48</f>
        <v>53.735751989968918</v>
      </c>
    </row>
    <row r="49" spans="2:7" x14ac:dyDescent="0.25">
      <c r="B49" s="119" t="s">
        <v>108</v>
      </c>
      <c r="C49" s="95">
        <f>$J$17</f>
        <v>2828.1974731562591</v>
      </c>
      <c r="D49" s="124">
        <v>4.0099999999999997E-2</v>
      </c>
      <c r="E49" s="125">
        <f t="shared" si="1"/>
        <v>113.41071867356598</v>
      </c>
      <c r="F49" s="126">
        <v>6.0100000000000001E-2</v>
      </c>
      <c r="G49" s="123">
        <f t="shared" si="2"/>
        <v>169.97466813669118</v>
      </c>
    </row>
    <row r="50" spans="2:7" x14ac:dyDescent="0.25">
      <c r="B50" s="119" t="s">
        <v>109</v>
      </c>
      <c r="C50" s="95">
        <f>+J18</f>
        <v>0</v>
      </c>
      <c r="D50" s="124">
        <v>9.7199999999999995E-2</v>
      </c>
      <c r="E50" s="125">
        <f t="shared" si="1"/>
        <v>0</v>
      </c>
      <c r="F50" s="126">
        <v>0.1457</v>
      </c>
      <c r="G50" s="123">
        <f t="shared" si="2"/>
        <v>0</v>
      </c>
    </row>
    <row r="51" spans="2:7" x14ac:dyDescent="0.25">
      <c r="B51" s="119" t="s">
        <v>110</v>
      </c>
      <c r="C51" s="95"/>
      <c r="D51" s="124">
        <v>1.4E-3</v>
      </c>
      <c r="E51" s="125">
        <f t="shared" si="1"/>
        <v>0</v>
      </c>
      <c r="F51" s="126">
        <v>2.0999999999999999E-3</v>
      </c>
      <c r="G51" s="123">
        <f t="shared" si="2"/>
        <v>0</v>
      </c>
    </row>
    <row r="52" spans="2:7" x14ac:dyDescent="0.25">
      <c r="B52" s="119" t="s">
        <v>111</v>
      </c>
      <c r="C52" s="95"/>
      <c r="D52" s="124"/>
      <c r="E52" s="125"/>
      <c r="F52" s="126"/>
      <c r="G52" s="123"/>
    </row>
    <row r="53" spans="2:7" x14ac:dyDescent="0.25">
      <c r="B53" s="114" t="s">
        <v>112</v>
      </c>
      <c r="C53" s="95">
        <f>$E$37</f>
        <v>2828.1974731562591</v>
      </c>
      <c r="D53" s="129"/>
      <c r="E53" s="95"/>
      <c r="F53" s="126">
        <v>3.4500000000000003E-2</v>
      </c>
      <c r="G53" s="361">
        <f>F53*C53</f>
        <v>97.572812823890942</v>
      </c>
    </row>
    <row r="54" spans="2:7" x14ac:dyDescent="0.25">
      <c r="B54" s="114" t="s">
        <v>113</v>
      </c>
      <c r="C54" s="95"/>
      <c r="D54" s="129"/>
      <c r="E54" s="95"/>
      <c r="F54" s="131"/>
      <c r="G54" s="123"/>
    </row>
    <row r="55" spans="2:7" x14ac:dyDescent="0.25">
      <c r="B55" s="119" t="s">
        <v>114</v>
      </c>
      <c r="C55" s="95">
        <f>E37</f>
        <v>2828.1974731562591</v>
      </c>
      <c r="D55" s="129"/>
      <c r="E55" s="95"/>
      <c r="F55" s="132">
        <v>4.2000000000000003E-2</v>
      </c>
      <c r="G55" s="123">
        <f t="shared" ref="G55" si="3">F55*C55</f>
        <v>118.78429387256288</v>
      </c>
    </row>
    <row r="56" spans="2:7" x14ac:dyDescent="0.25">
      <c r="B56" s="119" t="s">
        <v>115</v>
      </c>
      <c r="C56" s="95"/>
      <c r="D56" s="133">
        <v>2.4000000000000001E-4</v>
      </c>
      <c r="E56" s="134">
        <f>D56*C56</f>
        <v>0</v>
      </c>
      <c r="F56" s="131">
        <v>3.6000000000000002E-4</v>
      </c>
      <c r="G56" s="135">
        <f>C56*F56</f>
        <v>0</v>
      </c>
    </row>
    <row r="57" spans="2:7" x14ac:dyDescent="0.25">
      <c r="B57" s="114" t="s">
        <v>116</v>
      </c>
      <c r="C57" s="95"/>
      <c r="D57" s="129"/>
      <c r="E57" s="95"/>
      <c r="F57" s="131"/>
      <c r="G57" s="123">
        <f>E104</f>
        <v>44.006752682311394</v>
      </c>
    </row>
    <row r="58" spans="2:7" x14ac:dyDescent="0.25">
      <c r="B58" s="127"/>
      <c r="C58" s="95"/>
      <c r="D58" s="95"/>
      <c r="E58" s="95"/>
      <c r="F58" s="95"/>
      <c r="G58" s="136"/>
    </row>
    <row r="59" spans="2:7" ht="25.5" x14ac:dyDescent="0.25">
      <c r="B59" s="137" t="s">
        <v>117</v>
      </c>
      <c r="C59" s="95"/>
      <c r="D59" s="95"/>
      <c r="E59" s="95"/>
      <c r="F59" s="95"/>
      <c r="G59" s="136"/>
    </row>
    <row r="60" spans="2:7" x14ac:dyDescent="0.25">
      <c r="B60" s="127"/>
      <c r="C60" s="95"/>
      <c r="D60" s="133"/>
      <c r="E60" s="95"/>
      <c r="F60" s="138"/>
      <c r="G60" s="123"/>
    </row>
    <row r="61" spans="2:7" x14ac:dyDescent="0.25">
      <c r="B61" s="127" t="s">
        <v>118</v>
      </c>
      <c r="C61" s="95">
        <f>(E20+E28)*0.9825</f>
        <v>2567.1318652337313</v>
      </c>
      <c r="D61" s="124">
        <v>6.8000000000000005E-2</v>
      </c>
      <c r="E61" s="125">
        <f>D61*C61</f>
        <v>174.56496683589376</v>
      </c>
      <c r="F61" s="126"/>
      <c r="G61" s="123"/>
    </row>
    <row r="62" spans="2:7" x14ac:dyDescent="0.25">
      <c r="B62" s="127" t="s">
        <v>119</v>
      </c>
      <c r="C62" s="95">
        <f>C61</f>
        <v>2567.1318652337313</v>
      </c>
      <c r="D62" s="124">
        <v>2.9000000000000001E-2</v>
      </c>
      <c r="E62" s="125">
        <f>D62*C62</f>
        <v>74.446824091778211</v>
      </c>
      <c r="F62" s="126"/>
      <c r="G62" s="123"/>
    </row>
    <row r="63" spans="2:7" ht="25.5" x14ac:dyDescent="0.25">
      <c r="B63" s="139" t="s">
        <v>120</v>
      </c>
      <c r="C63" s="95">
        <f>(E24+E25+E26+E27)*0.9825</f>
        <v>211.57215214229345</v>
      </c>
      <c r="D63" s="124">
        <v>9.7000000000000003E-2</v>
      </c>
      <c r="E63" s="125">
        <f>D63*C63</f>
        <v>20.522498757802467</v>
      </c>
      <c r="F63" s="126"/>
      <c r="G63" s="123"/>
    </row>
    <row r="64" spans="2:7" x14ac:dyDescent="0.25">
      <c r="B64" s="139" t="s">
        <v>121</v>
      </c>
      <c r="C64" s="124"/>
      <c r="D64" s="124"/>
      <c r="E64" s="125"/>
      <c r="F64" s="126"/>
      <c r="G64" s="136">
        <f>-I125</f>
        <v>0</v>
      </c>
    </row>
    <row r="65" spans="2:8" x14ac:dyDescent="0.25">
      <c r="B65" s="139" t="s">
        <v>122</v>
      </c>
      <c r="C65" s="140">
        <f>E24+E25+E26+E27</f>
        <v>215.34061286747425</v>
      </c>
      <c r="D65" s="124">
        <v>-0.11310000000000001</v>
      </c>
      <c r="E65" s="125">
        <f>D65*C65</f>
        <v>-24.355023315311339</v>
      </c>
      <c r="F65" s="126"/>
      <c r="G65" s="123"/>
    </row>
    <row r="66" spans="2:8" ht="15.75" thickBot="1" x14ac:dyDescent="0.3">
      <c r="B66" s="141" t="s">
        <v>123</v>
      </c>
      <c r="C66" s="142">
        <f>IF(AND(J4=151.67,J6&lt;20),C24+C25,0)</f>
        <v>10</v>
      </c>
      <c r="D66" s="143"/>
      <c r="E66" s="144"/>
      <c r="F66" s="145">
        <v>-1.5</v>
      </c>
      <c r="G66" s="146">
        <f>F66*C66</f>
        <v>-15</v>
      </c>
    </row>
    <row r="67" spans="2:8" ht="15.75" thickBot="1" x14ac:dyDescent="0.3">
      <c r="B67" s="147" t="s">
        <v>124</v>
      </c>
      <c r="C67" s="148"/>
      <c r="D67" s="149"/>
      <c r="E67" s="150">
        <f>SUM(E41:E66)</f>
        <v>565.04840058413606</v>
      </c>
      <c r="F67" s="151"/>
      <c r="G67" s="152">
        <f>SUM(G41:G66)</f>
        <v>1019.1586880343177</v>
      </c>
    </row>
    <row r="68" spans="2:8" x14ac:dyDescent="0.25">
      <c r="B68" s="153"/>
      <c r="C68" s="154"/>
      <c r="D68" s="155"/>
      <c r="E68" s="156"/>
      <c r="F68" s="157"/>
      <c r="G68" s="158"/>
    </row>
    <row r="69" spans="2:8" x14ac:dyDescent="0.25">
      <c r="B69" s="119" t="s">
        <v>125</v>
      </c>
      <c r="C69" s="125"/>
      <c r="D69" s="159"/>
      <c r="E69" s="160">
        <v>-450</v>
      </c>
      <c r="F69" s="161"/>
      <c r="G69" s="162"/>
    </row>
    <row r="70" spans="2:8" x14ac:dyDescent="0.25">
      <c r="B70" s="119" t="s">
        <v>126</v>
      </c>
      <c r="C70" s="125"/>
      <c r="D70" s="159"/>
      <c r="E70" s="160"/>
      <c r="F70" s="161"/>
      <c r="G70" s="162"/>
    </row>
    <row r="71" spans="2:8" x14ac:dyDescent="0.25">
      <c r="B71" s="119" t="s">
        <v>127</v>
      </c>
      <c r="C71" s="125"/>
      <c r="D71" s="159"/>
      <c r="E71" s="125"/>
      <c r="F71" s="161"/>
      <c r="G71" s="162"/>
    </row>
    <row r="72" spans="2:8" ht="15.75" customHeight="1" x14ac:dyDescent="0.25">
      <c r="B72" s="163" t="s">
        <v>128</v>
      </c>
      <c r="C72" s="385">
        <v>19</v>
      </c>
      <c r="D72" s="159">
        <v>3.6</v>
      </c>
      <c r="E72" s="164">
        <f>-D72*C72</f>
        <v>-68.400000000000006</v>
      </c>
      <c r="F72" s="161"/>
      <c r="G72" s="162"/>
    </row>
    <row r="73" spans="2:8" x14ac:dyDescent="0.25">
      <c r="B73" s="165" t="s">
        <v>250</v>
      </c>
      <c r="C73" s="392"/>
      <c r="D73" s="400">
        <v>0.5</v>
      </c>
      <c r="E73" s="167">
        <f>C73*D73</f>
        <v>0</v>
      </c>
      <c r="F73" s="168"/>
      <c r="G73" s="162"/>
      <c r="H73" s="356"/>
    </row>
    <row r="74" spans="2:8" x14ac:dyDescent="0.25">
      <c r="B74" s="169" t="s">
        <v>230</v>
      </c>
      <c r="C74" s="125"/>
      <c r="D74" s="159"/>
      <c r="E74" s="170"/>
      <c r="F74" s="161"/>
      <c r="G74" s="162"/>
    </row>
    <row r="75" spans="2:8" ht="15.75" thickBot="1" x14ac:dyDescent="0.3">
      <c r="B75" s="141"/>
      <c r="C75" s="144"/>
      <c r="D75" s="171"/>
      <c r="E75" s="172"/>
      <c r="F75" s="173"/>
      <c r="G75" s="146"/>
    </row>
    <row r="76" spans="2:8" ht="15.75" thickBot="1" x14ac:dyDescent="0.3">
      <c r="B76" s="174" t="s">
        <v>130</v>
      </c>
      <c r="C76" s="148"/>
      <c r="D76" s="149"/>
      <c r="E76" s="150"/>
      <c r="F76" s="151"/>
      <c r="G76" s="175">
        <f>E37-E67+E69+E70+E71+E72+E73+E74+E75</f>
        <v>1744.7490725721232</v>
      </c>
    </row>
    <row r="77" spans="2:8" ht="28.5" x14ac:dyDescent="0.25">
      <c r="B77" s="176" t="s">
        <v>131</v>
      </c>
      <c r="C77" s="177"/>
      <c r="D77" s="178"/>
      <c r="E77" s="179"/>
      <c r="F77" s="180"/>
      <c r="G77" s="181"/>
    </row>
    <row r="78" spans="2:8" x14ac:dyDescent="0.25">
      <c r="B78" s="570" t="s">
        <v>132</v>
      </c>
      <c r="C78" s="572" t="s">
        <v>133</v>
      </c>
      <c r="D78" s="182" t="s">
        <v>96</v>
      </c>
      <c r="E78" s="574"/>
      <c r="F78" s="183"/>
      <c r="G78" s="576" t="s">
        <v>134</v>
      </c>
    </row>
    <row r="79" spans="2:8" ht="15.75" thickBot="1" x14ac:dyDescent="0.3">
      <c r="B79" s="571"/>
      <c r="C79" s="573"/>
      <c r="D79" s="184" t="s">
        <v>135</v>
      </c>
      <c r="E79" s="575"/>
      <c r="F79" s="185"/>
      <c r="G79" s="577"/>
    </row>
    <row r="80" spans="2:8" ht="15.75" thickBot="1" x14ac:dyDescent="0.3">
      <c r="B80" s="174" t="s">
        <v>136</v>
      </c>
      <c r="C80" s="186">
        <f>C87</f>
        <v>2142.7777825542298</v>
      </c>
      <c r="D80" s="382">
        <f>J20</f>
        <v>6.9000000000000006E-2</v>
      </c>
      <c r="E80" s="187"/>
      <c r="F80" s="188"/>
      <c r="G80" s="189">
        <f>D80*C80</f>
        <v>147.85166699624187</v>
      </c>
    </row>
    <row r="81" spans="2:7" x14ac:dyDescent="0.25">
      <c r="B81" s="190"/>
      <c r="C81" s="191"/>
      <c r="D81" s="192"/>
      <c r="E81" s="193" t="s">
        <v>137</v>
      </c>
      <c r="F81" s="194"/>
      <c r="G81" s="195">
        <f>G76-G80</f>
        <v>1596.8974055758813</v>
      </c>
    </row>
    <row r="82" spans="2:7" ht="43.5" thickBot="1" x14ac:dyDescent="0.3">
      <c r="B82" s="196" t="s">
        <v>138</v>
      </c>
      <c r="C82" s="197"/>
      <c r="D82" s="198"/>
      <c r="E82" s="199" t="s">
        <v>139</v>
      </c>
      <c r="F82" s="200"/>
      <c r="G82" s="201">
        <f>E119</f>
        <v>235.5994029061882</v>
      </c>
    </row>
    <row r="83" spans="2:7" ht="15.75" thickTop="1" x14ac:dyDescent="0.25">
      <c r="B83" s="555" t="s">
        <v>140</v>
      </c>
      <c r="C83" s="557"/>
      <c r="D83" s="558"/>
      <c r="E83" s="202" t="s">
        <v>141</v>
      </c>
      <c r="F83" s="203"/>
      <c r="G83" s="201">
        <f>E37+G67</f>
        <v>3847.356161190577</v>
      </c>
    </row>
    <row r="84" spans="2:7" ht="15.75" thickBot="1" x14ac:dyDescent="0.3">
      <c r="B84" s="556"/>
      <c r="C84" s="559"/>
      <c r="D84" s="560"/>
      <c r="E84" s="204" t="s">
        <v>142</v>
      </c>
      <c r="F84" s="205"/>
      <c r="G84" s="206"/>
    </row>
    <row r="85" spans="2:7" ht="28.5" x14ac:dyDescent="0.25">
      <c r="B85" s="207"/>
      <c r="C85" s="208" t="s">
        <v>143</v>
      </c>
      <c r="D85" s="209" t="s">
        <v>144</v>
      </c>
      <c r="E85" s="210"/>
      <c r="F85" s="211"/>
      <c r="G85" s="212"/>
    </row>
    <row r="86" spans="2:7" x14ac:dyDescent="0.25">
      <c r="B86" s="213" t="s">
        <v>145</v>
      </c>
      <c r="C86" s="214">
        <f>E37</f>
        <v>2828.1974731562591</v>
      </c>
      <c r="D86" s="215"/>
      <c r="E86" s="216"/>
      <c r="F86" s="199"/>
      <c r="G86" s="217"/>
    </row>
    <row r="87" spans="2:7" ht="15.75" thickBot="1" x14ac:dyDescent="0.3">
      <c r="B87" s="218" t="s">
        <v>146</v>
      </c>
      <c r="C87" s="219">
        <f>E37-E24-E25+G44+E63+E62-E67</f>
        <v>2142.7777825542298</v>
      </c>
      <c r="D87" s="220"/>
      <c r="E87" s="216"/>
      <c r="F87" s="199"/>
      <c r="G87" s="217"/>
    </row>
    <row r="88" spans="2:7" ht="15.75" thickBot="1" x14ac:dyDescent="0.3">
      <c r="B88" s="221" t="s">
        <v>147</v>
      </c>
      <c r="C88" s="222"/>
      <c r="D88" s="222"/>
      <c r="E88" s="223"/>
      <c r="F88" s="223"/>
      <c r="G88" s="224"/>
    </row>
    <row r="91" spans="2:7" s="225" customFormat="1" ht="15.75" thickBot="1" x14ac:dyDescent="0.3">
      <c r="B91" s="561" t="s">
        <v>116</v>
      </c>
      <c r="C91" s="562"/>
      <c r="D91" s="9"/>
      <c r="E91" s="9"/>
    </row>
    <row r="92" spans="2:7" s="225" customFormat="1" x14ac:dyDescent="0.25">
      <c r="B92" s="226"/>
      <c r="C92" s="227"/>
      <c r="D92" s="563">
        <f>+E37</f>
        <v>2828.1974731562591</v>
      </c>
      <c r="E92" s="228"/>
    </row>
    <row r="93" spans="2:7" s="225" customFormat="1" x14ac:dyDescent="0.25">
      <c r="B93" s="229" t="s">
        <v>148</v>
      </c>
      <c r="C93" s="230">
        <f>IF(J6&gt;=11,J8,0)</f>
        <v>0</v>
      </c>
      <c r="D93" s="564"/>
      <c r="E93" s="231">
        <f>C93*$D$92</f>
        <v>0</v>
      </c>
    </row>
    <row r="94" spans="2:7" s="225" customFormat="1" x14ac:dyDescent="0.25">
      <c r="B94" s="229" t="s">
        <v>149</v>
      </c>
      <c r="C94" s="230">
        <f>IF(J6&lt;50,0%,0.5%)</f>
        <v>0</v>
      </c>
      <c r="D94" s="564"/>
      <c r="E94" s="231">
        <f t="shared" ref="E94:E99" si="4">C94*$D$92</f>
        <v>0</v>
      </c>
    </row>
    <row r="95" spans="2:7" s="225" customFormat="1" x14ac:dyDescent="0.25">
      <c r="B95" s="229" t="s">
        <v>150</v>
      </c>
      <c r="C95" s="230">
        <v>1.6000000000000001E-4</v>
      </c>
      <c r="D95" s="564"/>
      <c r="E95" s="231">
        <f t="shared" si="4"/>
        <v>0.45251159570500149</v>
      </c>
    </row>
    <row r="96" spans="2:7" s="225" customFormat="1" x14ac:dyDescent="0.25">
      <c r="B96" s="229" t="s">
        <v>151</v>
      </c>
      <c r="C96" s="230">
        <v>3.0000000000000001E-3</v>
      </c>
      <c r="D96" s="564"/>
      <c r="E96" s="231">
        <f t="shared" si="4"/>
        <v>8.4845924194687772</v>
      </c>
    </row>
    <row r="97" spans="2:5" s="225" customFormat="1" x14ac:dyDescent="0.25">
      <c r="B97" s="229" t="s">
        <v>152</v>
      </c>
      <c r="C97" s="230">
        <v>5.8999999999999999E-3</v>
      </c>
      <c r="D97" s="564"/>
      <c r="E97" s="231">
        <f t="shared" si="4"/>
        <v>16.68636509162193</v>
      </c>
    </row>
    <row r="98" spans="2:5" s="225" customFormat="1" x14ac:dyDescent="0.25">
      <c r="B98" s="229" t="s">
        <v>153</v>
      </c>
      <c r="C98" s="230">
        <f>IF(J6&lt;11,0.55%,1%)</f>
        <v>5.5000000000000005E-3</v>
      </c>
      <c r="D98" s="564"/>
      <c r="E98" s="231">
        <f t="shared" si="4"/>
        <v>15.555086102359427</v>
      </c>
    </row>
    <row r="99" spans="2:5" s="225" customFormat="1" x14ac:dyDescent="0.25">
      <c r="B99" s="229"/>
      <c r="C99" s="230">
        <f>IF(J6&lt;=50,0,0.45%)</f>
        <v>0</v>
      </c>
      <c r="D99" s="564"/>
      <c r="E99" s="231">
        <f t="shared" si="4"/>
        <v>0</v>
      </c>
    </row>
    <row r="100" spans="2:5" s="225" customFormat="1" x14ac:dyDescent="0.25">
      <c r="B100" s="21"/>
      <c r="C100" s="22"/>
      <c r="D100" s="22"/>
      <c r="E100" s="23"/>
    </row>
    <row r="101" spans="2:5" s="225" customFormat="1" x14ac:dyDescent="0.25">
      <c r="B101" s="21" t="s">
        <v>154</v>
      </c>
      <c r="C101" s="232">
        <f>IF(J6&gt;=11,+G42+G43+G44,0)</f>
        <v>0</v>
      </c>
      <c r="D101" s="233">
        <v>0.08</v>
      </c>
      <c r="E101" s="234">
        <f>D101*C101</f>
        <v>0</v>
      </c>
    </row>
    <row r="102" spans="2:5" s="225" customFormat="1" ht="15.75" thickBot="1" x14ac:dyDescent="0.3">
      <c r="B102" s="38" t="s">
        <v>155</v>
      </c>
      <c r="C102" s="235">
        <f>IF(J6&lt;50,J17,0)</f>
        <v>2828.1974731562591</v>
      </c>
      <c r="D102" s="236">
        <v>1E-3</v>
      </c>
      <c r="E102" s="237">
        <f>D102*C102</f>
        <v>2.8281974731562594</v>
      </c>
    </row>
    <row r="103" spans="2:5" s="225" customFormat="1" ht="15.75" thickBot="1" x14ac:dyDescent="0.3">
      <c r="B103" s="9"/>
      <c r="C103" s="9"/>
      <c r="D103" s="9"/>
      <c r="E103" s="9"/>
    </row>
    <row r="104" spans="2:5" s="225" customFormat="1" ht="15.75" thickBot="1" x14ac:dyDescent="0.3">
      <c r="B104" s="238" t="s">
        <v>156</v>
      </c>
      <c r="C104" s="239"/>
      <c r="D104" s="239"/>
      <c r="E104" s="240">
        <f>SUM(E93:E102)</f>
        <v>44.006752682311394</v>
      </c>
    </row>
    <row r="105" spans="2:5" s="225" customFormat="1" ht="15.75" thickBot="1" x14ac:dyDescent="0.3">
      <c r="B105" s="9"/>
      <c r="C105" s="9"/>
      <c r="D105" s="9"/>
      <c r="E105" s="9"/>
    </row>
    <row r="106" spans="2:5" s="225" customFormat="1" thickBot="1" x14ac:dyDescent="0.3">
      <c r="B106" s="548" t="s">
        <v>157</v>
      </c>
      <c r="C106" s="549"/>
      <c r="D106" s="549"/>
      <c r="E106" s="550"/>
    </row>
    <row r="107" spans="2:5" s="225" customFormat="1" x14ac:dyDescent="0.25">
      <c r="B107" s="241" t="s">
        <v>158</v>
      </c>
      <c r="C107" s="242">
        <f>E37</f>
        <v>2828.1974731562591</v>
      </c>
      <c r="D107" s="243">
        <v>2.4E-2</v>
      </c>
      <c r="E107" s="244">
        <f>D107*C107</f>
        <v>67.876739355750217</v>
      </c>
    </row>
    <row r="108" spans="2:5" s="225" customFormat="1" x14ac:dyDescent="0.25">
      <c r="B108" s="245" t="s">
        <v>17</v>
      </c>
      <c r="C108" s="242">
        <f>C107</f>
        <v>2828.1974731562591</v>
      </c>
      <c r="D108" s="246">
        <v>7.4999999999999997E-3</v>
      </c>
      <c r="E108" s="247">
        <f t="shared" ref="E108:E109" si="5">D108*C108</f>
        <v>21.211481048671942</v>
      </c>
    </row>
    <row r="109" spans="2:5" s="225" customFormat="1" x14ac:dyDescent="0.25">
      <c r="B109" s="245" t="s">
        <v>159</v>
      </c>
      <c r="C109" s="242">
        <f>C61+C63</f>
        <v>2778.7040173760247</v>
      </c>
      <c r="D109" s="246">
        <v>-1.7000000000000001E-2</v>
      </c>
      <c r="E109" s="247">
        <f t="shared" si="5"/>
        <v>-47.23796829539242</v>
      </c>
    </row>
    <row r="110" spans="2:5" s="225" customFormat="1" x14ac:dyDescent="0.25">
      <c r="B110" s="196"/>
      <c r="C110" s="248"/>
      <c r="D110" s="249"/>
      <c r="E110" s="250"/>
    </row>
    <row r="111" spans="2:5" s="225" customFormat="1" ht="15.75" thickBot="1" x14ac:dyDescent="0.3">
      <c r="B111" s="251" t="s">
        <v>160</v>
      </c>
      <c r="C111" s="252"/>
      <c r="D111" s="253"/>
      <c r="E111" s="254">
        <f>SUM(E107:E110)</f>
        <v>41.850252109029739</v>
      </c>
    </row>
    <row r="112" spans="2:5" s="225" customFormat="1" ht="12.75" x14ac:dyDescent="0.25"/>
    <row r="113" spans="2:9" s="225" customFormat="1" ht="13.5" thickBot="1" x14ac:dyDescent="0.3"/>
    <row r="114" spans="2:9" s="225" customFormat="1" thickBot="1" x14ac:dyDescent="0.3">
      <c r="B114" s="548" t="s">
        <v>161</v>
      </c>
      <c r="C114" s="549"/>
      <c r="D114" s="549"/>
      <c r="E114" s="550"/>
    </row>
    <row r="115" spans="2:9" s="225" customFormat="1" ht="15.75" customHeight="1" x14ac:dyDescent="0.25">
      <c r="B115" s="255" t="s">
        <v>162</v>
      </c>
      <c r="C115" s="256"/>
      <c r="D115" s="256"/>
      <c r="E115" s="257">
        <f>I125</f>
        <v>0</v>
      </c>
    </row>
    <row r="116" spans="2:9" s="225" customFormat="1" ht="15.75" customHeight="1" x14ac:dyDescent="0.25">
      <c r="B116" s="258" t="s">
        <v>163</v>
      </c>
      <c r="C116" s="259">
        <f>C66</f>
        <v>10</v>
      </c>
      <c r="D116" s="260">
        <v>1.5</v>
      </c>
      <c r="E116" s="261">
        <f>D116*C116</f>
        <v>15</v>
      </c>
    </row>
    <row r="117" spans="2:9" s="225" customFormat="1" ht="15.75" customHeight="1" x14ac:dyDescent="0.25">
      <c r="B117" s="258" t="s">
        <v>164</v>
      </c>
      <c r="C117" s="262">
        <f>C41</f>
        <v>2828.1974731562591</v>
      </c>
      <c r="D117" s="246">
        <v>1.7999999999999999E-2</v>
      </c>
      <c r="E117" s="261">
        <f>D117*C117</f>
        <v>50.90755451681266</v>
      </c>
    </row>
    <row r="118" spans="2:9" s="225" customFormat="1" ht="15.75" customHeight="1" x14ac:dyDescent="0.25">
      <c r="B118" s="258" t="s">
        <v>165</v>
      </c>
      <c r="C118" s="262">
        <f>C117</f>
        <v>2828.1974731562591</v>
      </c>
      <c r="D118" s="246">
        <v>0.06</v>
      </c>
      <c r="E118" s="261">
        <f>D118*C118</f>
        <v>169.69184838937554</v>
      </c>
    </row>
    <row r="119" spans="2:9" s="225" customFormat="1" ht="15.75" customHeight="1" thickBot="1" x14ac:dyDescent="0.3">
      <c r="B119" s="263" t="s">
        <v>166</v>
      </c>
      <c r="C119" s="264"/>
      <c r="D119" s="264"/>
      <c r="E119" s="265">
        <f>E115+E116+E117+E118</f>
        <v>235.5994029061882</v>
      </c>
    </row>
    <row r="122" spans="2:9" ht="15.75" hidden="1" thickBot="1" x14ac:dyDescent="0.3">
      <c r="B122" s="266" t="s">
        <v>167</v>
      </c>
      <c r="C122" s="267">
        <f>J19</f>
        <v>0.31950000000000001</v>
      </c>
      <c r="D122" s="268"/>
      <c r="E122" s="268"/>
      <c r="F122" s="268"/>
      <c r="G122" s="268"/>
      <c r="H122" s="268"/>
      <c r="I122" s="268"/>
    </row>
    <row r="123" spans="2:9" hidden="1" x14ac:dyDescent="0.25">
      <c r="B123" s="268"/>
      <c r="C123" s="268"/>
      <c r="D123" s="268"/>
      <c r="E123" s="268"/>
      <c r="F123" s="268"/>
      <c r="G123" s="268"/>
      <c r="H123" s="268"/>
      <c r="I123" s="268"/>
    </row>
    <row r="124" spans="2:9" ht="30" hidden="1" x14ac:dyDescent="0.25">
      <c r="B124" s="3" t="s">
        <v>168</v>
      </c>
      <c r="C124" s="269" t="s">
        <v>169</v>
      </c>
      <c r="D124" s="269" t="s">
        <v>170</v>
      </c>
      <c r="E124" s="270" t="s">
        <v>171</v>
      </c>
      <c r="F124" s="271" t="s">
        <v>172</v>
      </c>
      <c r="G124" s="271" t="s">
        <v>173</v>
      </c>
      <c r="H124" s="271" t="s">
        <v>174</v>
      </c>
      <c r="I124" s="272" t="s">
        <v>175</v>
      </c>
    </row>
    <row r="125" spans="2:9" ht="15.75" hidden="1" thickBot="1" x14ac:dyDescent="0.3">
      <c r="B125" s="77" t="s">
        <v>176</v>
      </c>
      <c r="C125" s="273"/>
      <c r="D125" s="274">
        <f>C125</f>
        <v>0</v>
      </c>
      <c r="E125" s="275">
        <v>1603.12</v>
      </c>
      <c r="F125" s="273">
        <f>+E125</f>
        <v>1603.12</v>
      </c>
      <c r="G125" s="276" t="e">
        <f>ROUND((C122/0.6)*((1.6*F125/D125)-1),4)</f>
        <v>#DIV/0!</v>
      </c>
      <c r="H125" s="274" t="e">
        <f>IF(G125&gt;0,G125*D125,0)</f>
        <v>#DIV/0!</v>
      </c>
      <c r="I125" s="277">
        <v>0</v>
      </c>
    </row>
    <row r="126" spans="2:9" hidden="1" x14ac:dyDescent="0.25"/>
    <row r="127" spans="2:9" hidden="1" x14ac:dyDescent="0.25"/>
    <row r="128" spans="2:9" ht="18.75" hidden="1" x14ac:dyDescent="0.25">
      <c r="B128" s="543" t="s">
        <v>177</v>
      </c>
      <c r="C128" s="544"/>
      <c r="D128" s="544"/>
      <c r="E128" s="544"/>
    </row>
    <row r="129" spans="2:6" hidden="1" x14ac:dyDescent="0.25"/>
    <row r="130" spans="2:6" hidden="1" x14ac:dyDescent="0.25">
      <c r="B130" s="278" t="s">
        <v>178</v>
      </c>
      <c r="C130" s="279" t="s">
        <v>179</v>
      </c>
      <c r="D130" s="280" t="s">
        <v>180</v>
      </c>
      <c r="E130" s="280" t="s">
        <v>181</v>
      </c>
      <c r="F130" s="281" t="s">
        <v>182</v>
      </c>
    </row>
    <row r="131" spans="2:6" hidden="1" x14ac:dyDescent="0.25">
      <c r="B131" s="282" t="s">
        <v>183</v>
      </c>
      <c r="C131" s="2"/>
      <c r="D131" s="283">
        <f>C131-25</f>
        <v>-25</v>
      </c>
      <c r="E131" s="283">
        <f>IF(D131&lt;2.8,D131,2.8)</f>
        <v>-25</v>
      </c>
      <c r="F131" s="6">
        <f>IF(D131&gt;2.8,D131-2.8,0)</f>
        <v>0</v>
      </c>
    </row>
    <row r="132" spans="2:6" hidden="1" x14ac:dyDescent="0.25">
      <c r="B132" s="282" t="s">
        <v>184</v>
      </c>
      <c r="C132" s="2"/>
      <c r="D132" s="283">
        <f>C132-25</f>
        <v>-25</v>
      </c>
      <c r="E132" s="283">
        <f t="shared" ref="E132:E134" si="6">IF(D132&lt;2.8,D132,2.8)</f>
        <v>-25</v>
      </c>
      <c r="F132" s="6">
        <f t="shared" ref="F132:F134" si="7">IF(D132&gt;2.8,D132-2.8,0)</f>
        <v>0</v>
      </c>
    </row>
    <row r="133" spans="2:6" hidden="1" x14ac:dyDescent="0.25">
      <c r="B133" s="282" t="s">
        <v>185</v>
      </c>
      <c r="C133" s="2"/>
      <c r="D133" s="283">
        <f t="shared" ref="D133:D134" si="8">C133-25</f>
        <v>-25</v>
      </c>
      <c r="E133" s="283">
        <f t="shared" si="6"/>
        <v>-25</v>
      </c>
      <c r="F133" s="6">
        <f t="shared" si="7"/>
        <v>0</v>
      </c>
    </row>
    <row r="134" spans="2:6" hidden="1" x14ac:dyDescent="0.25">
      <c r="B134" s="282" t="s">
        <v>186</v>
      </c>
      <c r="C134" s="2"/>
      <c r="D134" s="283">
        <f t="shared" si="8"/>
        <v>-25</v>
      </c>
      <c r="E134" s="284">
        <f t="shared" si="6"/>
        <v>-25</v>
      </c>
      <c r="F134" s="285">
        <f t="shared" si="7"/>
        <v>0</v>
      </c>
    </row>
    <row r="135" spans="2:6" ht="15.75" hidden="1" thickBot="1" x14ac:dyDescent="0.3">
      <c r="B135" s="286" t="s">
        <v>187</v>
      </c>
      <c r="C135" s="2"/>
      <c r="D135" s="565" t="s">
        <v>188</v>
      </c>
      <c r="E135" s="565"/>
      <c r="F135" s="566"/>
    </row>
    <row r="136" spans="2:6" ht="15.75" hidden="1" thickBot="1" x14ac:dyDescent="0.3">
      <c r="B136" s="287" t="s">
        <v>189</v>
      </c>
      <c r="C136" s="288"/>
      <c r="D136" s="288">
        <f>SUM(D131:D134)</f>
        <v>-100</v>
      </c>
      <c r="E136" s="288">
        <f>SUM(E131:E134)</f>
        <v>-100</v>
      </c>
      <c r="F136" s="289">
        <f>SUM(F131:F134)</f>
        <v>0</v>
      </c>
    </row>
    <row r="137" spans="2:6" hidden="1" x14ac:dyDescent="0.25"/>
    <row r="138" spans="2:6" ht="18.75" customHeight="1" x14ac:dyDescent="0.25">
      <c r="B138" s="7"/>
      <c r="C138" s="290"/>
      <c r="D138" s="291"/>
      <c r="E138" s="7"/>
      <c r="F138" s="7"/>
    </row>
    <row r="139" spans="2:6" ht="18.75" hidden="1" x14ac:dyDescent="0.25">
      <c r="B139" s="543" t="s">
        <v>9</v>
      </c>
      <c r="C139" s="544"/>
      <c r="D139" s="544"/>
      <c r="E139" s="544"/>
    </row>
    <row r="140" spans="2:6" ht="15.75" hidden="1" thickBot="1" x14ac:dyDescent="0.3"/>
    <row r="141" spans="2:6" hidden="1" x14ac:dyDescent="0.25">
      <c r="B141" s="545" t="s">
        <v>10</v>
      </c>
      <c r="C141" s="546"/>
      <c r="D141" s="546"/>
      <c r="E141" s="547"/>
    </row>
    <row r="142" spans="2:6" hidden="1" x14ac:dyDescent="0.25">
      <c r="B142" s="292" t="s">
        <v>11</v>
      </c>
      <c r="C142" s="293"/>
      <c r="D142" s="293"/>
      <c r="E142" s="307">
        <v>3000</v>
      </c>
    </row>
    <row r="143" spans="2:6" hidden="1" x14ac:dyDescent="0.25">
      <c r="B143" s="292" t="s">
        <v>12</v>
      </c>
      <c r="C143" s="293"/>
      <c r="D143" s="293"/>
      <c r="E143" s="294">
        <v>28</v>
      </c>
    </row>
    <row r="144" spans="2:6" hidden="1" x14ac:dyDescent="0.25">
      <c r="B144" s="292" t="s">
        <v>13</v>
      </c>
      <c r="C144" s="293"/>
      <c r="D144" s="293"/>
      <c r="E144" s="311">
        <f>+E142/E143</f>
        <v>107.14285714285714</v>
      </c>
    </row>
    <row r="145" spans="2:5" ht="15.75" hidden="1" thickBot="1" x14ac:dyDescent="0.3">
      <c r="B145" s="292" t="s">
        <v>14</v>
      </c>
      <c r="C145" s="293"/>
      <c r="D145" s="293"/>
      <c r="E145" s="308">
        <v>21</v>
      </c>
    </row>
    <row r="146" spans="2:5" ht="16.5" hidden="1" thickTop="1" thickBot="1" x14ac:dyDescent="0.3">
      <c r="B146" s="295" t="s">
        <v>15</v>
      </c>
      <c r="C146" s="296"/>
      <c r="D146" s="297"/>
      <c r="E146" s="312">
        <f>E144*E145</f>
        <v>2250</v>
      </c>
    </row>
    <row r="147" spans="2:5" ht="15.75" hidden="1" thickBot="1" x14ac:dyDescent="0.3">
      <c r="B147" s="298"/>
      <c r="C147" s="298"/>
      <c r="D147" s="298"/>
      <c r="E147" s="298"/>
    </row>
    <row r="148" spans="2:5" ht="15.75" hidden="1" thickBot="1" x14ac:dyDescent="0.3">
      <c r="B148" s="548" t="s">
        <v>16</v>
      </c>
      <c r="C148" s="549"/>
      <c r="D148" s="549"/>
      <c r="E148" s="550"/>
    </row>
    <row r="149" spans="2:5" hidden="1" x14ac:dyDescent="0.25">
      <c r="B149" s="299" t="s">
        <v>17</v>
      </c>
      <c r="C149" s="300"/>
      <c r="D149" s="301" t="s">
        <v>18</v>
      </c>
      <c r="E149" s="302" t="s">
        <v>19</v>
      </c>
    </row>
    <row r="150" spans="2:5" hidden="1" x14ac:dyDescent="0.25">
      <c r="B150" s="245" t="s">
        <v>20</v>
      </c>
      <c r="C150" s="309">
        <v>44197</v>
      </c>
      <c r="D150" s="310">
        <v>5850</v>
      </c>
      <c r="E150" s="313">
        <f>1.8*1603.12</f>
        <v>2885.616</v>
      </c>
    </row>
    <row r="151" spans="2:5" hidden="1" x14ac:dyDescent="0.25">
      <c r="B151" s="245" t="s">
        <v>21</v>
      </c>
      <c r="C151" s="309">
        <v>44531</v>
      </c>
      <c r="D151" s="310">
        <v>3000</v>
      </c>
      <c r="E151" s="313">
        <f t="shared" ref="E151:E152" si="9">1.8*1603.12</f>
        <v>2885.616</v>
      </c>
    </row>
    <row r="152" spans="2:5" hidden="1" x14ac:dyDescent="0.25">
      <c r="B152" s="245" t="s">
        <v>22</v>
      </c>
      <c r="C152" s="309">
        <v>44501</v>
      </c>
      <c r="D152" s="310">
        <v>2900</v>
      </c>
      <c r="E152" s="313">
        <f t="shared" si="9"/>
        <v>2885.616</v>
      </c>
    </row>
    <row r="153" spans="2:5" hidden="1" x14ac:dyDescent="0.25">
      <c r="B153" s="245" t="s">
        <v>23</v>
      </c>
      <c r="C153" s="303"/>
      <c r="D153" s="303"/>
      <c r="E153" s="247">
        <f>SUM(E150:E152)</f>
        <v>8656.848</v>
      </c>
    </row>
    <row r="154" spans="2:5" hidden="1" x14ac:dyDescent="0.25">
      <c r="B154" s="245" t="s">
        <v>24</v>
      </c>
      <c r="C154" s="303"/>
      <c r="D154" s="303"/>
      <c r="E154" s="247">
        <f>E153/91.25*0.5</f>
        <v>47.434783561643833</v>
      </c>
    </row>
    <row r="155" spans="2:5" hidden="1" x14ac:dyDescent="0.25">
      <c r="B155" s="245" t="s">
        <v>190</v>
      </c>
      <c r="C155" s="303"/>
      <c r="D155" s="315" t="s">
        <v>191</v>
      </c>
      <c r="E155" s="304">
        <f>E145-3</f>
        <v>18</v>
      </c>
    </row>
    <row r="156" spans="2:5" hidden="1" x14ac:dyDescent="0.25">
      <c r="B156" s="245" t="s">
        <v>25</v>
      </c>
      <c r="C156" s="303"/>
      <c r="D156" s="303"/>
      <c r="E156" s="319">
        <f>E155*E154</f>
        <v>853.82610410958898</v>
      </c>
    </row>
    <row r="157" spans="2:5" hidden="1" x14ac:dyDescent="0.25">
      <c r="B157" s="245" t="s">
        <v>26</v>
      </c>
      <c r="C157" s="303"/>
      <c r="D157" s="303"/>
      <c r="E157" s="247">
        <f>E156*6.7%</f>
        <v>57.206348975342465</v>
      </c>
    </row>
    <row r="158" spans="2:5" ht="15.75" hidden="1" thickBot="1" x14ac:dyDescent="0.3">
      <c r="B158" s="305" t="s">
        <v>27</v>
      </c>
      <c r="C158" s="306"/>
      <c r="D158" s="306"/>
      <c r="E158" s="314">
        <f>E156-E157</f>
        <v>796.61975513424647</v>
      </c>
    </row>
    <row r="159" spans="2:5" ht="15.75" hidden="1" thickBot="1" x14ac:dyDescent="0.3"/>
    <row r="160" spans="2:5" hidden="1" x14ac:dyDescent="0.25">
      <c r="B160" s="545" t="s">
        <v>28</v>
      </c>
      <c r="C160" s="546"/>
      <c r="D160" s="546"/>
      <c r="E160" s="547"/>
    </row>
    <row r="161" spans="2:5" hidden="1" x14ac:dyDescent="0.25">
      <c r="B161" s="292" t="s">
        <v>29</v>
      </c>
      <c r="C161" s="293"/>
      <c r="D161" s="293"/>
      <c r="E161" s="316">
        <f>E145-7</f>
        <v>14</v>
      </c>
    </row>
    <row r="162" spans="2:5" ht="15.75" hidden="1" thickBot="1" x14ac:dyDescent="0.3">
      <c r="B162" s="292" t="s">
        <v>30</v>
      </c>
      <c r="C162" s="293"/>
      <c r="D162" s="293"/>
      <c r="E162" s="294">
        <f>E144*0.9</f>
        <v>96.428571428571431</v>
      </c>
    </row>
    <row r="163" spans="2:5" ht="16.5" hidden="1" thickTop="1" thickBot="1" x14ac:dyDescent="0.3">
      <c r="B163" s="292" t="s">
        <v>31</v>
      </c>
      <c r="C163" s="293"/>
      <c r="D163" s="293"/>
      <c r="E163" s="312">
        <f>E161*E162</f>
        <v>1350</v>
      </c>
    </row>
    <row r="164" spans="2:5" ht="16.5" hidden="1" thickTop="1" thickBot="1" x14ac:dyDescent="0.3">
      <c r="B164" s="245" t="s">
        <v>32</v>
      </c>
      <c r="C164" s="293"/>
      <c r="D164" s="293"/>
      <c r="E164" s="317">
        <f>E154</f>
        <v>47.434783561643833</v>
      </c>
    </row>
    <row r="165" spans="2:5" ht="16.5" hidden="1" thickTop="1" thickBot="1" x14ac:dyDescent="0.3">
      <c r="B165" s="295" t="s">
        <v>33</v>
      </c>
      <c r="C165" s="320">
        <f>E161</f>
        <v>14</v>
      </c>
      <c r="D165" s="318">
        <f>E164</f>
        <v>47.434783561643833</v>
      </c>
      <c r="E165" s="312">
        <f>D165*C165</f>
        <v>664.08696986301368</v>
      </c>
    </row>
    <row r="166" spans="2:5" hidden="1" x14ac:dyDescent="0.25"/>
  </sheetData>
  <mergeCells count="18">
    <mergeCell ref="B160:E160"/>
    <mergeCell ref="B83:B84"/>
    <mergeCell ref="C83:D84"/>
    <mergeCell ref="B91:C91"/>
    <mergeCell ref="D92:D99"/>
    <mergeCell ref="B106:E106"/>
    <mergeCell ref="B114:E114"/>
    <mergeCell ref="B128:E128"/>
    <mergeCell ref="D135:F135"/>
    <mergeCell ref="B139:E139"/>
    <mergeCell ref="B141:E141"/>
    <mergeCell ref="B148:E148"/>
    <mergeCell ref="C17:D17"/>
    <mergeCell ref="F17:G17"/>
    <mergeCell ref="B78:B79"/>
    <mergeCell ref="C78:C79"/>
    <mergeCell ref="E78:E79"/>
    <mergeCell ref="G78:G7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72D5B-B630-4EA2-8D6D-D7B1B6DC9D51}">
  <dimension ref="A3:I23"/>
  <sheetViews>
    <sheetView zoomScale="75" zoomScaleNormal="75" workbookViewId="0">
      <selection activeCell="I45" sqref="I45"/>
    </sheetView>
  </sheetViews>
  <sheetFormatPr baseColWidth="10" defaultRowHeight="15" x14ac:dyDescent="0.25"/>
  <cols>
    <col min="1" max="1" width="21.42578125" style="363" customWidth="1"/>
    <col min="2" max="2" width="13" style="363" bestFit="1" customWidth="1"/>
    <col min="3" max="3" width="12.7109375" style="363" bestFit="1" customWidth="1"/>
    <col min="4" max="5" width="16.85546875" style="363" bestFit="1" customWidth="1"/>
    <col min="6" max="6" width="12.42578125" style="363" bestFit="1" customWidth="1"/>
    <col min="7" max="7" width="12.85546875" style="363" customWidth="1"/>
    <col min="8" max="8" width="13" style="363" bestFit="1" customWidth="1"/>
    <col min="9" max="9" width="13.7109375" style="363" customWidth="1"/>
    <col min="10" max="10" width="14.42578125" style="363" customWidth="1"/>
    <col min="11" max="11" width="11.85546875" style="363" bestFit="1" customWidth="1"/>
    <col min="12" max="12" width="11.5703125" style="363" bestFit="1" customWidth="1"/>
    <col min="13" max="16384" width="11.42578125" style="363"/>
  </cols>
  <sheetData>
    <row r="3" spans="1:8" ht="21.75" thickBot="1" x14ac:dyDescent="0.3">
      <c r="A3" s="578" t="s">
        <v>249</v>
      </c>
      <c r="B3" s="579"/>
      <c r="C3" s="579"/>
      <c r="D3" s="579"/>
      <c r="E3" s="579"/>
      <c r="F3" s="579"/>
      <c r="G3" s="579"/>
      <c r="H3" s="579"/>
    </row>
    <row r="4" spans="1:8" ht="15.75" thickBot="1" x14ac:dyDescent="0.3">
      <c r="A4" s="446" t="s">
        <v>167</v>
      </c>
      <c r="B4" s="447">
        <v>0.31950000000000001</v>
      </c>
      <c r="C4" s="448"/>
      <c r="D4" s="448"/>
      <c r="E4" s="448"/>
      <c r="F4" s="448"/>
      <c r="G4" s="448"/>
      <c r="H4" s="448"/>
    </row>
    <row r="5" spans="1:8" ht="15.75" thickBot="1" x14ac:dyDescent="0.3">
      <c r="A5" s="448"/>
      <c r="B5" s="448"/>
      <c r="C5" s="448"/>
      <c r="D5" s="448"/>
      <c r="E5" s="448"/>
      <c r="F5" s="448"/>
      <c r="G5" s="448"/>
      <c r="H5" s="448"/>
    </row>
    <row r="6" spans="1:8" ht="30" x14ac:dyDescent="0.25">
      <c r="A6" s="449" t="s">
        <v>168</v>
      </c>
      <c r="B6" s="450" t="s">
        <v>169</v>
      </c>
      <c r="C6" s="450" t="s">
        <v>170</v>
      </c>
      <c r="D6" s="451" t="s">
        <v>171</v>
      </c>
      <c r="E6" s="452" t="s">
        <v>172</v>
      </c>
      <c r="F6" s="452" t="s">
        <v>173</v>
      </c>
      <c r="G6" s="452" t="s">
        <v>174</v>
      </c>
      <c r="H6" s="453" t="s">
        <v>175</v>
      </c>
    </row>
    <row r="7" spans="1:8" x14ac:dyDescent="0.25">
      <c r="A7" s="454">
        <v>43831</v>
      </c>
      <c r="B7" s="455">
        <v>2200</v>
      </c>
      <c r="C7" s="456">
        <f>B7</f>
        <v>2200</v>
      </c>
      <c r="D7" s="457">
        <v>1603.12</v>
      </c>
      <c r="E7" s="458">
        <f>+D7</f>
        <v>1603.12</v>
      </c>
      <c r="F7" s="459">
        <f>ROUND(($B$4/0.6)*((1.6*E7/C7)-1),4)</f>
        <v>8.8300000000000003E-2</v>
      </c>
      <c r="G7" s="456">
        <f>IF(F7&gt;0,F7*C7,0)</f>
        <v>194.26000000000002</v>
      </c>
      <c r="H7" s="460">
        <f>G7</f>
        <v>194.26000000000002</v>
      </c>
    </row>
    <row r="8" spans="1:8" x14ac:dyDescent="0.25">
      <c r="A8" s="454">
        <v>43862</v>
      </c>
      <c r="B8" s="455">
        <v>2200</v>
      </c>
      <c r="C8" s="456">
        <f>C7+B8</f>
        <v>4400</v>
      </c>
      <c r="D8" s="457">
        <v>1603.12</v>
      </c>
      <c r="E8" s="458">
        <f>D8+E7</f>
        <v>3206.24</v>
      </c>
      <c r="F8" s="459">
        <f t="shared" ref="F8:F10" si="0">ROUND(($B$4/0.6)*((1.6*E8/C8)-1),4)</f>
        <v>8.8300000000000003E-2</v>
      </c>
      <c r="G8" s="456">
        <f>IF(F8&gt;0,F8*C8,0)</f>
        <v>388.52000000000004</v>
      </c>
      <c r="H8" s="460">
        <f>G8-G7</f>
        <v>194.26000000000002</v>
      </c>
    </row>
    <row r="9" spans="1:8" x14ac:dyDescent="0.25">
      <c r="A9" s="454">
        <v>43891</v>
      </c>
      <c r="B9" s="458">
        <v>2200</v>
      </c>
      <c r="C9" s="456">
        <f>C8+B9</f>
        <v>6600</v>
      </c>
      <c r="D9" s="457">
        <v>1603.12</v>
      </c>
      <c r="E9" s="458">
        <f>D9+E8</f>
        <v>4809.3599999999997</v>
      </c>
      <c r="F9" s="459">
        <f t="shared" si="0"/>
        <v>8.8300000000000003E-2</v>
      </c>
      <c r="G9" s="461">
        <f>IF(F9&gt;0,F9*C9,0)</f>
        <v>582.78</v>
      </c>
      <c r="H9" s="462">
        <f>G9-G8</f>
        <v>194.25999999999993</v>
      </c>
    </row>
    <row r="10" spans="1:8" ht="15.75" thickBot="1" x14ac:dyDescent="0.3">
      <c r="A10" s="485">
        <v>43922</v>
      </c>
      <c r="B10" s="486">
        <f>'Bulletin BONNELLE'!E37</f>
        <v>1791.5384615384617</v>
      </c>
      <c r="C10" s="487">
        <f>C9+B10</f>
        <v>8391.538461538461</v>
      </c>
      <c r="D10" s="488">
        <f>1603.12*B10/E22</f>
        <v>1287.0273974491554</v>
      </c>
      <c r="E10" s="486">
        <f>D10+E9</f>
        <v>6096.3873974491553</v>
      </c>
      <c r="F10" s="489">
        <f t="shared" si="0"/>
        <v>8.6499999999999994E-2</v>
      </c>
      <c r="G10" s="487">
        <f>IF(F10&gt;0,F10*C10,0)</f>
        <v>725.86807692307684</v>
      </c>
      <c r="H10" s="490">
        <f>G10-G9</f>
        <v>143.08807692307687</v>
      </c>
    </row>
    <row r="11" spans="1:8" x14ac:dyDescent="0.25">
      <c r="D11" s="363" t="s">
        <v>363</v>
      </c>
    </row>
    <row r="18" spans="3:9" x14ac:dyDescent="0.25">
      <c r="C18" s="363" t="s">
        <v>360</v>
      </c>
    </row>
    <row r="19" spans="3:9" x14ac:dyDescent="0.25">
      <c r="D19" s="491"/>
      <c r="E19" s="491"/>
      <c r="F19" s="491"/>
      <c r="G19" s="491"/>
      <c r="H19" s="491"/>
      <c r="I19" s="491"/>
    </row>
    <row r="20" spans="3:9" x14ac:dyDescent="0.25">
      <c r="C20" s="491" t="s">
        <v>361</v>
      </c>
      <c r="D20" s="491"/>
      <c r="E20" s="480">
        <f>'Bulletin BONNELLE'!E37</f>
        <v>1791.5384615384617</v>
      </c>
      <c r="F20" s="491"/>
      <c r="G20" s="491"/>
      <c r="H20" s="491"/>
      <c r="I20" s="491"/>
    </row>
    <row r="21" spans="3:9" x14ac:dyDescent="0.25">
      <c r="C21" s="491" t="s">
        <v>362</v>
      </c>
      <c r="D21" s="491"/>
      <c r="E21" s="480">
        <f>-'Bulletin BONNELLE'!E22</f>
        <v>440</v>
      </c>
      <c r="F21" s="491"/>
      <c r="G21" s="491"/>
      <c r="H21" s="491"/>
      <c r="I21" s="491"/>
    </row>
    <row r="22" spans="3:9" x14ac:dyDescent="0.25">
      <c r="C22" s="491" t="s">
        <v>361</v>
      </c>
      <c r="D22" s="491"/>
      <c r="E22" s="480">
        <f>E21+E20</f>
        <v>2231.5384615384619</v>
      </c>
      <c r="F22" s="491"/>
      <c r="G22" s="491"/>
      <c r="H22" s="491"/>
      <c r="I22" s="491"/>
    </row>
    <row r="23" spans="3:9" x14ac:dyDescent="0.25">
      <c r="C23" s="491"/>
      <c r="D23" s="491"/>
      <c r="E23" s="491"/>
      <c r="F23" s="491"/>
      <c r="G23" s="491"/>
      <c r="H23" s="491"/>
      <c r="I23" s="491"/>
    </row>
  </sheetData>
  <mergeCells count="1">
    <mergeCell ref="A3:H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B8BC2-156D-4D52-B71A-9E622A0CD38F}">
  <sheetPr>
    <tabColor rgb="FFFF0000"/>
  </sheetPr>
  <dimension ref="B1:P168"/>
  <sheetViews>
    <sheetView topLeftCell="A64" zoomScale="75" zoomScaleNormal="75" workbookViewId="0">
      <selection activeCell="I45" sqref="I45"/>
    </sheetView>
  </sheetViews>
  <sheetFormatPr baseColWidth="10" defaultRowHeight="15" x14ac:dyDescent="0.25"/>
  <cols>
    <col min="1" max="1" width="11.42578125" style="9"/>
    <col min="2" max="2" width="63.5703125" style="9" customWidth="1"/>
    <col min="3" max="3" width="15" style="9" bestFit="1" customWidth="1"/>
    <col min="4" max="4" width="17.140625" style="9" bestFit="1" customWidth="1"/>
    <col min="5" max="5" width="25.5703125" style="9" bestFit="1" customWidth="1"/>
    <col min="6" max="6" width="12.5703125" style="9" customWidth="1"/>
    <col min="7" max="7" width="18.28515625" style="9" customWidth="1"/>
    <col min="8" max="8" width="47" style="9" customWidth="1"/>
    <col min="9" max="9" width="52.140625" style="9" bestFit="1" customWidth="1"/>
    <col min="10" max="10" width="14" style="9" bestFit="1" customWidth="1"/>
    <col min="11" max="11" width="21.140625" style="9" customWidth="1"/>
    <col min="12" max="12" width="11.42578125" style="9"/>
    <col min="13" max="13" width="12.140625" style="9" bestFit="1" customWidth="1"/>
    <col min="14" max="15" width="12" style="9" bestFit="1" customWidth="1"/>
    <col min="16" max="16384" width="11.42578125" style="9"/>
  </cols>
  <sheetData>
    <row r="1" spans="2:11" ht="23.25" thickBot="1" x14ac:dyDescent="0.3">
      <c r="B1" s="10" t="s">
        <v>34</v>
      </c>
      <c r="C1" s="11"/>
      <c r="D1" s="11"/>
      <c r="E1" s="11"/>
      <c r="F1" s="11"/>
      <c r="G1" s="12"/>
      <c r="I1" s="13" t="s">
        <v>35</v>
      </c>
    </row>
    <row r="2" spans="2:11" ht="15.75" thickBot="1" x14ac:dyDescent="0.3">
      <c r="B2" s="14" t="s">
        <v>36</v>
      </c>
      <c r="C2" s="15"/>
      <c r="D2" s="16"/>
      <c r="E2" s="17" t="s">
        <v>37</v>
      </c>
      <c r="F2" s="15"/>
      <c r="G2" s="16"/>
    </row>
    <row r="3" spans="2:11" x14ac:dyDescent="0.25">
      <c r="B3" s="18" t="s">
        <v>38</v>
      </c>
      <c r="C3" s="19"/>
      <c r="D3" s="20"/>
      <c r="E3" s="21" t="s">
        <v>38</v>
      </c>
      <c r="F3" s="22"/>
      <c r="G3" s="23"/>
      <c r="I3" s="17" t="s">
        <v>11</v>
      </c>
      <c r="J3" s="24">
        <v>2200</v>
      </c>
    </row>
    <row r="4" spans="2:11" x14ac:dyDescent="0.25">
      <c r="B4" s="18" t="s">
        <v>39</v>
      </c>
      <c r="C4" s="19"/>
      <c r="D4" s="20"/>
      <c r="E4" s="21" t="s">
        <v>40</v>
      </c>
      <c r="F4" s="22"/>
      <c r="G4" s="23"/>
      <c r="I4" s="21" t="s">
        <v>41</v>
      </c>
      <c r="J4" s="25">
        <v>151.66999999999999</v>
      </c>
    </row>
    <row r="5" spans="2:11" x14ac:dyDescent="0.25">
      <c r="B5" s="18" t="s">
        <v>42</v>
      </c>
      <c r="C5" s="19"/>
      <c r="D5" s="20"/>
      <c r="E5" s="21" t="s">
        <v>43</v>
      </c>
      <c r="F5" s="22"/>
      <c r="G5" s="23"/>
      <c r="I5" s="21" t="s">
        <v>44</v>
      </c>
      <c r="J5" s="23">
        <v>140</v>
      </c>
    </row>
    <row r="6" spans="2:11" x14ac:dyDescent="0.25">
      <c r="B6" s="18" t="s">
        <v>42</v>
      </c>
      <c r="C6" s="19"/>
      <c r="D6" s="20"/>
      <c r="E6" s="21" t="s">
        <v>45</v>
      </c>
      <c r="F6" s="22"/>
      <c r="G6" s="23"/>
      <c r="I6" s="26" t="s">
        <v>8</v>
      </c>
      <c r="J6" s="27">
        <v>5</v>
      </c>
    </row>
    <row r="7" spans="2:11" x14ac:dyDescent="0.25">
      <c r="B7" s="18" t="s">
        <v>46</v>
      </c>
      <c r="C7" s="19"/>
      <c r="D7" s="20"/>
      <c r="E7" s="21"/>
      <c r="F7" s="22"/>
      <c r="G7" s="23"/>
      <c r="I7" s="21" t="s">
        <v>47</v>
      </c>
      <c r="J7" s="28">
        <v>3.9E-2</v>
      </c>
    </row>
    <row r="8" spans="2:11" x14ac:dyDescent="0.25">
      <c r="B8" s="18" t="s">
        <v>48</v>
      </c>
      <c r="C8" s="19"/>
      <c r="D8" s="20"/>
      <c r="E8" s="21" t="s">
        <v>49</v>
      </c>
      <c r="F8" s="22"/>
      <c r="G8" s="23"/>
      <c r="I8" s="29" t="s">
        <v>50</v>
      </c>
      <c r="J8" s="30"/>
      <c r="K8" s="31" t="s">
        <v>51</v>
      </c>
    </row>
    <row r="9" spans="2:11" x14ac:dyDescent="0.25">
      <c r="B9" s="18" t="s">
        <v>52</v>
      </c>
      <c r="C9" s="19"/>
      <c r="D9" s="20"/>
      <c r="E9" s="21" t="s">
        <v>53</v>
      </c>
      <c r="F9" s="32" t="s">
        <v>54</v>
      </c>
      <c r="G9" s="23"/>
      <c r="I9" s="21" t="s">
        <v>55</v>
      </c>
      <c r="J9" s="33">
        <v>10.57</v>
      </c>
    </row>
    <row r="10" spans="2:11" x14ac:dyDescent="0.25">
      <c r="B10" s="18" t="s">
        <v>56</v>
      </c>
      <c r="C10" s="19"/>
      <c r="D10" s="20"/>
      <c r="E10" s="21" t="s">
        <v>57</v>
      </c>
      <c r="F10" s="32"/>
      <c r="G10" s="23"/>
      <c r="I10" s="4" t="s">
        <v>0</v>
      </c>
      <c r="J10" s="34">
        <v>35</v>
      </c>
    </row>
    <row r="11" spans="2:11" x14ac:dyDescent="0.25">
      <c r="B11" s="18" t="s">
        <v>58</v>
      </c>
      <c r="C11" s="19"/>
      <c r="D11" s="20"/>
      <c r="E11" s="21" t="s">
        <v>59</v>
      </c>
      <c r="F11" s="32"/>
      <c r="G11" s="23"/>
      <c r="I11" s="21" t="s">
        <v>60</v>
      </c>
      <c r="J11" s="23"/>
    </row>
    <row r="12" spans="2:11" x14ac:dyDescent="0.25">
      <c r="B12" s="18" t="s">
        <v>61</v>
      </c>
      <c r="C12" s="19">
        <v>4</v>
      </c>
      <c r="D12" s="20"/>
      <c r="E12" s="21" t="s">
        <v>62</v>
      </c>
      <c r="F12" s="35"/>
      <c r="G12" s="36"/>
      <c r="I12" s="21" t="s">
        <v>63</v>
      </c>
    </row>
    <row r="13" spans="2:11" x14ac:dyDescent="0.25">
      <c r="B13" s="18" t="s">
        <v>64</v>
      </c>
      <c r="C13" s="19"/>
      <c r="D13" s="20"/>
      <c r="E13" s="21" t="s">
        <v>65</v>
      </c>
      <c r="F13" s="37"/>
      <c r="G13" s="23"/>
      <c r="I13" s="21" t="s">
        <v>66</v>
      </c>
      <c r="J13" s="23"/>
    </row>
    <row r="14" spans="2:11" x14ac:dyDescent="0.25">
      <c r="B14" s="18"/>
      <c r="C14" s="19"/>
      <c r="D14" s="20"/>
      <c r="E14" s="21" t="s">
        <v>67</v>
      </c>
      <c r="F14" s="22"/>
      <c r="G14" s="23"/>
      <c r="I14" s="21" t="s">
        <v>68</v>
      </c>
      <c r="J14" s="23"/>
    </row>
    <row r="15" spans="2:11" x14ac:dyDescent="0.25">
      <c r="B15" s="21"/>
      <c r="C15" s="19"/>
      <c r="D15" s="20"/>
      <c r="E15" s="21"/>
      <c r="F15" s="22"/>
      <c r="G15" s="23"/>
      <c r="I15" s="21" t="s">
        <v>69</v>
      </c>
      <c r="J15" s="23"/>
    </row>
    <row r="16" spans="2:11" ht="15.75" thickBot="1" x14ac:dyDescent="0.3">
      <c r="B16" s="38"/>
      <c r="C16" s="39"/>
      <c r="D16" s="40"/>
      <c r="E16" s="38"/>
      <c r="F16" s="41"/>
      <c r="G16" s="42"/>
      <c r="I16" s="26" t="s">
        <v>70</v>
      </c>
      <c r="J16" s="23"/>
    </row>
    <row r="17" spans="2:16" ht="15.75" thickBot="1" x14ac:dyDescent="0.3">
      <c r="B17" s="43" t="s">
        <v>71</v>
      </c>
      <c r="C17" s="567"/>
      <c r="D17" s="568"/>
      <c r="E17" s="44" t="s">
        <v>72</v>
      </c>
      <c r="F17" s="567"/>
      <c r="G17" s="569"/>
      <c r="I17" s="26" t="s">
        <v>73</v>
      </c>
      <c r="J17" s="358">
        <f>+E37</f>
        <v>1791.5384615384617</v>
      </c>
    </row>
    <row r="18" spans="2:16" ht="20.25" customHeight="1" thickBot="1" x14ac:dyDescent="0.3">
      <c r="B18" s="46" t="s">
        <v>74</v>
      </c>
      <c r="C18" s="47"/>
      <c r="D18" s="47"/>
      <c r="E18" s="47"/>
      <c r="F18" s="47"/>
      <c r="G18" s="48"/>
      <c r="I18" s="26" t="s">
        <v>75</v>
      </c>
      <c r="J18" s="45"/>
    </row>
    <row r="19" spans="2:16" ht="24" customHeight="1" thickBot="1" x14ac:dyDescent="0.3">
      <c r="B19" s="50" t="s">
        <v>74</v>
      </c>
      <c r="C19" s="51" t="s">
        <v>76</v>
      </c>
      <c r="D19" s="51" t="s">
        <v>77</v>
      </c>
      <c r="E19" s="52" t="s">
        <v>78</v>
      </c>
      <c r="F19" s="53"/>
      <c r="G19" s="53"/>
      <c r="I19" s="21" t="s">
        <v>79</v>
      </c>
      <c r="J19" s="398">
        <v>0.31950000000000001</v>
      </c>
    </row>
    <row r="20" spans="2:16" s="54" customFormat="1" x14ac:dyDescent="0.25">
      <c r="B20" s="17" t="s">
        <v>11</v>
      </c>
      <c r="C20" s="55"/>
      <c r="D20" s="56"/>
      <c r="E20" s="24">
        <f>J3</f>
        <v>2200</v>
      </c>
      <c r="F20" s="57"/>
      <c r="G20" s="58"/>
      <c r="H20" s="9"/>
      <c r="I20" s="59" t="s">
        <v>80</v>
      </c>
      <c r="J20" s="60">
        <v>4.9000000000000002E-2</v>
      </c>
      <c r="K20" s="9"/>
      <c r="L20" s="9"/>
      <c r="M20" s="9"/>
      <c r="N20" s="9"/>
      <c r="O20" s="9"/>
      <c r="P20" s="9"/>
    </row>
    <row r="21" spans="2:16" s="54" customFormat="1" x14ac:dyDescent="0.25">
      <c r="B21" s="61" t="s">
        <v>251</v>
      </c>
      <c r="C21" s="62"/>
      <c r="D21" s="63"/>
      <c r="E21" s="64"/>
      <c r="F21" s="65"/>
      <c r="G21" s="66"/>
      <c r="I21" s="21" t="s">
        <v>81</v>
      </c>
      <c r="J21" s="70">
        <v>30</v>
      </c>
      <c r="K21" s="9"/>
      <c r="L21" s="9"/>
      <c r="M21" s="9"/>
      <c r="N21" s="9"/>
      <c r="O21" s="9"/>
      <c r="P21" s="9"/>
    </row>
    <row r="22" spans="2:16" s="54" customFormat="1" x14ac:dyDescent="0.25">
      <c r="B22" s="61" t="s">
        <v>82</v>
      </c>
      <c r="C22" s="62">
        <v>28</v>
      </c>
      <c r="D22" s="69">
        <f>E20/J5</f>
        <v>15.714285714285714</v>
      </c>
      <c r="E22" s="542">
        <f>-D22*C22</f>
        <v>-440</v>
      </c>
      <c r="F22" s="65"/>
      <c r="G22" s="66"/>
      <c r="I22" s="21" t="s">
        <v>83</v>
      </c>
      <c r="J22" s="70">
        <v>22</v>
      </c>
      <c r="K22" s="9"/>
      <c r="L22" s="9"/>
      <c r="M22" s="9"/>
      <c r="N22" s="9"/>
      <c r="O22" s="9"/>
      <c r="P22" s="9"/>
    </row>
    <row r="23" spans="2:16" s="54" customFormat="1" x14ac:dyDescent="0.25">
      <c r="B23" s="61"/>
      <c r="C23" s="62"/>
      <c r="D23" s="63"/>
      <c r="E23" s="64"/>
      <c r="F23" s="65"/>
      <c r="G23" s="66"/>
      <c r="I23" s="21" t="s">
        <v>84</v>
      </c>
      <c r="K23" s="9"/>
      <c r="L23" s="9"/>
      <c r="M23" s="9"/>
      <c r="N23" s="9"/>
      <c r="O23" s="9"/>
      <c r="P23" s="9"/>
    </row>
    <row r="24" spans="2:16" ht="15.75" thickBot="1" x14ac:dyDescent="0.3">
      <c r="B24" s="21" t="s">
        <v>63</v>
      </c>
      <c r="C24" s="22">
        <f>J12</f>
        <v>0</v>
      </c>
      <c r="D24" s="69">
        <f>IF($J$4&gt;=151.67,$J$3/151.67*1.25,0)</f>
        <v>18.131469638029934</v>
      </c>
      <c r="E24" s="70">
        <f>D24*C24</f>
        <v>0</v>
      </c>
      <c r="F24" s="71"/>
      <c r="G24" s="72"/>
      <c r="I24" s="38" t="s">
        <v>85</v>
      </c>
      <c r="J24" s="68"/>
    </row>
    <row r="25" spans="2:16" ht="16.5" thickBot="1" x14ac:dyDescent="0.3">
      <c r="B25" s="21" t="s">
        <v>66</v>
      </c>
      <c r="C25" s="22">
        <f>J13</f>
        <v>0</v>
      </c>
      <c r="D25" s="69">
        <f>IF($J$4&gt;=151.67,$J$3/151.67*1.5,0)</f>
        <v>21.757763565635923</v>
      </c>
      <c r="E25" s="70">
        <f>D25*C25</f>
        <v>0</v>
      </c>
      <c r="F25" s="71"/>
      <c r="G25" s="74"/>
      <c r="I25" s="4" t="s">
        <v>86</v>
      </c>
      <c r="J25" s="73"/>
      <c r="K25" s="76"/>
    </row>
    <row r="26" spans="2:16" ht="15.75" thickBot="1" x14ac:dyDescent="0.3">
      <c r="B26" s="21" t="s">
        <v>68</v>
      </c>
      <c r="C26" s="22">
        <f>J14</f>
        <v>0</v>
      </c>
      <c r="D26" s="22">
        <f>IF($J$4&lt;151.67,$E$20/151.67*1.1,0)</f>
        <v>0</v>
      </c>
      <c r="E26" s="70">
        <f t="shared" ref="E26:E27" si="0">D26*C26</f>
        <v>0</v>
      </c>
      <c r="F26" s="71"/>
      <c r="G26" s="74"/>
      <c r="I26" s="77" t="s">
        <v>87</v>
      </c>
      <c r="J26" s="399">
        <v>1800</v>
      </c>
    </row>
    <row r="27" spans="2:16" x14ac:dyDescent="0.25">
      <c r="B27" s="21" t="s">
        <v>69</v>
      </c>
      <c r="C27" s="22">
        <f>J15</f>
        <v>0</v>
      </c>
      <c r="D27" s="22">
        <f>IF($J$4&lt;151.67,$E$20/151.67*1.1,0)</f>
        <v>0</v>
      </c>
      <c r="E27" s="70">
        <f t="shared" si="0"/>
        <v>0</v>
      </c>
      <c r="F27" s="71"/>
      <c r="G27" s="74"/>
    </row>
    <row r="28" spans="2:16" x14ac:dyDescent="0.25">
      <c r="B28" s="21"/>
      <c r="C28" s="22"/>
      <c r="D28" s="22"/>
      <c r="E28" s="70"/>
      <c r="F28" s="71"/>
      <c r="G28" s="74"/>
    </row>
    <row r="29" spans="2:16" ht="27" x14ac:dyDescent="0.25">
      <c r="B29" s="21" t="s">
        <v>88</v>
      </c>
      <c r="C29" s="79"/>
      <c r="D29" s="22"/>
      <c r="E29" s="70">
        <f>-E145</f>
        <v>-507.69230769230768</v>
      </c>
      <c r="F29" s="80"/>
      <c r="G29" s="81"/>
      <c r="I29" s="82"/>
    </row>
    <row r="30" spans="2:16" x14ac:dyDescent="0.25">
      <c r="B30" s="21" t="s">
        <v>89</v>
      </c>
      <c r="C30" s="79"/>
      <c r="D30" s="22"/>
      <c r="E30" s="70">
        <f>E168</f>
        <v>514</v>
      </c>
      <c r="F30" s="80"/>
      <c r="G30" s="81"/>
    </row>
    <row r="31" spans="2:16" ht="20.25" customHeight="1" x14ac:dyDescent="0.25">
      <c r="B31" s="21" t="s">
        <v>278</v>
      </c>
      <c r="C31" s="83"/>
      <c r="D31" s="84"/>
      <c r="E31" s="85">
        <f>E161</f>
        <v>25.230769230769283</v>
      </c>
      <c r="F31" s="86"/>
      <c r="G31" s="87"/>
    </row>
    <row r="32" spans="2:16" ht="15.75" thickBot="1" x14ac:dyDescent="0.3">
      <c r="B32" s="88" t="s">
        <v>90</v>
      </c>
      <c r="C32" s="89"/>
      <c r="D32" s="90"/>
      <c r="E32" s="91"/>
      <c r="F32" s="92"/>
      <c r="G32" s="93"/>
    </row>
    <row r="33" spans="2:7" x14ac:dyDescent="0.25">
      <c r="B33" s="94" t="s">
        <v>91</v>
      </c>
      <c r="C33" s="95"/>
      <c r="D33" s="96"/>
      <c r="E33" s="97"/>
      <c r="F33" s="98"/>
      <c r="G33" s="99"/>
    </row>
    <row r="34" spans="2:7" x14ac:dyDescent="0.25">
      <c r="B34" s="88" t="s">
        <v>28</v>
      </c>
      <c r="C34" s="95"/>
      <c r="D34" s="96"/>
      <c r="E34" s="97"/>
      <c r="F34" s="98"/>
      <c r="G34" s="99"/>
    </row>
    <row r="35" spans="2:7" x14ac:dyDescent="0.25">
      <c r="B35" s="94"/>
      <c r="C35" s="95"/>
      <c r="D35" s="96"/>
      <c r="E35" s="97"/>
      <c r="F35" s="98"/>
      <c r="G35" s="99"/>
    </row>
    <row r="36" spans="2:7" ht="15.75" thickBot="1" x14ac:dyDescent="0.3">
      <c r="B36" s="100" t="s">
        <v>92</v>
      </c>
      <c r="C36" s="95">
        <f>J26</f>
        <v>1800</v>
      </c>
      <c r="D36" s="96">
        <f>J25</f>
        <v>0</v>
      </c>
      <c r="E36" s="101">
        <f>C36*D36</f>
        <v>0</v>
      </c>
      <c r="F36" s="98"/>
      <c r="G36" s="99"/>
    </row>
    <row r="37" spans="2:7" ht="16.5" thickTop="1" thickBot="1" x14ac:dyDescent="0.3">
      <c r="B37" s="102" t="s">
        <v>93</v>
      </c>
      <c r="C37" s="103"/>
      <c r="D37" s="104"/>
      <c r="E37" s="105">
        <f>SUM(E20:E36)</f>
        <v>1791.5384615384617</v>
      </c>
      <c r="F37" s="98"/>
      <c r="G37" s="99"/>
    </row>
    <row r="38" spans="2:7" ht="15.75" thickBot="1" x14ac:dyDescent="0.3">
      <c r="B38" s="106"/>
      <c r="C38" s="107"/>
      <c r="D38" s="108"/>
      <c r="E38" s="108"/>
      <c r="F38" s="109"/>
      <c r="G38" s="110"/>
    </row>
    <row r="39" spans="2:7" ht="28.5" x14ac:dyDescent="0.25">
      <c r="B39" s="111" t="s">
        <v>94</v>
      </c>
      <c r="C39" s="112" t="s">
        <v>95</v>
      </c>
      <c r="D39" s="112" t="s">
        <v>96</v>
      </c>
      <c r="E39" s="112" t="s">
        <v>97</v>
      </c>
      <c r="F39" s="112" t="s">
        <v>96</v>
      </c>
      <c r="G39" s="113" t="s">
        <v>98</v>
      </c>
    </row>
    <row r="40" spans="2:7" x14ac:dyDescent="0.25">
      <c r="B40" s="114" t="s">
        <v>99</v>
      </c>
      <c r="C40" s="115"/>
      <c r="D40" s="116"/>
      <c r="E40" s="116"/>
      <c r="F40" s="117"/>
      <c r="G40" s="118"/>
    </row>
    <row r="41" spans="2:7" x14ac:dyDescent="0.25">
      <c r="B41" s="119" t="s">
        <v>100</v>
      </c>
      <c r="C41" s="95">
        <f>$E$37</f>
        <v>1791.5384615384617</v>
      </c>
      <c r="D41" s="120"/>
      <c r="E41" s="121"/>
      <c r="F41" s="122">
        <v>7.0000000000000007E-2</v>
      </c>
      <c r="G41" s="362">
        <f>F41*C41</f>
        <v>125.40769230769233</v>
      </c>
    </row>
    <row r="42" spans="2:7" x14ac:dyDescent="0.25">
      <c r="B42" s="119" t="s">
        <v>101</v>
      </c>
      <c r="C42" s="95">
        <f>$J$17</f>
        <v>1791.5384615384617</v>
      </c>
      <c r="D42" s="124"/>
      <c r="E42" s="125"/>
      <c r="F42" s="126">
        <f>J24</f>
        <v>0</v>
      </c>
      <c r="G42" s="123">
        <f>F42*C42</f>
        <v>0</v>
      </c>
    </row>
    <row r="43" spans="2:7" x14ac:dyDescent="0.25">
      <c r="B43" s="119" t="s">
        <v>102</v>
      </c>
      <c r="C43" s="95">
        <f>$J$18</f>
        <v>0</v>
      </c>
      <c r="D43" s="124"/>
      <c r="E43" s="125"/>
      <c r="F43" s="126"/>
      <c r="G43" s="123">
        <f>F43*C43</f>
        <v>0</v>
      </c>
    </row>
    <row r="44" spans="2:7" x14ac:dyDescent="0.25">
      <c r="B44" s="119" t="s">
        <v>103</v>
      </c>
      <c r="C44" s="95"/>
      <c r="D44" s="124"/>
      <c r="E44" s="125">
        <f>+J21</f>
        <v>30</v>
      </c>
      <c r="F44" s="126"/>
      <c r="G44" s="123">
        <f>+J22</f>
        <v>22</v>
      </c>
    </row>
    <row r="45" spans="2:7" x14ac:dyDescent="0.25">
      <c r="B45" s="127" t="s">
        <v>104</v>
      </c>
      <c r="C45" s="95">
        <f>J17+J18</f>
        <v>1791.5384615384617</v>
      </c>
      <c r="E45" s="95"/>
      <c r="F45" s="128">
        <f>J7</f>
        <v>3.9E-2</v>
      </c>
      <c r="G45" s="123">
        <f>F45*C45</f>
        <v>69.87</v>
      </c>
    </row>
    <row r="46" spans="2:7" x14ac:dyDescent="0.25">
      <c r="B46" s="114" t="s">
        <v>105</v>
      </c>
      <c r="C46" s="115"/>
      <c r="D46" s="116"/>
      <c r="E46" s="116"/>
      <c r="F46" s="117"/>
      <c r="G46" s="118"/>
    </row>
    <row r="47" spans="2:7" x14ac:dyDescent="0.25">
      <c r="B47" s="119" t="s">
        <v>106</v>
      </c>
      <c r="C47" s="95">
        <f>$J$17</f>
        <v>1791.5384615384617</v>
      </c>
      <c r="D47" s="124">
        <v>6.9000000000000006E-2</v>
      </c>
      <c r="E47" s="125">
        <f>D47*C47</f>
        <v>123.61615384615386</v>
      </c>
      <c r="F47" s="126">
        <v>8.5500000000000007E-2</v>
      </c>
      <c r="G47" s="123">
        <f>F47*C47</f>
        <v>153.17653846153848</v>
      </c>
    </row>
    <row r="48" spans="2:7" x14ac:dyDescent="0.25">
      <c r="B48" s="119" t="s">
        <v>107</v>
      </c>
      <c r="C48" s="95">
        <f>$E$37</f>
        <v>1791.5384615384617</v>
      </c>
      <c r="D48" s="124">
        <v>4.0000000000000001E-3</v>
      </c>
      <c r="E48" s="125">
        <f t="shared" ref="E48:E51" si="1">D48*C48</f>
        <v>7.166153846153847</v>
      </c>
      <c r="F48" s="126">
        <v>1.9E-2</v>
      </c>
      <c r="G48" s="123">
        <f t="shared" ref="G48:G51" si="2">F48*C48</f>
        <v>34.03923076923077</v>
      </c>
    </row>
    <row r="49" spans="2:7" x14ac:dyDescent="0.25">
      <c r="B49" s="119" t="s">
        <v>108</v>
      </c>
      <c r="C49" s="95">
        <f>$J$17</f>
        <v>1791.5384615384617</v>
      </c>
      <c r="D49" s="124">
        <v>4.0099999999999997E-2</v>
      </c>
      <c r="E49" s="125">
        <f t="shared" si="1"/>
        <v>71.840692307692308</v>
      </c>
      <c r="F49" s="126">
        <v>6.0100000000000001E-2</v>
      </c>
      <c r="G49" s="123">
        <f t="shared" si="2"/>
        <v>107.67146153846154</v>
      </c>
    </row>
    <row r="50" spans="2:7" x14ac:dyDescent="0.25">
      <c r="B50" s="119" t="s">
        <v>109</v>
      </c>
      <c r="C50" s="95">
        <f>+J18</f>
        <v>0</v>
      </c>
      <c r="D50" s="124">
        <v>9.7199999999999995E-2</v>
      </c>
      <c r="E50" s="125">
        <f t="shared" si="1"/>
        <v>0</v>
      </c>
      <c r="F50" s="126">
        <v>0.1457</v>
      </c>
      <c r="G50" s="123">
        <f t="shared" si="2"/>
        <v>0</v>
      </c>
    </row>
    <row r="51" spans="2:7" x14ac:dyDescent="0.25">
      <c r="B51" s="119" t="s">
        <v>110</v>
      </c>
      <c r="C51" s="95"/>
      <c r="D51" s="124">
        <v>1.4E-3</v>
      </c>
      <c r="E51" s="125">
        <f t="shared" si="1"/>
        <v>0</v>
      </c>
      <c r="F51" s="126">
        <v>2.0999999999999999E-3</v>
      </c>
      <c r="G51" s="123">
        <f t="shared" si="2"/>
        <v>0</v>
      </c>
    </row>
    <row r="52" spans="2:7" x14ac:dyDescent="0.25">
      <c r="B52" s="119" t="s">
        <v>111</v>
      </c>
      <c r="C52" s="95"/>
      <c r="D52" s="124"/>
      <c r="E52" s="125"/>
      <c r="F52" s="126"/>
      <c r="G52" s="123"/>
    </row>
    <row r="53" spans="2:7" x14ac:dyDescent="0.25">
      <c r="B53" s="114" t="s">
        <v>112</v>
      </c>
      <c r="C53" s="95">
        <f>$E$37</f>
        <v>1791.5384615384617</v>
      </c>
      <c r="D53" s="129"/>
      <c r="E53" s="95"/>
      <c r="F53" s="126">
        <v>3.4500000000000003E-2</v>
      </c>
      <c r="G53" s="361">
        <f>F53*C53</f>
        <v>61.808076923076932</v>
      </c>
    </row>
    <row r="54" spans="2:7" x14ac:dyDescent="0.25">
      <c r="B54" s="114" t="s">
        <v>113</v>
      </c>
      <c r="C54" s="95"/>
      <c r="D54" s="129"/>
      <c r="E54" s="95"/>
      <c r="F54" s="131"/>
      <c r="G54" s="123"/>
    </row>
    <row r="55" spans="2:7" x14ac:dyDescent="0.25">
      <c r="B55" s="119" t="s">
        <v>114</v>
      </c>
      <c r="C55" s="95">
        <f>E37</f>
        <v>1791.5384615384617</v>
      </c>
      <c r="D55" s="129"/>
      <c r="E55" s="95"/>
      <c r="F55" s="132">
        <v>4.2000000000000003E-2</v>
      </c>
      <c r="G55" s="123">
        <f t="shared" ref="G55" si="3">F55*C55</f>
        <v>75.2446153846154</v>
      </c>
    </row>
    <row r="56" spans="2:7" x14ac:dyDescent="0.25">
      <c r="B56" s="119" t="s">
        <v>115</v>
      </c>
      <c r="C56" s="95"/>
      <c r="D56" s="133">
        <v>2.4000000000000001E-4</v>
      </c>
      <c r="E56" s="134">
        <f>D56*C56</f>
        <v>0</v>
      </c>
      <c r="F56" s="131">
        <v>3.6000000000000002E-4</v>
      </c>
      <c r="G56" s="135">
        <f>C56*F56</f>
        <v>0</v>
      </c>
    </row>
    <row r="57" spans="2:7" x14ac:dyDescent="0.25">
      <c r="B57" s="114" t="s">
        <v>116</v>
      </c>
      <c r="C57" s="95"/>
      <c r="D57" s="129"/>
      <c r="E57" s="95"/>
      <c r="F57" s="131"/>
      <c r="G57" s="123">
        <f>E104</f>
        <v>29.202076923076927</v>
      </c>
    </row>
    <row r="58" spans="2:7" x14ac:dyDescent="0.25">
      <c r="B58" s="127"/>
      <c r="C58" s="95"/>
      <c r="D58" s="95"/>
      <c r="E58" s="95"/>
      <c r="F58" s="95"/>
      <c r="G58" s="136"/>
    </row>
    <row r="59" spans="2:7" ht="25.5" x14ac:dyDescent="0.25">
      <c r="B59" s="137" t="s">
        <v>117</v>
      </c>
      <c r="C59" s="95"/>
      <c r="D59" s="95"/>
      <c r="E59" s="95"/>
      <c r="F59" s="95"/>
      <c r="G59" s="136"/>
    </row>
    <row r="60" spans="2:7" x14ac:dyDescent="0.25">
      <c r="B60" s="127"/>
      <c r="C60" s="95"/>
      <c r="D60" s="133"/>
      <c r="E60" s="95"/>
      <c r="F60" s="138"/>
      <c r="G60" s="123"/>
    </row>
    <row r="61" spans="2:7" x14ac:dyDescent="0.25">
      <c r="B61" s="127" t="s">
        <v>118</v>
      </c>
      <c r="C61" s="95">
        <f>(E37-E24-E25-E26-E27)*0.9825+G42+G43+G44</f>
        <v>1782.1865384615387</v>
      </c>
      <c r="D61" s="124">
        <v>6.8000000000000005E-2</v>
      </c>
      <c r="E61" s="125">
        <f>D61*C61</f>
        <v>121.18868461538464</v>
      </c>
      <c r="F61" s="126"/>
      <c r="G61" s="123"/>
    </row>
    <row r="62" spans="2:7" x14ac:dyDescent="0.25">
      <c r="B62" s="127" t="s">
        <v>119</v>
      </c>
      <c r="C62" s="95">
        <f>C61</f>
        <v>1782.1865384615387</v>
      </c>
      <c r="D62" s="124">
        <v>2.9000000000000001E-2</v>
      </c>
      <c r="E62" s="125">
        <f>D62*C62</f>
        <v>51.683409615384626</v>
      </c>
      <c r="F62" s="126"/>
      <c r="G62" s="123"/>
    </row>
    <row r="63" spans="2:7" ht="25.5" x14ac:dyDescent="0.25">
      <c r="B63" s="139" t="s">
        <v>120</v>
      </c>
      <c r="C63" s="95">
        <f>(E24+E25+E26+E27)*0.9825</f>
        <v>0</v>
      </c>
      <c r="D63" s="124">
        <v>9.7000000000000003E-2</v>
      </c>
      <c r="E63" s="125">
        <f>D63*C63</f>
        <v>0</v>
      </c>
      <c r="F63" s="126"/>
      <c r="G63" s="123"/>
    </row>
    <row r="64" spans="2:7" ht="26.25" customHeight="1" x14ac:dyDescent="0.25">
      <c r="B64" s="139" t="s">
        <v>121</v>
      </c>
      <c r="C64" s="124"/>
      <c r="D64" s="124"/>
      <c r="E64" s="125"/>
      <c r="F64" s="126"/>
      <c r="G64" s="136">
        <f>-'REGUL BONNELLE'!H10</f>
        <v>-143.08807692307687</v>
      </c>
    </row>
    <row r="65" spans="2:7" ht="27.75" customHeight="1" x14ac:dyDescent="0.25">
      <c r="B65" s="139" t="s">
        <v>122</v>
      </c>
      <c r="C65" s="140">
        <f>E24+E25+E26+E27</f>
        <v>0</v>
      </c>
      <c r="D65" s="124">
        <v>-0.11310000000000001</v>
      </c>
      <c r="E65" s="125">
        <f>D65*C65</f>
        <v>0</v>
      </c>
      <c r="F65" s="126"/>
      <c r="G65" s="123"/>
    </row>
    <row r="66" spans="2:7" ht="31.5" customHeight="1" thickBot="1" x14ac:dyDescent="0.3">
      <c r="B66" s="141" t="s">
        <v>123</v>
      </c>
      <c r="C66" s="142">
        <f>IF(AND(J4=151.67,J6&lt;20),C24+C25,0)</f>
        <v>0</v>
      </c>
      <c r="D66" s="143"/>
      <c r="E66" s="144"/>
      <c r="F66" s="145">
        <v>-1.5</v>
      </c>
      <c r="G66" s="146">
        <f>F66*C66</f>
        <v>0</v>
      </c>
    </row>
    <row r="67" spans="2:7" ht="15.75" thickBot="1" x14ac:dyDescent="0.3">
      <c r="B67" s="147" t="s">
        <v>124</v>
      </c>
      <c r="C67" s="148"/>
      <c r="D67" s="149"/>
      <c r="E67" s="150">
        <f>SUM(E41:E66)</f>
        <v>405.49509423076927</v>
      </c>
      <c r="F67" s="151"/>
      <c r="G67" s="152">
        <f>SUM(G41:G66)</f>
        <v>535.33161538461547</v>
      </c>
    </row>
    <row r="68" spans="2:7" x14ac:dyDescent="0.25">
      <c r="B68" s="153"/>
      <c r="C68" s="154"/>
      <c r="D68" s="155"/>
      <c r="E68" s="156"/>
      <c r="F68" s="157"/>
      <c r="G68" s="158"/>
    </row>
    <row r="69" spans="2:7" x14ac:dyDescent="0.25">
      <c r="B69" s="119" t="s">
        <v>125</v>
      </c>
      <c r="C69" s="125"/>
      <c r="D69" s="159"/>
      <c r="E69" s="160"/>
      <c r="F69" s="161"/>
      <c r="G69" s="162"/>
    </row>
    <row r="70" spans="2:7" x14ac:dyDescent="0.25">
      <c r="B70" s="119" t="s">
        <v>126</v>
      </c>
      <c r="C70" s="125"/>
      <c r="D70" s="159"/>
      <c r="E70" s="160"/>
      <c r="F70" s="161"/>
      <c r="G70" s="162"/>
    </row>
    <row r="71" spans="2:7" x14ac:dyDescent="0.25">
      <c r="B71" s="119" t="s">
        <v>127</v>
      </c>
      <c r="C71" s="125"/>
      <c r="D71" s="159"/>
      <c r="E71" s="125"/>
      <c r="F71" s="161"/>
      <c r="G71" s="162"/>
    </row>
    <row r="72" spans="2:7" ht="15.75" customHeight="1" x14ac:dyDescent="0.25">
      <c r="B72" s="163" t="s">
        <v>128</v>
      </c>
      <c r="C72" s="385">
        <v>12</v>
      </c>
      <c r="D72" s="159">
        <v>3.6</v>
      </c>
      <c r="E72" s="164">
        <f>-D72*C72</f>
        <v>-43.2</v>
      </c>
      <c r="F72" s="161"/>
      <c r="G72" s="162"/>
    </row>
    <row r="73" spans="2:7" x14ac:dyDescent="0.25">
      <c r="B73" s="165" t="s">
        <v>250</v>
      </c>
      <c r="C73" s="392"/>
      <c r="D73" s="400">
        <v>0.5</v>
      </c>
      <c r="E73" s="167">
        <f>C73*D73</f>
        <v>0</v>
      </c>
      <c r="F73" s="168"/>
      <c r="G73" s="162"/>
    </row>
    <row r="74" spans="2:7" x14ac:dyDescent="0.25">
      <c r="B74" s="169" t="s">
        <v>228</v>
      </c>
      <c r="C74" s="125"/>
      <c r="D74" s="159"/>
      <c r="E74" s="170"/>
      <c r="F74" s="161"/>
      <c r="G74" s="162"/>
    </row>
    <row r="75" spans="2:7" ht="15.75" thickBot="1" x14ac:dyDescent="0.3">
      <c r="B75" s="141"/>
      <c r="C75" s="144"/>
      <c r="D75" s="171"/>
      <c r="E75" s="172"/>
      <c r="F75" s="173"/>
      <c r="G75" s="146"/>
    </row>
    <row r="76" spans="2:7" ht="15.75" thickBot="1" x14ac:dyDescent="0.3">
      <c r="B76" s="174" t="s">
        <v>130</v>
      </c>
      <c r="C76" s="148"/>
      <c r="D76" s="149"/>
      <c r="E76" s="150"/>
      <c r="F76" s="151"/>
      <c r="G76" s="175">
        <f>E37-E67+E69+E70+E71+E72+E73+E74+E75</f>
        <v>1342.8433673076922</v>
      </c>
    </row>
    <row r="77" spans="2:7" ht="28.5" x14ac:dyDescent="0.25">
      <c r="B77" s="176" t="s">
        <v>131</v>
      </c>
      <c r="C77" s="177"/>
      <c r="D77" s="178"/>
      <c r="E77" s="179"/>
      <c r="F77" s="180"/>
      <c r="G77" s="181"/>
    </row>
    <row r="78" spans="2:7" x14ac:dyDescent="0.25">
      <c r="B78" s="570" t="s">
        <v>132</v>
      </c>
      <c r="C78" s="572" t="s">
        <v>133</v>
      </c>
      <c r="D78" s="182" t="s">
        <v>96</v>
      </c>
      <c r="E78" s="574"/>
      <c r="F78" s="183"/>
      <c r="G78" s="576" t="s">
        <v>134</v>
      </c>
    </row>
    <row r="79" spans="2:7" ht="15.75" thickBot="1" x14ac:dyDescent="0.3">
      <c r="B79" s="571"/>
      <c r="C79" s="573"/>
      <c r="D79" s="184" t="s">
        <v>135</v>
      </c>
      <c r="E79" s="575"/>
      <c r="F79" s="185"/>
      <c r="G79" s="577"/>
    </row>
    <row r="80" spans="2:7" ht="15.75" thickBot="1" x14ac:dyDescent="0.3">
      <c r="B80" s="174" t="s">
        <v>136</v>
      </c>
      <c r="C80" s="186">
        <f>C87</f>
        <v>1459.7267769230771</v>
      </c>
      <c r="D80" s="382">
        <f>J20</f>
        <v>4.9000000000000002E-2</v>
      </c>
      <c r="E80" s="187"/>
      <c r="F80" s="188"/>
      <c r="G80" s="189">
        <f>D80*C80</f>
        <v>71.526612069230779</v>
      </c>
    </row>
    <row r="81" spans="2:7" x14ac:dyDescent="0.25">
      <c r="B81" s="190"/>
      <c r="C81" s="191"/>
      <c r="D81" s="192"/>
      <c r="E81" s="193" t="s">
        <v>137</v>
      </c>
      <c r="F81" s="194"/>
      <c r="G81" s="195">
        <f>G76-G80</f>
        <v>1271.3167552384614</v>
      </c>
    </row>
    <row r="82" spans="2:7" ht="43.5" thickBot="1" x14ac:dyDescent="0.3">
      <c r="B82" s="196" t="s">
        <v>138</v>
      </c>
      <c r="C82" s="197"/>
      <c r="D82" s="198"/>
      <c r="E82" s="199" t="s">
        <v>139</v>
      </c>
      <c r="F82" s="200"/>
      <c r="G82" s="201">
        <f>E119</f>
        <v>139.74</v>
      </c>
    </row>
    <row r="83" spans="2:7" ht="15.75" thickTop="1" x14ac:dyDescent="0.25">
      <c r="B83" s="555" t="s">
        <v>140</v>
      </c>
      <c r="C83" s="557"/>
      <c r="D83" s="558"/>
      <c r="E83" s="202" t="s">
        <v>141</v>
      </c>
      <c r="F83" s="203"/>
      <c r="G83" s="201">
        <f>E37+G67</f>
        <v>2326.8700769230772</v>
      </c>
    </row>
    <row r="84" spans="2:7" ht="15.75" thickBot="1" x14ac:dyDescent="0.3">
      <c r="B84" s="556"/>
      <c r="C84" s="559"/>
      <c r="D84" s="560"/>
      <c r="E84" s="204" t="s">
        <v>142</v>
      </c>
      <c r="F84" s="205"/>
      <c r="G84" s="206"/>
    </row>
    <row r="85" spans="2:7" ht="28.5" x14ac:dyDescent="0.25">
      <c r="B85" s="207"/>
      <c r="C85" s="208" t="s">
        <v>143</v>
      </c>
      <c r="D85" s="209" t="s">
        <v>144</v>
      </c>
      <c r="E85" s="210"/>
      <c r="F85" s="211"/>
      <c r="G85" s="212"/>
    </row>
    <row r="86" spans="2:7" x14ac:dyDescent="0.25">
      <c r="B86" s="213" t="s">
        <v>145</v>
      </c>
      <c r="C86" s="214">
        <f>E37</f>
        <v>1791.5384615384617</v>
      </c>
      <c r="D86" s="215"/>
      <c r="E86" s="216"/>
      <c r="F86" s="199"/>
      <c r="G86" s="217"/>
    </row>
    <row r="87" spans="2:7" ht="15.75" thickBot="1" x14ac:dyDescent="0.3">
      <c r="B87" s="218" t="s">
        <v>146</v>
      </c>
      <c r="C87" s="219">
        <f>E37-E24-E25+G44+E63+E62-E67</f>
        <v>1459.7267769230771</v>
      </c>
      <c r="D87" s="220"/>
      <c r="E87" s="216"/>
      <c r="F87" s="199"/>
      <c r="G87" s="217"/>
    </row>
    <row r="88" spans="2:7" ht="15.75" thickBot="1" x14ac:dyDescent="0.3">
      <c r="B88" s="221" t="s">
        <v>147</v>
      </c>
      <c r="C88" s="222"/>
      <c r="D88" s="222"/>
      <c r="E88" s="223"/>
      <c r="F88" s="223"/>
      <c r="G88" s="224"/>
    </row>
    <row r="91" spans="2:7" s="225" customFormat="1" ht="15.75" thickBot="1" x14ac:dyDescent="0.3">
      <c r="B91" s="561" t="s">
        <v>116</v>
      </c>
      <c r="C91" s="562"/>
      <c r="D91" s="9"/>
      <c r="E91" s="9"/>
    </row>
    <row r="92" spans="2:7" s="225" customFormat="1" x14ac:dyDescent="0.25">
      <c r="B92" s="226"/>
      <c r="C92" s="227"/>
      <c r="D92" s="563">
        <f>+E37</f>
        <v>1791.5384615384617</v>
      </c>
      <c r="E92" s="228"/>
    </row>
    <row r="93" spans="2:7" s="225" customFormat="1" x14ac:dyDescent="0.25">
      <c r="B93" s="229" t="s">
        <v>148</v>
      </c>
      <c r="C93" s="230">
        <f>IF(J6&gt;=11,J8,0)</f>
        <v>0</v>
      </c>
      <c r="D93" s="564"/>
      <c r="E93" s="231">
        <f>C93*$D$92</f>
        <v>0</v>
      </c>
    </row>
    <row r="94" spans="2:7" s="225" customFormat="1" x14ac:dyDescent="0.25">
      <c r="B94" s="229" t="s">
        <v>149</v>
      </c>
      <c r="C94" s="230">
        <f>IF(J6&lt;50,0%,0.5%)</f>
        <v>0</v>
      </c>
      <c r="D94" s="564"/>
      <c r="E94" s="231">
        <f t="shared" ref="E94:E99" si="4">C94*$D$92</f>
        <v>0</v>
      </c>
    </row>
    <row r="95" spans="2:7" s="225" customFormat="1" x14ac:dyDescent="0.25">
      <c r="B95" s="229" t="s">
        <v>150</v>
      </c>
      <c r="C95" s="230"/>
      <c r="D95" s="564"/>
      <c r="E95" s="231">
        <f t="shared" si="4"/>
        <v>0</v>
      </c>
    </row>
    <row r="96" spans="2:7" s="225" customFormat="1" x14ac:dyDescent="0.25">
      <c r="B96" s="229" t="s">
        <v>151</v>
      </c>
      <c r="C96" s="230">
        <v>3.0000000000000001E-3</v>
      </c>
      <c r="D96" s="564"/>
      <c r="E96" s="231">
        <f t="shared" si="4"/>
        <v>5.3746153846153852</v>
      </c>
    </row>
    <row r="97" spans="2:5" s="225" customFormat="1" x14ac:dyDescent="0.25">
      <c r="B97" s="229" t="s">
        <v>152</v>
      </c>
      <c r="C97" s="230">
        <v>6.7999999999999996E-3</v>
      </c>
      <c r="D97" s="564"/>
      <c r="E97" s="231">
        <f t="shared" si="4"/>
        <v>12.182461538461538</v>
      </c>
    </row>
    <row r="98" spans="2:5" s="225" customFormat="1" x14ac:dyDescent="0.25">
      <c r="B98" s="229" t="s">
        <v>153</v>
      </c>
      <c r="C98" s="230">
        <f>IF(J6&lt;11,0.55%,1%)</f>
        <v>5.5000000000000005E-3</v>
      </c>
      <c r="D98" s="564"/>
      <c r="E98" s="231">
        <f t="shared" si="4"/>
        <v>9.8534615384615396</v>
      </c>
    </row>
    <row r="99" spans="2:5" s="225" customFormat="1" x14ac:dyDescent="0.25">
      <c r="B99" s="229"/>
      <c r="C99" s="230">
        <f>IF(J6&lt;=50,0,0.45%)</f>
        <v>0</v>
      </c>
      <c r="D99" s="564"/>
      <c r="E99" s="231">
        <f t="shared" si="4"/>
        <v>0</v>
      </c>
    </row>
    <row r="100" spans="2:5" s="225" customFormat="1" x14ac:dyDescent="0.25">
      <c r="B100" s="21"/>
      <c r="C100" s="22"/>
      <c r="D100" s="22"/>
      <c r="E100" s="23"/>
    </row>
    <row r="101" spans="2:5" s="225" customFormat="1" x14ac:dyDescent="0.25">
      <c r="B101" s="21" t="s">
        <v>154</v>
      </c>
      <c r="C101" s="232">
        <f>IF(J6&gt;=11,+G42+G43+G44,0)</f>
        <v>0</v>
      </c>
      <c r="D101" s="233">
        <v>0.08</v>
      </c>
      <c r="E101" s="234">
        <f>D101*C101</f>
        <v>0</v>
      </c>
    </row>
    <row r="102" spans="2:5" s="225" customFormat="1" ht="15.75" thickBot="1" x14ac:dyDescent="0.3">
      <c r="B102" s="38" t="s">
        <v>155</v>
      </c>
      <c r="C102" s="235">
        <f>IF(J6&lt;50,J17,0)</f>
        <v>1791.5384615384617</v>
      </c>
      <c r="D102" s="236">
        <v>1E-3</v>
      </c>
      <c r="E102" s="237">
        <f>D102*C102</f>
        <v>1.7915384615384617</v>
      </c>
    </row>
    <row r="103" spans="2:5" s="225" customFormat="1" ht="15.75" thickBot="1" x14ac:dyDescent="0.3">
      <c r="B103" s="9"/>
      <c r="C103" s="9"/>
      <c r="D103" s="9"/>
      <c r="E103" s="9"/>
    </row>
    <row r="104" spans="2:5" s="225" customFormat="1" ht="15.75" thickBot="1" x14ac:dyDescent="0.3">
      <c r="B104" s="238" t="s">
        <v>156</v>
      </c>
      <c r="C104" s="239"/>
      <c r="D104" s="239"/>
      <c r="E104" s="240">
        <f>SUM(E93:E102)</f>
        <v>29.202076923076927</v>
      </c>
    </row>
    <row r="105" spans="2:5" s="225" customFormat="1" ht="15.75" thickBot="1" x14ac:dyDescent="0.3">
      <c r="B105" s="9"/>
      <c r="C105" s="9"/>
      <c r="D105" s="9"/>
      <c r="E105" s="9"/>
    </row>
    <row r="106" spans="2:5" s="225" customFormat="1" thickBot="1" x14ac:dyDescent="0.3">
      <c r="B106" s="548" t="s">
        <v>157</v>
      </c>
      <c r="C106" s="549"/>
      <c r="D106" s="549"/>
      <c r="E106" s="550"/>
    </row>
    <row r="107" spans="2:5" s="225" customFormat="1" x14ac:dyDescent="0.25">
      <c r="B107" s="241" t="s">
        <v>158</v>
      </c>
      <c r="C107" s="242">
        <f>E37</f>
        <v>1791.5384615384617</v>
      </c>
      <c r="D107" s="243">
        <v>2.4E-2</v>
      </c>
      <c r="E107" s="244">
        <f>D107*C107</f>
        <v>42.996923076923082</v>
      </c>
    </row>
    <row r="108" spans="2:5" s="225" customFormat="1" x14ac:dyDescent="0.25">
      <c r="B108" s="245" t="s">
        <v>17</v>
      </c>
      <c r="C108" s="242">
        <f>C107</f>
        <v>1791.5384615384617</v>
      </c>
      <c r="D108" s="246">
        <v>7.4999999999999997E-3</v>
      </c>
      <c r="E108" s="247">
        <f t="shared" ref="E108:E109" si="5">D108*C108</f>
        <v>13.436538461538461</v>
      </c>
    </row>
    <row r="109" spans="2:5" s="225" customFormat="1" x14ac:dyDescent="0.25">
      <c r="B109" s="245" t="s">
        <v>159</v>
      </c>
      <c r="C109" s="242">
        <f>C61+C63</f>
        <v>1782.1865384615387</v>
      </c>
      <c r="D109" s="246">
        <v>-1.7000000000000001E-2</v>
      </c>
      <c r="E109" s="247">
        <f t="shared" si="5"/>
        <v>-30.297171153846161</v>
      </c>
    </row>
    <row r="110" spans="2:5" s="225" customFormat="1" x14ac:dyDescent="0.25">
      <c r="B110" s="196"/>
      <c r="C110" s="248"/>
      <c r="D110" s="249"/>
      <c r="E110" s="250"/>
    </row>
    <row r="111" spans="2:5" s="225" customFormat="1" ht="15.75" thickBot="1" x14ac:dyDescent="0.3">
      <c r="B111" s="251" t="s">
        <v>160</v>
      </c>
      <c r="C111" s="252"/>
      <c r="D111" s="253"/>
      <c r="E111" s="254">
        <f>SUM(E107:E110)</f>
        <v>26.136290384615382</v>
      </c>
    </row>
    <row r="112" spans="2:5" s="225" customFormat="1" ht="12.75" x14ac:dyDescent="0.25"/>
    <row r="113" spans="2:9" s="225" customFormat="1" ht="13.5" thickBot="1" x14ac:dyDescent="0.3"/>
    <row r="114" spans="2:9" s="225" customFormat="1" thickBot="1" x14ac:dyDescent="0.3">
      <c r="B114" s="548" t="s">
        <v>161</v>
      </c>
      <c r="C114" s="549"/>
      <c r="D114" s="549"/>
      <c r="E114" s="550"/>
    </row>
    <row r="115" spans="2:9" s="225" customFormat="1" ht="15.75" customHeight="1" x14ac:dyDescent="0.25">
      <c r="B115" s="255" t="s">
        <v>162</v>
      </c>
      <c r="C115" s="256"/>
      <c r="D115" s="256"/>
      <c r="E115" s="257">
        <f>I125</f>
        <v>0</v>
      </c>
    </row>
    <row r="116" spans="2:9" s="225" customFormat="1" ht="15.75" customHeight="1" x14ac:dyDescent="0.25">
      <c r="B116" s="258" t="s">
        <v>163</v>
      </c>
      <c r="C116" s="259">
        <f>C66</f>
        <v>0</v>
      </c>
      <c r="D116" s="260">
        <v>1.5</v>
      </c>
      <c r="E116" s="261">
        <f>D116*C116</f>
        <v>0</v>
      </c>
    </row>
    <row r="117" spans="2:9" s="225" customFormat="1" ht="15.75" customHeight="1" x14ac:dyDescent="0.25">
      <c r="B117" s="258" t="s">
        <v>164</v>
      </c>
      <c r="C117" s="262">
        <f>C41</f>
        <v>1791.5384615384617</v>
      </c>
      <c r="D117" s="246">
        <v>1.7999999999999999E-2</v>
      </c>
      <c r="E117" s="261">
        <f>D117*C117</f>
        <v>32.247692307692304</v>
      </c>
    </row>
    <row r="118" spans="2:9" s="225" customFormat="1" ht="15.75" customHeight="1" x14ac:dyDescent="0.25">
      <c r="B118" s="258" t="s">
        <v>165</v>
      </c>
      <c r="C118" s="262">
        <f>C117</f>
        <v>1791.5384615384617</v>
      </c>
      <c r="D118" s="246">
        <v>0.06</v>
      </c>
      <c r="E118" s="261">
        <f>D118*C118</f>
        <v>107.49230769230769</v>
      </c>
    </row>
    <row r="119" spans="2:9" s="225" customFormat="1" ht="15.75" customHeight="1" thickBot="1" x14ac:dyDescent="0.3">
      <c r="B119" s="263" t="s">
        <v>166</v>
      </c>
      <c r="C119" s="264"/>
      <c r="D119" s="264"/>
      <c r="E119" s="265">
        <f>E115+E116+E117+E118</f>
        <v>139.74</v>
      </c>
    </row>
    <row r="122" spans="2:9" ht="15.75" hidden="1" thickBot="1" x14ac:dyDescent="0.3">
      <c r="B122" s="266" t="s">
        <v>167</v>
      </c>
      <c r="C122" s="267">
        <f>J19</f>
        <v>0.31950000000000001</v>
      </c>
      <c r="D122" s="363"/>
      <c r="E122" s="363"/>
      <c r="F122" s="363"/>
      <c r="G122" s="363"/>
      <c r="H122" s="363"/>
      <c r="I122" s="363"/>
    </row>
    <row r="123" spans="2:9" hidden="1" x14ac:dyDescent="0.25">
      <c r="B123" s="363"/>
      <c r="C123" s="363"/>
      <c r="D123" s="363"/>
      <c r="E123" s="363"/>
      <c r="F123" s="363"/>
      <c r="G123" s="363"/>
      <c r="H123" s="363"/>
      <c r="I123" s="363"/>
    </row>
    <row r="124" spans="2:9" ht="30" hidden="1" x14ac:dyDescent="0.25">
      <c r="B124" s="3" t="s">
        <v>168</v>
      </c>
      <c r="C124" s="269" t="s">
        <v>169</v>
      </c>
      <c r="D124" s="269" t="s">
        <v>170</v>
      </c>
      <c r="E124" s="270" t="s">
        <v>171</v>
      </c>
      <c r="F124" s="271" t="s">
        <v>172</v>
      </c>
      <c r="G124" s="271" t="s">
        <v>173</v>
      </c>
      <c r="H124" s="271" t="s">
        <v>174</v>
      </c>
      <c r="I124" s="272" t="s">
        <v>175</v>
      </c>
    </row>
    <row r="125" spans="2:9" ht="15.75" hidden="1" thickBot="1" x14ac:dyDescent="0.3">
      <c r="B125" s="77" t="s">
        <v>176</v>
      </c>
      <c r="C125" s="273"/>
      <c r="D125" s="274">
        <f>C125</f>
        <v>0</v>
      </c>
      <c r="E125" s="275">
        <v>1603.12</v>
      </c>
      <c r="F125" s="273">
        <f>+E125</f>
        <v>1603.12</v>
      </c>
      <c r="G125" s="276" t="e">
        <f>ROUND((C122/0.6)*((1.6*F125/D125)-1),4)</f>
        <v>#DIV/0!</v>
      </c>
      <c r="H125" s="274" t="e">
        <f>IF(G125&gt;0,G125*D125,0)</f>
        <v>#DIV/0!</v>
      </c>
      <c r="I125" s="277">
        <v>0</v>
      </c>
    </row>
    <row r="126" spans="2:9" hidden="1" x14ac:dyDescent="0.25"/>
    <row r="127" spans="2:9" hidden="1" x14ac:dyDescent="0.25"/>
    <row r="128" spans="2:9" ht="18.75" hidden="1" x14ac:dyDescent="0.25">
      <c r="B128" s="543" t="s">
        <v>177</v>
      </c>
      <c r="C128" s="544"/>
      <c r="D128" s="544"/>
      <c r="E128" s="544"/>
    </row>
    <row r="129" spans="2:6" hidden="1" x14ac:dyDescent="0.25"/>
    <row r="130" spans="2:6" hidden="1" x14ac:dyDescent="0.25">
      <c r="B130" s="278" t="s">
        <v>178</v>
      </c>
      <c r="C130" s="279" t="s">
        <v>179</v>
      </c>
      <c r="D130" s="280" t="s">
        <v>180</v>
      </c>
      <c r="E130" s="280" t="s">
        <v>181</v>
      </c>
      <c r="F130" s="281" t="s">
        <v>182</v>
      </c>
    </row>
    <row r="131" spans="2:6" hidden="1" x14ac:dyDescent="0.25">
      <c r="B131" s="282" t="s">
        <v>183</v>
      </c>
      <c r="C131" s="2"/>
      <c r="D131" s="283">
        <f>C131-25</f>
        <v>-25</v>
      </c>
      <c r="E131" s="283">
        <f>IF(D131&lt;2.8,D131,2.8)</f>
        <v>-25</v>
      </c>
      <c r="F131" s="6">
        <f>IF(D131&gt;2.8,D131-2.8,0)</f>
        <v>0</v>
      </c>
    </row>
    <row r="132" spans="2:6" hidden="1" x14ac:dyDescent="0.25">
      <c r="B132" s="282" t="s">
        <v>184</v>
      </c>
      <c r="C132" s="2"/>
      <c r="D132" s="283">
        <f>C132-25</f>
        <v>-25</v>
      </c>
      <c r="E132" s="283">
        <f t="shared" ref="E132:E134" si="6">IF(D132&lt;2.8,D132,2.8)</f>
        <v>-25</v>
      </c>
      <c r="F132" s="6">
        <f t="shared" ref="F132:F134" si="7">IF(D132&gt;2.8,D132-2.8,0)</f>
        <v>0</v>
      </c>
    </row>
    <row r="133" spans="2:6" hidden="1" x14ac:dyDescent="0.25">
      <c r="B133" s="282" t="s">
        <v>185</v>
      </c>
      <c r="C133" s="2"/>
      <c r="D133" s="283">
        <f t="shared" ref="D133:D134" si="8">C133-25</f>
        <v>-25</v>
      </c>
      <c r="E133" s="283">
        <f t="shared" si="6"/>
        <v>-25</v>
      </c>
      <c r="F133" s="6">
        <f t="shared" si="7"/>
        <v>0</v>
      </c>
    </row>
    <row r="134" spans="2:6" hidden="1" x14ac:dyDescent="0.25">
      <c r="B134" s="282" t="s">
        <v>186</v>
      </c>
      <c r="C134" s="2"/>
      <c r="D134" s="283">
        <f t="shared" si="8"/>
        <v>-25</v>
      </c>
      <c r="E134" s="284">
        <f t="shared" si="6"/>
        <v>-25</v>
      </c>
      <c r="F134" s="285">
        <f t="shared" si="7"/>
        <v>0</v>
      </c>
    </row>
    <row r="135" spans="2:6" ht="15.75" hidden="1" thickBot="1" x14ac:dyDescent="0.3">
      <c r="B135" s="286" t="s">
        <v>187</v>
      </c>
      <c r="C135" s="2"/>
      <c r="D135" s="565" t="s">
        <v>188</v>
      </c>
      <c r="E135" s="565"/>
      <c r="F135" s="566"/>
    </row>
    <row r="136" spans="2:6" ht="15.75" hidden="1" thickBot="1" x14ac:dyDescent="0.3">
      <c r="B136" s="287" t="s">
        <v>189</v>
      </c>
      <c r="C136" s="288"/>
      <c r="D136" s="288">
        <f>SUM(D131:D134)</f>
        <v>-100</v>
      </c>
      <c r="E136" s="288">
        <f>SUM(E131:E134)</f>
        <v>-100</v>
      </c>
      <c r="F136" s="289">
        <f>SUM(F131:F134)</f>
        <v>0</v>
      </c>
    </row>
    <row r="137" spans="2:6" hidden="1" x14ac:dyDescent="0.25"/>
    <row r="138" spans="2:6" ht="18.75" customHeight="1" x14ac:dyDescent="0.25">
      <c r="B138" s="543" t="s">
        <v>245</v>
      </c>
      <c r="C138" s="544"/>
      <c r="D138" s="544"/>
      <c r="E138" s="544"/>
      <c r="F138" s="7"/>
    </row>
    <row r="139" spans="2:6" ht="18.75" customHeight="1" x14ac:dyDescent="0.25"/>
    <row r="140" spans="2:6" ht="15" customHeight="1" thickBot="1" x14ac:dyDescent="0.3">
      <c r="B140" s="31" t="s">
        <v>282</v>
      </c>
    </row>
    <row r="141" spans="2:6" ht="15" customHeight="1" x14ac:dyDescent="0.25">
      <c r="B141" s="17" t="s">
        <v>11</v>
      </c>
      <c r="C141" s="15"/>
      <c r="D141" s="15"/>
      <c r="E141" s="24">
        <v>2200</v>
      </c>
    </row>
    <row r="142" spans="2:6" ht="15" customHeight="1" x14ac:dyDescent="0.25">
      <c r="B142" s="391" t="s">
        <v>241</v>
      </c>
      <c r="C142" s="22"/>
      <c r="D142" s="22"/>
      <c r="E142" s="70">
        <f>E141/26</f>
        <v>84.615384615384613</v>
      </c>
    </row>
    <row r="143" spans="2:6" ht="15" customHeight="1" x14ac:dyDescent="0.25">
      <c r="B143" s="21" t="s">
        <v>242</v>
      </c>
      <c r="C143" s="22"/>
      <c r="D143" s="22"/>
      <c r="E143" s="23">
        <v>6</v>
      </c>
    </row>
    <row r="144" spans="2:6" ht="15" customHeight="1" x14ac:dyDescent="0.25">
      <c r="B144" s="21" t="s">
        <v>243</v>
      </c>
      <c r="C144" s="22"/>
      <c r="D144" s="22"/>
      <c r="E144" s="70">
        <f>E143*E142</f>
        <v>507.69230769230768</v>
      </c>
    </row>
    <row r="145" spans="2:8" ht="15" customHeight="1" thickBot="1" x14ac:dyDescent="0.3">
      <c r="B145" s="38" t="s">
        <v>15</v>
      </c>
      <c r="C145" s="41"/>
      <c r="D145" s="41"/>
      <c r="E145" s="444">
        <f>E144</f>
        <v>507.69230769230768</v>
      </c>
    </row>
    <row r="146" spans="2:8" ht="16.5" customHeight="1" x14ac:dyDescent="0.25"/>
    <row r="147" spans="2:8" ht="15" customHeight="1" thickBot="1" x14ac:dyDescent="0.3">
      <c r="B147" s="9" t="s">
        <v>283</v>
      </c>
    </row>
    <row r="148" spans="2:8" ht="15" customHeight="1" thickBot="1" x14ac:dyDescent="0.3">
      <c r="B148" s="17" t="s">
        <v>267</v>
      </c>
      <c r="C148" s="15"/>
      <c r="D148" s="15" t="s">
        <v>276</v>
      </c>
      <c r="E148" s="24">
        <f>2100*7</f>
        <v>14700</v>
      </c>
    </row>
    <row r="149" spans="2:8" ht="15" customHeight="1" x14ac:dyDescent="0.25">
      <c r="B149" s="17" t="s">
        <v>268</v>
      </c>
      <c r="C149" s="22"/>
      <c r="D149" s="22" t="s">
        <v>269</v>
      </c>
      <c r="E149" s="24">
        <f>2200*5</f>
        <v>11000</v>
      </c>
    </row>
    <row r="150" spans="2:8" ht="15" customHeight="1" x14ac:dyDescent="0.25">
      <c r="B150" s="21" t="s">
        <v>189</v>
      </c>
      <c r="C150" s="22"/>
      <c r="D150" s="22"/>
      <c r="E150" s="358">
        <f>SUM(E148:E149)</f>
        <v>25700</v>
      </c>
    </row>
    <row r="151" spans="2:8" ht="15" customHeight="1" x14ac:dyDescent="0.25">
      <c r="B151" s="393" t="s">
        <v>247</v>
      </c>
      <c r="C151" s="22"/>
      <c r="D151" s="22"/>
      <c r="E151" s="358">
        <f>E150/10</f>
        <v>2570</v>
      </c>
    </row>
    <row r="152" spans="2:8" ht="15" customHeight="1" x14ac:dyDescent="0.25">
      <c r="B152" s="393" t="s">
        <v>24</v>
      </c>
      <c r="C152" s="22"/>
      <c r="D152" s="22" t="s">
        <v>284</v>
      </c>
      <c r="E152" s="358">
        <f>E151/30</f>
        <v>85.666666666666671</v>
      </c>
    </row>
    <row r="153" spans="2:8" ht="15" customHeight="1" x14ac:dyDescent="0.25">
      <c r="B153" s="393" t="s">
        <v>285</v>
      </c>
      <c r="C153" s="22"/>
      <c r="D153" s="22" t="s">
        <v>286</v>
      </c>
      <c r="E153" s="358">
        <f>E152*24</f>
        <v>2056</v>
      </c>
    </row>
    <row r="154" spans="2:8" ht="15" customHeight="1" x14ac:dyDescent="0.25">
      <c r="B154" s="393"/>
      <c r="C154" s="22"/>
      <c r="D154" s="22"/>
      <c r="E154" s="358"/>
    </row>
    <row r="155" spans="2:8" ht="15" customHeight="1" x14ac:dyDescent="0.25">
      <c r="B155" s="393"/>
      <c r="C155" s="22"/>
      <c r="D155" s="22"/>
      <c r="E155" s="358"/>
    </row>
    <row r="156" spans="2:8" ht="15" customHeight="1" x14ac:dyDescent="0.25">
      <c r="B156" s="21" t="s">
        <v>244</v>
      </c>
      <c r="C156" s="22"/>
      <c r="D156" s="22"/>
      <c r="E156" s="358"/>
      <c r="F156" s="9" t="s">
        <v>24</v>
      </c>
      <c r="G156" s="356">
        <f>E151/30</f>
        <v>85.666666666666671</v>
      </c>
      <c r="H156" s="356">
        <f>G156-E165</f>
        <v>-422.02564102564099</v>
      </c>
    </row>
    <row r="157" spans="2:8" ht="15.75" customHeight="1" thickBot="1" x14ac:dyDescent="0.3">
      <c r="B157" s="38" t="s">
        <v>287</v>
      </c>
      <c r="C157" s="41"/>
      <c r="D157" s="41"/>
      <c r="E157" s="359">
        <v>2200</v>
      </c>
      <c r="H157" s="356">
        <f>H156*24</f>
        <v>-10128.615384615383</v>
      </c>
    </row>
    <row r="158" spans="2:8" ht="15" customHeight="1" thickBot="1" x14ac:dyDescent="0.3">
      <c r="B158" s="9" t="s">
        <v>277</v>
      </c>
      <c r="D158" s="9" t="s">
        <v>288</v>
      </c>
      <c r="E158" s="356">
        <f>E157/26</f>
        <v>84.615384615384613</v>
      </c>
    </row>
    <row r="159" spans="2:8" ht="15" customHeight="1" thickBot="1" x14ac:dyDescent="0.3">
      <c r="B159" s="238" t="s">
        <v>289</v>
      </c>
      <c r="C159" s="239" t="s">
        <v>290</v>
      </c>
      <c r="D159" s="239"/>
      <c r="E159" s="443">
        <f>24*E158</f>
        <v>2030.7692307692307</v>
      </c>
    </row>
    <row r="160" spans="2:8" ht="15.75" thickBot="1" x14ac:dyDescent="0.3"/>
    <row r="161" spans="2:5" ht="15.75" thickBot="1" x14ac:dyDescent="0.3">
      <c r="B161" s="238" t="s">
        <v>291</v>
      </c>
      <c r="C161" s="239"/>
      <c r="D161" s="239"/>
      <c r="E161" s="394">
        <f>E153-E159</f>
        <v>25.230769230769283</v>
      </c>
    </row>
    <row r="162" spans="2:5" ht="16.5" customHeight="1" thickBot="1" x14ac:dyDescent="0.3"/>
    <row r="163" spans="2:5" ht="15" customHeight="1" x14ac:dyDescent="0.25">
      <c r="B163" s="360" t="s">
        <v>292</v>
      </c>
      <c r="C163" s="15"/>
      <c r="D163" s="15"/>
      <c r="E163" s="16"/>
    </row>
    <row r="164" spans="2:5" ht="15.75" customHeight="1" x14ac:dyDescent="0.25">
      <c r="B164" s="21" t="s">
        <v>294</v>
      </c>
      <c r="C164" s="22"/>
      <c r="D164" s="22" t="s">
        <v>288</v>
      </c>
      <c r="E164" s="70">
        <f>2200/26</f>
        <v>84.615384615384613</v>
      </c>
    </row>
    <row r="165" spans="2:5" ht="15" customHeight="1" x14ac:dyDescent="0.25">
      <c r="B165" s="21" t="s">
        <v>295</v>
      </c>
      <c r="C165" s="22"/>
      <c r="D165" s="22" t="s">
        <v>296</v>
      </c>
      <c r="E165" s="70">
        <f>E164*6</f>
        <v>507.69230769230768</v>
      </c>
    </row>
    <row r="166" spans="2:5" ht="15" customHeight="1" x14ac:dyDescent="0.25">
      <c r="B166" s="21" t="s">
        <v>293</v>
      </c>
      <c r="C166" s="22"/>
      <c r="D166" s="22"/>
      <c r="E166" s="70">
        <f>E152</f>
        <v>85.666666666666671</v>
      </c>
    </row>
    <row r="167" spans="2:5" x14ac:dyDescent="0.25">
      <c r="B167" s="21" t="s">
        <v>297</v>
      </c>
      <c r="C167" s="22"/>
      <c r="D167" s="22" t="s">
        <v>298</v>
      </c>
      <c r="E167" s="358">
        <f>E166*6</f>
        <v>514</v>
      </c>
    </row>
    <row r="168" spans="2:5" ht="15.75" thickBot="1" x14ac:dyDescent="0.3">
      <c r="B168" s="38" t="s">
        <v>248</v>
      </c>
      <c r="C168" s="41"/>
      <c r="D168" s="41"/>
      <c r="E168" s="475">
        <f>MAX(E167,E165)</f>
        <v>514</v>
      </c>
    </row>
  </sheetData>
  <mergeCells count="15">
    <mergeCell ref="B114:E114"/>
    <mergeCell ref="B138:E138"/>
    <mergeCell ref="B128:E128"/>
    <mergeCell ref="D135:F135"/>
    <mergeCell ref="B83:B84"/>
    <mergeCell ref="C83:D84"/>
    <mergeCell ref="B91:C91"/>
    <mergeCell ref="D92:D99"/>
    <mergeCell ref="B106:E106"/>
    <mergeCell ref="C17:D17"/>
    <mergeCell ref="F17:G17"/>
    <mergeCell ref="B78:B79"/>
    <mergeCell ref="C78:C79"/>
    <mergeCell ref="E78:E79"/>
    <mergeCell ref="G78:G79"/>
  </mergeCells>
  <phoneticPr fontId="4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32DD1-0DD4-4075-8D7E-9A7B17175858}">
  <dimension ref="D1:E22"/>
  <sheetViews>
    <sheetView workbookViewId="0">
      <selection activeCell="D1" sqref="D1:E22"/>
    </sheetView>
  </sheetViews>
  <sheetFormatPr baseColWidth="10" defaultRowHeight="15" x14ac:dyDescent="0.25"/>
  <sheetData>
    <row r="1" spans="4:5" x14ac:dyDescent="0.25">
      <c r="D1" t="s">
        <v>3</v>
      </c>
      <c r="E1">
        <v>1</v>
      </c>
    </row>
    <row r="2" spans="4:5" x14ac:dyDescent="0.25">
      <c r="D2" t="s">
        <v>4</v>
      </c>
      <c r="E2">
        <v>2</v>
      </c>
    </row>
    <row r="3" spans="4:5" x14ac:dyDescent="0.25">
      <c r="D3" t="s">
        <v>5</v>
      </c>
      <c r="E3">
        <v>5</v>
      </c>
    </row>
    <row r="4" spans="4:5" x14ac:dyDescent="0.25">
      <c r="D4" t="s">
        <v>6</v>
      </c>
      <c r="E4">
        <v>6</v>
      </c>
    </row>
    <row r="5" spans="4:5" x14ac:dyDescent="0.25">
      <c r="D5" t="s">
        <v>7</v>
      </c>
      <c r="E5">
        <v>7</v>
      </c>
    </row>
    <row r="6" spans="4:5" x14ac:dyDescent="0.25">
      <c r="D6" t="s">
        <v>3</v>
      </c>
      <c r="E6">
        <v>8</v>
      </c>
    </row>
    <row r="7" spans="4:5" x14ac:dyDescent="0.25">
      <c r="D7" t="s">
        <v>4</v>
      </c>
      <c r="E7">
        <v>9</v>
      </c>
    </row>
    <row r="8" spans="4:5" x14ac:dyDescent="0.25">
      <c r="D8" t="s">
        <v>5</v>
      </c>
      <c r="E8">
        <v>12</v>
      </c>
    </row>
    <row r="9" spans="4:5" x14ac:dyDescent="0.25">
      <c r="D9" t="s">
        <v>6</v>
      </c>
      <c r="E9">
        <v>13</v>
      </c>
    </row>
    <row r="10" spans="4:5" x14ac:dyDescent="0.25">
      <c r="D10" t="s">
        <v>7</v>
      </c>
      <c r="E10">
        <v>14</v>
      </c>
    </row>
    <row r="11" spans="4:5" x14ac:dyDescent="0.25">
      <c r="D11" t="s">
        <v>3</v>
      </c>
      <c r="E11">
        <v>15</v>
      </c>
    </row>
    <row r="12" spans="4:5" x14ac:dyDescent="0.25">
      <c r="D12" t="s">
        <v>4</v>
      </c>
      <c r="E12">
        <v>16</v>
      </c>
    </row>
    <row r="13" spans="4:5" x14ac:dyDescent="0.25">
      <c r="D13" t="s">
        <v>5</v>
      </c>
      <c r="E13">
        <v>19</v>
      </c>
    </row>
    <row r="14" spans="4:5" x14ac:dyDescent="0.25">
      <c r="D14" t="s">
        <v>6</v>
      </c>
      <c r="E14">
        <v>20</v>
      </c>
    </row>
    <row r="15" spans="4:5" x14ac:dyDescent="0.25">
      <c r="D15" t="s">
        <v>7</v>
      </c>
      <c r="E15">
        <v>21</v>
      </c>
    </row>
    <row r="16" spans="4:5" x14ac:dyDescent="0.25">
      <c r="D16" t="s">
        <v>3</v>
      </c>
      <c r="E16">
        <v>22</v>
      </c>
    </row>
    <row r="17" spans="4:5" x14ac:dyDescent="0.25">
      <c r="D17" t="s">
        <v>4</v>
      </c>
      <c r="E17">
        <v>23</v>
      </c>
    </row>
    <row r="18" spans="4:5" x14ac:dyDescent="0.25">
      <c r="D18" t="s">
        <v>5</v>
      </c>
      <c r="E18">
        <v>26</v>
      </c>
    </row>
    <row r="19" spans="4:5" x14ac:dyDescent="0.25">
      <c r="D19" t="s">
        <v>6</v>
      </c>
      <c r="E19">
        <v>27</v>
      </c>
    </row>
    <row r="20" spans="4:5" x14ac:dyDescent="0.25">
      <c r="D20" t="s">
        <v>7</v>
      </c>
      <c r="E20">
        <v>28</v>
      </c>
    </row>
    <row r="21" spans="4:5" x14ac:dyDescent="0.25">
      <c r="D21" t="s">
        <v>3</v>
      </c>
      <c r="E21">
        <v>29</v>
      </c>
    </row>
    <row r="22" spans="4:5" x14ac:dyDescent="0.25">
      <c r="D22" t="s">
        <v>4</v>
      </c>
      <c r="E22">
        <v>30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D8AC7-EC17-477E-A57F-4CB4F77C9689}">
  <dimension ref="A1:M72"/>
  <sheetViews>
    <sheetView workbookViewId="0">
      <selection activeCell="F8" sqref="F8"/>
    </sheetView>
  </sheetViews>
  <sheetFormatPr baseColWidth="10" defaultRowHeight="15" x14ac:dyDescent="0.25"/>
  <cols>
    <col min="1" max="1" width="54.42578125" bestFit="1" customWidth="1"/>
    <col min="4" max="4" width="12.140625" bestFit="1" customWidth="1"/>
    <col min="7" max="7" width="55.28515625" bestFit="1" customWidth="1"/>
    <col min="10" max="10" width="22.7109375" customWidth="1"/>
    <col min="13" max="13" width="12" bestFit="1" customWidth="1"/>
  </cols>
  <sheetData>
    <row r="1" spans="1:9" ht="18.75" x14ac:dyDescent="0.3">
      <c r="A1" s="503" t="s">
        <v>317</v>
      </c>
      <c r="G1" s="503" t="s">
        <v>311</v>
      </c>
    </row>
    <row r="2" spans="1:9" ht="15.75" thickBot="1" x14ac:dyDescent="0.3"/>
    <row r="3" spans="1:9" x14ac:dyDescent="0.25">
      <c r="A3" s="508" t="s">
        <v>328</v>
      </c>
      <c r="B3" s="280"/>
      <c r="C3" s="280"/>
      <c r="D3" s="281"/>
      <c r="G3" s="508" t="s">
        <v>328</v>
      </c>
      <c r="H3" s="280"/>
      <c r="I3" s="281"/>
    </row>
    <row r="4" spans="1:9" x14ac:dyDescent="0.25">
      <c r="A4" s="21" t="s">
        <v>267</v>
      </c>
      <c r="B4" s="22"/>
      <c r="C4" s="22" t="s">
        <v>299</v>
      </c>
      <c r="D4" s="70">
        <f>2900*7</f>
        <v>20300</v>
      </c>
      <c r="G4" s="282" t="s">
        <v>320</v>
      </c>
      <c r="H4" s="283"/>
      <c r="I4" s="6">
        <v>2950</v>
      </c>
    </row>
    <row r="5" spans="1:9" x14ac:dyDescent="0.25">
      <c r="A5" s="21" t="s">
        <v>268</v>
      </c>
      <c r="B5" s="22"/>
      <c r="C5" s="22" t="s">
        <v>300</v>
      </c>
      <c r="D5" s="70">
        <f>2950*5</f>
        <v>14750</v>
      </c>
      <c r="G5" s="282"/>
      <c r="H5" s="283"/>
      <c r="I5" s="6"/>
    </row>
    <row r="6" spans="1:9" x14ac:dyDescent="0.25">
      <c r="A6" s="21" t="s">
        <v>189</v>
      </c>
      <c r="B6" s="22"/>
      <c r="C6" s="22"/>
      <c r="D6" s="358">
        <f>SUM(D4:D5)</f>
        <v>35050</v>
      </c>
      <c r="G6" s="282" t="s">
        <v>246</v>
      </c>
      <c r="H6" s="283"/>
      <c r="I6" s="6">
        <f>I4+I5</f>
        <v>2950</v>
      </c>
    </row>
    <row r="7" spans="1:9" x14ac:dyDescent="0.25">
      <c r="A7" s="393" t="s">
        <v>247</v>
      </c>
      <c r="B7" s="22"/>
      <c r="C7" s="22"/>
      <c r="D7" s="358">
        <f>D6/10</f>
        <v>3505</v>
      </c>
      <c r="G7" s="282" t="s">
        <v>24</v>
      </c>
      <c r="H7" s="283" t="s">
        <v>321</v>
      </c>
      <c r="I7" s="411">
        <f>I6/26</f>
        <v>113.46153846153847</v>
      </c>
    </row>
    <row r="8" spans="1:9" x14ac:dyDescent="0.25">
      <c r="A8" s="393" t="s">
        <v>24</v>
      </c>
      <c r="B8" s="22"/>
      <c r="C8" s="22" t="s">
        <v>318</v>
      </c>
      <c r="D8" s="358">
        <f>D7/30</f>
        <v>116.83333333333333</v>
      </c>
      <c r="G8" s="282" t="s">
        <v>322</v>
      </c>
      <c r="H8" s="283" t="s">
        <v>323</v>
      </c>
      <c r="I8" s="402">
        <f>24*I7</f>
        <v>2723.0769230769233</v>
      </c>
    </row>
    <row r="9" spans="1:9" x14ac:dyDescent="0.25">
      <c r="A9" s="393" t="s">
        <v>285</v>
      </c>
      <c r="B9" s="22"/>
      <c r="C9" s="22" t="s">
        <v>301</v>
      </c>
      <c r="D9" s="358">
        <f>D8*24</f>
        <v>2804</v>
      </c>
      <c r="G9" s="282" t="s">
        <v>324</v>
      </c>
      <c r="H9" s="283" t="s">
        <v>325</v>
      </c>
      <c r="I9" s="402">
        <f>6*I7</f>
        <v>680.76923076923083</v>
      </c>
    </row>
    <row r="10" spans="1:9" x14ac:dyDescent="0.25">
      <c r="A10" s="393" t="s">
        <v>302</v>
      </c>
      <c r="B10" s="22"/>
      <c r="C10" s="22" t="s">
        <v>303</v>
      </c>
      <c r="D10" s="358">
        <f>6*D8</f>
        <v>701</v>
      </c>
      <c r="G10" s="282"/>
      <c r="H10" s="283"/>
      <c r="I10" s="6"/>
    </row>
    <row r="11" spans="1:9" ht="15.75" thickBot="1" x14ac:dyDescent="0.3">
      <c r="A11" s="506" t="s">
        <v>319</v>
      </c>
      <c r="B11" s="41"/>
      <c r="C11" s="41"/>
      <c r="D11" s="504">
        <f>SUM(D9:D10)</f>
        <v>3505</v>
      </c>
      <c r="G11" s="507" t="s">
        <v>326</v>
      </c>
      <c r="H11" s="408"/>
      <c r="I11" s="505">
        <f>I9+I8</f>
        <v>3403.8461538461543</v>
      </c>
    </row>
    <row r="12" spans="1:9" ht="15.75" thickBot="1" x14ac:dyDescent="0.3"/>
    <row r="13" spans="1:9" ht="15.75" thickBot="1" x14ac:dyDescent="0.3">
      <c r="A13" s="499" t="s">
        <v>327</v>
      </c>
      <c r="B13" s="496"/>
      <c r="C13" s="496"/>
      <c r="D13" s="497">
        <f>MAX(D11,I11)</f>
        <v>3505</v>
      </c>
    </row>
    <row r="14" spans="1:9" ht="15.75" thickBot="1" x14ac:dyDescent="0.3">
      <c r="A14" s="498"/>
      <c r="D14" s="7"/>
    </row>
    <row r="15" spans="1:9" ht="16.5" thickTop="1" thickBot="1" x14ac:dyDescent="0.3">
      <c r="A15" s="500" t="s">
        <v>304</v>
      </c>
      <c r="B15" s="501"/>
      <c r="C15" s="501"/>
      <c r="D15" s="502">
        <f>D13-I11</f>
        <v>101.15384615384573</v>
      </c>
    </row>
    <row r="16" spans="1:9" ht="15.75" thickTop="1" x14ac:dyDescent="0.25">
      <c r="A16" s="498"/>
      <c r="D16" s="7"/>
    </row>
    <row r="17" spans="1:9" x14ac:dyDescent="0.25">
      <c r="A17" s="498"/>
      <c r="D17" s="7"/>
    </row>
    <row r="18" spans="1:9" ht="18.75" x14ac:dyDescent="0.3">
      <c r="A18" s="503" t="s">
        <v>317</v>
      </c>
      <c r="G18" s="503" t="s">
        <v>311</v>
      </c>
    </row>
    <row r="19" spans="1:9" ht="15.75" thickBot="1" x14ac:dyDescent="0.3"/>
    <row r="20" spans="1:9" x14ac:dyDescent="0.25">
      <c r="A20" s="508" t="s">
        <v>329</v>
      </c>
      <c r="B20" s="280"/>
      <c r="C20" s="280"/>
      <c r="D20" s="281"/>
      <c r="G20" s="508" t="s">
        <v>329</v>
      </c>
      <c r="H20" s="280"/>
      <c r="I20" s="281"/>
    </row>
    <row r="21" spans="1:9" ht="15.75" thickBot="1" x14ac:dyDescent="0.3">
      <c r="A21" s="498"/>
      <c r="D21" s="7"/>
      <c r="G21" s="282" t="s">
        <v>365</v>
      </c>
      <c r="H21" s="283"/>
      <c r="I21" s="411">
        <v>3300</v>
      </c>
    </row>
    <row r="22" spans="1:9" x14ac:dyDescent="0.25">
      <c r="A22" s="17" t="s">
        <v>268</v>
      </c>
      <c r="B22" s="15"/>
      <c r="C22" s="15" t="s">
        <v>305</v>
      </c>
      <c r="D22" s="24">
        <v>20650</v>
      </c>
      <c r="G22" s="282" t="s">
        <v>24</v>
      </c>
      <c r="H22" s="283" t="s">
        <v>331</v>
      </c>
      <c r="I22" s="411">
        <f>I21/26</f>
        <v>126.92307692307692</v>
      </c>
    </row>
    <row r="23" spans="1:9" x14ac:dyDescent="0.25">
      <c r="A23" s="282" t="s">
        <v>306</v>
      </c>
      <c r="B23" s="283"/>
      <c r="C23" s="283"/>
      <c r="D23" s="402">
        <v>3100</v>
      </c>
      <c r="G23" s="282" t="s">
        <v>332</v>
      </c>
      <c r="H23" s="283"/>
      <c r="I23" s="6">
        <v>30</v>
      </c>
    </row>
    <row r="24" spans="1:9" x14ac:dyDescent="0.25">
      <c r="A24" s="282" t="s">
        <v>307</v>
      </c>
      <c r="B24" s="283"/>
      <c r="C24" s="283"/>
      <c r="D24" s="402">
        <v>3100</v>
      </c>
      <c r="G24" s="282"/>
      <c r="H24" s="283"/>
      <c r="I24" s="6"/>
    </row>
    <row r="25" spans="1:9" x14ac:dyDescent="0.25">
      <c r="A25" s="282" t="s">
        <v>308</v>
      </c>
      <c r="B25" s="283"/>
      <c r="C25" s="283"/>
      <c r="D25" s="402">
        <v>3200</v>
      </c>
      <c r="G25" s="282"/>
      <c r="H25" s="283"/>
      <c r="I25" s="6"/>
    </row>
    <row r="26" spans="1:9" x14ac:dyDescent="0.25">
      <c r="A26" s="282" t="s">
        <v>309</v>
      </c>
      <c r="B26" s="283" t="s">
        <v>330</v>
      </c>
      <c r="C26" s="283"/>
      <c r="D26" s="402">
        <f>3300+D15</f>
        <v>3401.1538461538457</v>
      </c>
      <c r="G26" s="282"/>
      <c r="H26" s="283"/>
      <c r="I26" s="6"/>
    </row>
    <row r="27" spans="1:9" x14ac:dyDescent="0.25">
      <c r="A27" s="282" t="s">
        <v>189</v>
      </c>
      <c r="B27" s="283"/>
      <c r="C27" s="283"/>
      <c r="D27" s="402">
        <f>SUM(D22:D26)</f>
        <v>33451.153846153844</v>
      </c>
      <c r="G27" s="282"/>
      <c r="H27" s="283"/>
      <c r="I27" s="6"/>
    </row>
    <row r="28" spans="1:9" x14ac:dyDescent="0.25">
      <c r="A28" s="494" t="s">
        <v>247</v>
      </c>
      <c r="B28" s="283"/>
      <c r="C28" s="283"/>
      <c r="D28" s="402">
        <f>D27/10</f>
        <v>3345.1153846153843</v>
      </c>
      <c r="G28" s="282"/>
      <c r="H28" s="283"/>
      <c r="I28" s="6"/>
    </row>
    <row r="29" spans="1:9" x14ac:dyDescent="0.25">
      <c r="A29" s="282" t="s">
        <v>332</v>
      </c>
      <c r="B29" s="283"/>
      <c r="C29" s="283"/>
      <c r="D29" s="6">
        <v>30</v>
      </c>
    </row>
    <row r="30" spans="1:9" x14ac:dyDescent="0.25">
      <c r="A30" s="510" t="s">
        <v>24</v>
      </c>
      <c r="B30" s="283" t="s">
        <v>336</v>
      </c>
      <c r="C30" s="283"/>
      <c r="D30" s="402">
        <f>D28/30</f>
        <v>111.50384615384614</v>
      </c>
    </row>
    <row r="31" spans="1:9" ht="15.75" thickBot="1" x14ac:dyDescent="0.3">
      <c r="A31" s="507" t="s">
        <v>319</v>
      </c>
      <c r="B31" s="509" t="s">
        <v>337</v>
      </c>
      <c r="C31" s="509"/>
      <c r="D31" s="505">
        <f>D30*D29</f>
        <v>3345.1153846153843</v>
      </c>
      <c r="G31" s="287" t="s">
        <v>334</v>
      </c>
      <c r="H31" s="408" t="s">
        <v>333</v>
      </c>
      <c r="I31" s="432">
        <f>I23*I22</f>
        <v>3807.6923076923076</v>
      </c>
    </row>
    <row r="32" spans="1:9" ht="15.75" thickBot="1" x14ac:dyDescent="0.3">
      <c r="A32" s="498"/>
      <c r="D32" s="7"/>
    </row>
    <row r="33" spans="1:13" ht="15.75" thickBot="1" x14ac:dyDescent="0.3">
      <c r="A33" s="498"/>
      <c r="D33" s="7"/>
      <c r="G33" s="499" t="s">
        <v>335</v>
      </c>
      <c r="H33" s="496"/>
      <c r="I33" s="496"/>
      <c r="J33" s="497">
        <f>MAX(I31,D31)</f>
        <v>3807.6923076923076</v>
      </c>
    </row>
    <row r="34" spans="1:13" ht="15.75" thickBot="1" x14ac:dyDescent="0.3">
      <c r="A34" s="498"/>
      <c r="D34" s="7"/>
      <c r="G34" s="498"/>
      <c r="J34" s="7"/>
    </row>
    <row r="35" spans="1:13" ht="16.5" thickTop="1" thickBot="1" x14ac:dyDescent="0.3">
      <c r="A35" s="498"/>
      <c r="D35" s="7"/>
      <c r="G35" s="500" t="s">
        <v>338</v>
      </c>
      <c r="H35" s="501"/>
      <c r="I35" s="501"/>
      <c r="J35" s="502">
        <f>J33-O29</f>
        <v>3807.6923076923076</v>
      </c>
    </row>
    <row r="36" spans="1:13" ht="15.75" thickTop="1" x14ac:dyDescent="0.25">
      <c r="A36" s="498"/>
      <c r="D36" s="7"/>
    </row>
    <row r="37" spans="1:13" x14ac:dyDescent="0.25">
      <c r="A37" s="498" t="s">
        <v>339</v>
      </c>
      <c r="D37" s="7"/>
    </row>
    <row r="38" spans="1:13" x14ac:dyDescent="0.25">
      <c r="A38" s="498"/>
      <c r="D38" s="7"/>
    </row>
    <row r="39" spans="1:13" x14ac:dyDescent="0.25">
      <c r="A39" s="409">
        <v>44652</v>
      </c>
    </row>
    <row r="40" spans="1:13" ht="15.75" thickBot="1" x14ac:dyDescent="0.3"/>
    <row r="41" spans="1:13" x14ac:dyDescent="0.25">
      <c r="A41" s="383" t="s">
        <v>11</v>
      </c>
      <c r="B41" s="280"/>
      <c r="C41" s="280"/>
      <c r="D41" s="421">
        <v>3300</v>
      </c>
      <c r="G41" s="7"/>
      <c r="H41" s="7"/>
      <c r="I41" s="7"/>
      <c r="J41" s="7"/>
      <c r="K41" s="7"/>
      <c r="L41" s="9"/>
      <c r="M41" s="9"/>
    </row>
    <row r="42" spans="1:13" x14ac:dyDescent="0.25">
      <c r="A42" s="282" t="s">
        <v>252</v>
      </c>
      <c r="B42" s="283">
        <v>2800</v>
      </c>
      <c r="C42" s="407">
        <v>0.05</v>
      </c>
      <c r="D42" s="411">
        <f>C42*B42</f>
        <v>140</v>
      </c>
      <c r="G42" s="7"/>
      <c r="H42" s="7"/>
      <c r="I42" s="7"/>
      <c r="J42" s="7"/>
      <c r="K42" s="9"/>
      <c r="L42" s="9"/>
      <c r="M42" s="9"/>
    </row>
    <row r="43" spans="1:13" x14ac:dyDescent="0.25">
      <c r="A43" s="282" t="s">
        <v>253</v>
      </c>
      <c r="B43" s="283"/>
      <c r="C43" s="283"/>
      <c r="D43" s="411">
        <f>SUM(D41:D42)</f>
        <v>3440</v>
      </c>
      <c r="G43" s="7"/>
      <c r="H43" s="7"/>
      <c r="I43" s="7"/>
      <c r="J43" s="7"/>
      <c r="K43" s="9"/>
      <c r="L43" s="9"/>
      <c r="M43" s="9"/>
    </row>
    <row r="44" spans="1:13" x14ac:dyDescent="0.25">
      <c r="A44" s="510" t="s">
        <v>315</v>
      </c>
      <c r="B44" s="283"/>
      <c r="C44" s="283"/>
      <c r="D44" s="402">
        <f>+D15</f>
        <v>101.15384615384573</v>
      </c>
      <c r="G44" s="7"/>
      <c r="H44" s="7"/>
      <c r="I44" s="7"/>
      <c r="J44" s="7"/>
      <c r="K44" s="9"/>
      <c r="L44" s="9"/>
      <c r="M44" s="9"/>
    </row>
    <row r="45" spans="1:13" x14ac:dyDescent="0.25">
      <c r="A45" s="510" t="s">
        <v>316</v>
      </c>
      <c r="B45" s="283"/>
      <c r="C45" s="283"/>
      <c r="D45" s="402">
        <f>+J35</f>
        <v>3807.6923076923076</v>
      </c>
      <c r="F45" s="7"/>
      <c r="G45" s="7"/>
      <c r="H45" s="7"/>
      <c r="I45" s="7"/>
      <c r="J45" s="7"/>
      <c r="K45" s="9"/>
      <c r="L45" s="9"/>
      <c r="M45" s="9"/>
    </row>
    <row r="46" spans="1:13" x14ac:dyDescent="0.25">
      <c r="A46" s="282" t="s">
        <v>126</v>
      </c>
      <c r="B46" s="283">
        <v>5</v>
      </c>
      <c r="C46" s="2">
        <v>192.6</v>
      </c>
      <c r="D46" s="411">
        <f>+C46*B46</f>
        <v>963</v>
      </c>
      <c r="G46" s="7"/>
      <c r="H46" s="7"/>
      <c r="I46" s="7"/>
      <c r="J46" s="7"/>
      <c r="K46" s="9"/>
      <c r="L46" s="9"/>
      <c r="M46" s="9"/>
    </row>
    <row r="47" spans="1:13" x14ac:dyDescent="0.25">
      <c r="A47" s="282" t="s">
        <v>359</v>
      </c>
      <c r="B47" s="283"/>
      <c r="C47" s="283"/>
      <c r="D47" s="541">
        <f>D41*4/12</f>
        <v>1100</v>
      </c>
      <c r="G47" s="7"/>
      <c r="H47" s="7"/>
      <c r="I47" s="7"/>
      <c r="J47" s="7"/>
      <c r="K47" s="9"/>
      <c r="L47" s="9"/>
      <c r="M47" s="9"/>
    </row>
    <row r="48" spans="1:13" ht="15.75" thickBot="1" x14ac:dyDescent="0.3">
      <c r="A48" s="511" t="s">
        <v>93</v>
      </c>
      <c r="B48" s="408"/>
      <c r="C48" s="408"/>
      <c r="D48" s="432">
        <f>SUM(D43:D47)</f>
        <v>9411.8461538461524</v>
      </c>
      <c r="G48" s="7"/>
      <c r="H48" s="7"/>
      <c r="I48" s="7"/>
      <c r="J48" s="7"/>
      <c r="K48" s="9"/>
      <c r="L48" s="9"/>
      <c r="M48" s="9"/>
    </row>
    <row r="49" spans="1:13" x14ac:dyDescent="0.25">
      <c r="G49" s="7"/>
      <c r="H49" s="7"/>
      <c r="I49" s="7"/>
      <c r="J49" s="7"/>
      <c r="K49" s="9"/>
      <c r="L49" s="9"/>
      <c r="M49" s="9"/>
    </row>
    <row r="50" spans="1:13" x14ac:dyDescent="0.25">
      <c r="A50" s="409">
        <v>44621</v>
      </c>
      <c r="G50" s="7"/>
      <c r="H50" s="7"/>
      <c r="I50" s="7"/>
      <c r="J50" s="7"/>
      <c r="K50" s="9"/>
      <c r="L50" s="9"/>
      <c r="M50" s="9"/>
    </row>
    <row r="51" spans="1:13" ht="15.75" thickBot="1" x14ac:dyDescent="0.3">
      <c r="F51" s="7"/>
      <c r="G51" s="7"/>
      <c r="H51" s="7"/>
      <c r="I51" s="7"/>
      <c r="J51" s="7"/>
      <c r="K51" s="9"/>
      <c r="L51" s="9"/>
      <c r="M51" s="9"/>
    </row>
    <row r="52" spans="1:13" x14ac:dyDescent="0.25">
      <c r="A52" s="383" t="s">
        <v>11</v>
      </c>
      <c r="B52" s="280"/>
      <c r="C52" s="280"/>
      <c r="D52" s="410">
        <v>3200</v>
      </c>
      <c r="K52" s="9"/>
      <c r="L52" s="9"/>
      <c r="M52" s="9"/>
    </row>
    <row r="53" spans="1:13" ht="18.75" x14ac:dyDescent="0.25">
      <c r="A53" s="282" t="s">
        <v>252</v>
      </c>
      <c r="B53" s="283">
        <v>2800</v>
      </c>
      <c r="C53" s="407">
        <v>0.05</v>
      </c>
      <c r="D53" s="411">
        <f>C53*B53</f>
        <v>140</v>
      </c>
      <c r="G53" s="551" t="s">
        <v>364</v>
      </c>
      <c r="H53" s="552"/>
      <c r="I53" s="552"/>
      <c r="J53" s="552"/>
      <c r="K53" s="9"/>
      <c r="L53" s="9"/>
      <c r="M53" s="9"/>
    </row>
    <row r="54" spans="1:13" ht="15.75" thickBot="1" x14ac:dyDescent="0.3">
      <c r="A54" s="282" t="s">
        <v>253</v>
      </c>
      <c r="B54" s="283"/>
      <c r="C54" s="283"/>
      <c r="D54" s="411">
        <f>SUM(D52:D53)</f>
        <v>3340</v>
      </c>
      <c r="G54" s="9"/>
      <c r="H54" s="9"/>
      <c r="I54" s="9"/>
      <c r="J54" s="9"/>
      <c r="K54" s="9"/>
      <c r="L54" s="9"/>
      <c r="M54" s="9"/>
    </row>
    <row r="55" spans="1:13" x14ac:dyDescent="0.25">
      <c r="A55" s="282" t="s">
        <v>254</v>
      </c>
      <c r="B55" s="283">
        <v>5</v>
      </c>
      <c r="C55" s="2">
        <v>114.4</v>
      </c>
      <c r="D55" s="411">
        <f>+C55*B55</f>
        <v>572</v>
      </c>
      <c r="G55" s="17" t="s">
        <v>268</v>
      </c>
      <c r="H55" s="15"/>
      <c r="I55" s="15" t="s">
        <v>305</v>
      </c>
      <c r="J55" s="24">
        <f>2950*7</f>
        <v>20650</v>
      </c>
      <c r="K55" s="9"/>
      <c r="L55" s="9"/>
      <c r="M55" s="9"/>
    </row>
    <row r="56" spans="1:13" ht="15.75" thickBot="1" x14ac:dyDescent="0.3">
      <c r="A56" s="287" t="s">
        <v>255</v>
      </c>
      <c r="B56" s="408"/>
      <c r="C56" s="408"/>
      <c r="D56" s="412">
        <f>SUM(D54:D55)</f>
        <v>3912</v>
      </c>
      <c r="G56" s="282" t="s">
        <v>306</v>
      </c>
      <c r="H56" s="283"/>
      <c r="I56" s="283"/>
      <c r="J56" s="402">
        <f>D68</f>
        <v>3100</v>
      </c>
      <c r="K56" s="9"/>
      <c r="L56" s="9"/>
      <c r="M56" s="9"/>
    </row>
    <row r="57" spans="1:13" x14ac:dyDescent="0.25">
      <c r="G57" s="282" t="s">
        <v>307</v>
      </c>
      <c r="H57" s="283"/>
      <c r="I57" s="283"/>
      <c r="J57" s="402">
        <f>D60</f>
        <v>3100</v>
      </c>
      <c r="K57" s="9"/>
      <c r="L57" s="9"/>
      <c r="M57" s="9"/>
    </row>
    <row r="58" spans="1:13" x14ac:dyDescent="0.25">
      <c r="A58" s="409">
        <v>44593</v>
      </c>
      <c r="G58" s="282" t="s">
        <v>308</v>
      </c>
      <c r="H58" s="283"/>
      <c r="I58" s="283"/>
      <c r="J58" s="402">
        <f>D52</f>
        <v>3200</v>
      </c>
      <c r="K58" s="9"/>
      <c r="L58" s="9"/>
      <c r="M58" s="9"/>
    </row>
    <row r="59" spans="1:13" ht="15.75" thickBot="1" x14ac:dyDescent="0.3">
      <c r="F59" s="7"/>
      <c r="G59" s="282" t="s">
        <v>309</v>
      </c>
      <c r="H59" s="283"/>
      <c r="I59" s="283"/>
      <c r="J59" s="541">
        <f>D41+D44</f>
        <v>3401.1538461538457</v>
      </c>
      <c r="K59" s="9"/>
      <c r="L59" s="9"/>
      <c r="M59" s="9"/>
    </row>
    <row r="60" spans="1:13" x14ac:dyDescent="0.25">
      <c r="A60" s="383" t="s">
        <v>11</v>
      </c>
      <c r="B60" s="280"/>
      <c r="C60" s="280"/>
      <c r="D60" s="410">
        <v>3100</v>
      </c>
      <c r="G60" s="282" t="s">
        <v>189</v>
      </c>
      <c r="H60" s="283"/>
      <c r="I60" s="283"/>
      <c r="J60" s="402">
        <f>SUM(J55:J59)</f>
        <v>33451.153846153844</v>
      </c>
      <c r="K60" s="9"/>
      <c r="L60" s="9"/>
      <c r="M60" s="9"/>
    </row>
    <row r="61" spans="1:13" x14ac:dyDescent="0.25">
      <c r="A61" s="282" t="s">
        <v>252</v>
      </c>
      <c r="B61" s="283">
        <v>2800</v>
      </c>
      <c r="C61" s="407">
        <v>0.05</v>
      </c>
      <c r="D61" s="411">
        <f>C61*B61</f>
        <v>140</v>
      </c>
      <c r="G61" s="494" t="s">
        <v>247</v>
      </c>
      <c r="H61" s="283"/>
      <c r="I61" s="283"/>
      <c r="J61" s="402">
        <f>J60/10</f>
        <v>3345.1153846153843</v>
      </c>
      <c r="K61" s="9"/>
      <c r="L61" s="9"/>
      <c r="M61" s="9"/>
    </row>
    <row r="62" spans="1:13" x14ac:dyDescent="0.25">
      <c r="A62" s="282" t="s">
        <v>253</v>
      </c>
      <c r="B62" s="283"/>
      <c r="C62" s="283"/>
      <c r="D62" s="411">
        <f>SUM(D60:D61)</f>
        <v>3240</v>
      </c>
      <c r="G62" s="510" t="s">
        <v>24</v>
      </c>
      <c r="H62" s="283"/>
      <c r="I62" s="283"/>
      <c r="J62" s="402">
        <f>J61/30</f>
        <v>111.50384615384614</v>
      </c>
      <c r="K62" s="9"/>
      <c r="L62" s="9"/>
      <c r="M62" s="9"/>
    </row>
    <row r="63" spans="1:13" x14ac:dyDescent="0.25">
      <c r="A63" s="282" t="s">
        <v>254</v>
      </c>
      <c r="B63" s="283">
        <v>5</v>
      </c>
      <c r="C63" s="2">
        <v>114.4</v>
      </c>
      <c r="D63" s="411">
        <f>+C63*B63</f>
        <v>572</v>
      </c>
      <c r="G63" s="510" t="s">
        <v>313</v>
      </c>
      <c r="H63" s="283"/>
      <c r="I63" s="283"/>
      <c r="J63" s="6">
        <v>30</v>
      </c>
    </row>
    <row r="64" spans="1:13" ht="15.75" thickBot="1" x14ac:dyDescent="0.3">
      <c r="A64" s="287" t="s">
        <v>255</v>
      </c>
      <c r="B64" s="408"/>
      <c r="C64" s="408"/>
      <c r="D64" s="412">
        <f>SUM(D62:D63)</f>
        <v>3812</v>
      </c>
      <c r="G64" s="287" t="s">
        <v>310</v>
      </c>
      <c r="H64" s="408"/>
      <c r="I64" s="408"/>
      <c r="J64" s="432">
        <f>J63*J62</f>
        <v>3345.1153846153843</v>
      </c>
    </row>
    <row r="65" spans="1:10" ht="15.75" thickBot="1" x14ac:dyDescent="0.3"/>
    <row r="66" spans="1:10" x14ac:dyDescent="0.25">
      <c r="A66" s="409">
        <v>44562</v>
      </c>
      <c r="G66" s="383" t="s">
        <v>311</v>
      </c>
      <c r="H66" s="280"/>
      <c r="I66" s="280"/>
      <c r="J66" s="281"/>
    </row>
    <row r="67" spans="1:10" ht="15.75" thickBot="1" x14ac:dyDescent="0.3">
      <c r="F67" s="7"/>
      <c r="G67" s="282" t="s">
        <v>312</v>
      </c>
      <c r="H67" s="283"/>
      <c r="I67" s="283"/>
      <c r="J67" s="541">
        <f>D41</f>
        <v>3300</v>
      </c>
    </row>
    <row r="68" spans="1:10" x14ac:dyDescent="0.25">
      <c r="A68" s="383" t="s">
        <v>11</v>
      </c>
      <c r="B68" s="280"/>
      <c r="C68" s="280"/>
      <c r="D68" s="410">
        <v>3100</v>
      </c>
      <c r="G68" s="282" t="s">
        <v>24</v>
      </c>
      <c r="H68" s="283"/>
      <c r="I68" s="283"/>
      <c r="J68" s="402">
        <f>J67/26</f>
        <v>126.92307692307692</v>
      </c>
    </row>
    <row r="69" spans="1:10" x14ac:dyDescent="0.25">
      <c r="A69" s="282" t="s">
        <v>252</v>
      </c>
      <c r="B69" s="283">
        <v>2800</v>
      </c>
      <c r="C69" s="407">
        <v>0.05</v>
      </c>
      <c r="D69" s="411">
        <f>C69*B69</f>
        <v>140</v>
      </c>
      <c r="G69" s="282" t="s">
        <v>313</v>
      </c>
      <c r="H69" s="283"/>
      <c r="I69" s="283"/>
      <c r="J69" s="6">
        <v>30</v>
      </c>
    </row>
    <row r="70" spans="1:10" ht="15.75" thickBot="1" x14ac:dyDescent="0.3">
      <c r="A70" s="282" t="s">
        <v>253</v>
      </c>
      <c r="B70" s="283"/>
      <c r="C70" s="283"/>
      <c r="D70" s="411">
        <f>SUM(D68:D69)</f>
        <v>3240</v>
      </c>
      <c r="G70" s="287" t="s">
        <v>314</v>
      </c>
      <c r="H70" s="408"/>
      <c r="I70" s="408"/>
      <c r="J70" s="432">
        <f>J69*J68</f>
        <v>3807.6923076923076</v>
      </c>
    </row>
    <row r="71" spans="1:10" ht="15.75" thickBot="1" x14ac:dyDescent="0.3">
      <c r="A71" s="282" t="s">
        <v>254</v>
      </c>
      <c r="B71" s="283">
        <v>5</v>
      </c>
      <c r="C71" s="2">
        <v>114.4</v>
      </c>
      <c r="D71" s="411">
        <f>+C71*B71</f>
        <v>572</v>
      </c>
    </row>
    <row r="72" spans="1:10" ht="15.75" thickBot="1" x14ac:dyDescent="0.3">
      <c r="A72" s="287" t="s">
        <v>255</v>
      </c>
      <c r="B72" s="408"/>
      <c r="C72" s="408"/>
      <c r="D72" s="412">
        <f>SUM(D70:D71)</f>
        <v>3812</v>
      </c>
      <c r="G72" s="495" t="s">
        <v>248</v>
      </c>
      <c r="H72" s="496"/>
      <c r="I72" s="496"/>
      <c r="J72" s="497">
        <f>J70</f>
        <v>3807.6923076923076</v>
      </c>
    </row>
  </sheetData>
  <mergeCells count="1">
    <mergeCell ref="G53:J53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89584-CC7C-41CA-B200-E7D20656A43A}">
  <dimension ref="A2:K59"/>
  <sheetViews>
    <sheetView workbookViewId="0">
      <selection activeCell="G65" sqref="G65"/>
    </sheetView>
  </sheetViews>
  <sheetFormatPr baseColWidth="10" defaultRowHeight="15" x14ac:dyDescent="0.25"/>
  <cols>
    <col min="1" max="1" width="21.42578125" style="268" customWidth="1"/>
    <col min="2" max="2" width="13" style="268" bestFit="1" customWidth="1"/>
    <col min="3" max="3" width="12.7109375" style="268" bestFit="1" customWidth="1"/>
    <col min="4" max="5" width="16.85546875" style="268" bestFit="1" customWidth="1"/>
    <col min="6" max="6" width="12.42578125" style="268" bestFit="1" customWidth="1"/>
    <col min="7" max="7" width="12.85546875" style="268" customWidth="1"/>
    <col min="8" max="8" width="13" style="268" bestFit="1" customWidth="1"/>
    <col min="9" max="9" width="13.7109375" style="268" customWidth="1"/>
    <col min="10" max="10" width="14.42578125" style="268" customWidth="1"/>
    <col min="11" max="11" width="11.85546875" style="268" bestFit="1" customWidth="1"/>
    <col min="12" max="12" width="11.5703125" style="268" bestFit="1" customWidth="1"/>
    <col min="13" max="16384" width="11.42578125" style="268"/>
  </cols>
  <sheetData>
    <row r="2" spans="1:11" ht="23.25" x14ac:dyDescent="0.25">
      <c r="A2" s="321" t="s">
        <v>192</v>
      </c>
      <c r="B2" s="322"/>
      <c r="C2" s="322"/>
      <c r="D2" s="322"/>
      <c r="E2" s="322"/>
      <c r="F2" s="322"/>
      <c r="G2" s="322"/>
      <c r="H2" s="322"/>
    </row>
    <row r="4" spans="1:11" ht="18.75" x14ac:dyDescent="0.25">
      <c r="A4" s="323" t="s">
        <v>193</v>
      </c>
      <c r="D4" s="324">
        <v>3428</v>
      </c>
      <c r="F4" s="340" t="s">
        <v>225</v>
      </c>
      <c r="H4" s="352" t="s">
        <v>226</v>
      </c>
      <c r="I4" s="340">
        <v>21</v>
      </c>
    </row>
    <row r="5" spans="1:11" ht="15.75" thickBot="1" x14ac:dyDescent="0.3"/>
    <row r="6" spans="1:11" ht="30" x14ac:dyDescent="0.25">
      <c r="A6" s="325" t="s">
        <v>168</v>
      </c>
      <c r="B6" s="269" t="s">
        <v>275</v>
      </c>
      <c r="C6" s="269" t="s">
        <v>194</v>
      </c>
      <c r="D6" s="269" t="s">
        <v>195</v>
      </c>
      <c r="E6" s="271" t="s">
        <v>196</v>
      </c>
      <c r="F6" s="271" t="s">
        <v>197</v>
      </c>
      <c r="G6" s="271" t="s">
        <v>198</v>
      </c>
      <c r="H6" s="272" t="s">
        <v>199</v>
      </c>
    </row>
    <row r="7" spans="1:11" x14ac:dyDescent="0.25">
      <c r="A7" s="326" t="s">
        <v>200</v>
      </c>
      <c r="B7" s="472">
        <f>'CALCULS MARTINEZ'!D72</f>
        <v>3812</v>
      </c>
      <c r="C7" s="413">
        <f>B7</f>
        <v>3812</v>
      </c>
      <c r="D7" s="413">
        <v>3428</v>
      </c>
      <c r="E7" s="413">
        <f>D7</f>
        <v>3428</v>
      </c>
      <c r="F7" s="414">
        <f>MIN(C7,E7)</f>
        <v>3428</v>
      </c>
      <c r="G7" s="414">
        <f>F7</f>
        <v>3428</v>
      </c>
      <c r="H7" s="415">
        <f>B7-G7</f>
        <v>384</v>
      </c>
    </row>
    <row r="8" spans="1:11" x14ac:dyDescent="0.25">
      <c r="A8" s="326" t="s">
        <v>201</v>
      </c>
      <c r="B8" s="472">
        <f>'CALCULS MARTINEZ'!D64</f>
        <v>3812</v>
      </c>
      <c r="C8" s="413">
        <f>C7+B8</f>
        <v>7624</v>
      </c>
      <c r="D8" s="413">
        <v>3428</v>
      </c>
      <c r="E8" s="413">
        <f>E7+D8</f>
        <v>6856</v>
      </c>
      <c r="F8" s="416">
        <f>MIN(C8,E8)</f>
        <v>6856</v>
      </c>
      <c r="G8" s="414">
        <f>F8-F7</f>
        <v>3428</v>
      </c>
      <c r="H8" s="415">
        <f>B8-G8</f>
        <v>384</v>
      </c>
    </row>
    <row r="9" spans="1:11" s="363" customFormat="1" x14ac:dyDescent="0.25">
      <c r="A9" s="326" t="s">
        <v>202</v>
      </c>
      <c r="B9" s="472">
        <f>'CALCULS MARTINEZ'!D56</f>
        <v>3912</v>
      </c>
      <c r="C9" s="413">
        <f t="shared" ref="C9:C10" si="0">C8+B9</f>
        <v>11536</v>
      </c>
      <c r="D9" s="413">
        <v>3428</v>
      </c>
      <c r="E9" s="413">
        <f>E8+D9</f>
        <v>10284</v>
      </c>
      <c r="F9" s="416">
        <f>MIN(C9,E9)</f>
        <v>10284</v>
      </c>
      <c r="G9" s="414">
        <f>F9-F8</f>
        <v>3428</v>
      </c>
      <c r="H9" s="415">
        <f>B9-G9</f>
        <v>484</v>
      </c>
    </row>
    <row r="10" spans="1:11" s="363" customFormat="1" ht="15.75" thickBot="1" x14ac:dyDescent="0.3">
      <c r="A10" s="373" t="s">
        <v>203</v>
      </c>
      <c r="B10" s="473">
        <f>'CALCULS MARTINEZ'!D48</f>
        <v>9411.8461538461524</v>
      </c>
      <c r="C10" s="413">
        <f t="shared" si="0"/>
        <v>20947.846153846152</v>
      </c>
      <c r="D10" s="413">
        <v>3428</v>
      </c>
      <c r="E10" s="417">
        <f>E9+D10</f>
        <v>13712</v>
      </c>
      <c r="F10" s="418">
        <f>MIN(C10,E10)</f>
        <v>13712</v>
      </c>
      <c r="G10" s="419">
        <f>F10-F9</f>
        <v>3428</v>
      </c>
      <c r="H10" s="415">
        <f>B10-G10</f>
        <v>5983.8461538461524</v>
      </c>
    </row>
    <row r="11" spans="1:11" s="363" customFormat="1" x14ac:dyDescent="0.25">
      <c r="A11" s="364"/>
      <c r="B11" s="365"/>
      <c r="C11" s="366"/>
      <c r="D11" s="366"/>
      <c r="F11" s="363" t="s">
        <v>279</v>
      </c>
    </row>
    <row r="12" spans="1:11" hidden="1" x14ac:dyDescent="0.25"/>
    <row r="13" spans="1:11" ht="23.25" hidden="1" x14ac:dyDescent="0.25">
      <c r="A13" s="329" t="s">
        <v>205</v>
      </c>
      <c r="B13" s="322"/>
      <c r="C13" s="322"/>
      <c r="D13" s="322"/>
      <c r="E13" s="322"/>
      <c r="F13" s="322"/>
      <c r="G13" s="322"/>
      <c r="H13" s="322"/>
    </row>
    <row r="14" spans="1:11" hidden="1" x14ac:dyDescent="0.25"/>
    <row r="15" spans="1:11" ht="15.75" hidden="1" thickBot="1" x14ac:dyDescent="0.3"/>
    <row r="16" spans="1:11" ht="45" hidden="1" x14ac:dyDescent="0.25">
      <c r="A16" s="330"/>
      <c r="B16" s="331" t="s">
        <v>145</v>
      </c>
      <c r="C16" s="331" t="s">
        <v>194</v>
      </c>
      <c r="D16" s="332" t="s">
        <v>206</v>
      </c>
      <c r="E16" s="332" t="s">
        <v>171</v>
      </c>
      <c r="F16" s="332" t="s">
        <v>207</v>
      </c>
      <c r="G16" s="332" t="s">
        <v>208</v>
      </c>
      <c r="H16" s="271" t="s">
        <v>209</v>
      </c>
      <c r="I16" s="332" t="s">
        <v>210</v>
      </c>
      <c r="J16" s="333" t="s">
        <v>211</v>
      </c>
      <c r="K16" s="334" t="s">
        <v>212</v>
      </c>
    </row>
    <row r="17" spans="1:11" hidden="1" x14ac:dyDescent="0.25">
      <c r="A17" s="326" t="s">
        <v>200</v>
      </c>
      <c r="B17" s="335" t="e">
        <f>#REF!</f>
        <v>#REF!</v>
      </c>
      <c r="C17" s="335" t="e">
        <f>B17</f>
        <v>#REF!</v>
      </c>
      <c r="D17" s="336" t="e">
        <f>+B17</f>
        <v>#REF!</v>
      </c>
      <c r="E17" s="337">
        <v>1603.12</v>
      </c>
      <c r="F17" s="335">
        <f t="shared" ref="F17:F20" si="1">2.5*E17</f>
        <v>4007.7999999999997</v>
      </c>
      <c r="G17" s="335">
        <f>F17</f>
        <v>4007.7999999999997</v>
      </c>
      <c r="H17" s="34" t="e">
        <f t="shared" ref="H17" si="2">IF(C17&gt;G17,"OUI","")</f>
        <v>#REF!</v>
      </c>
      <c r="I17" s="338" t="e">
        <f>IF(H17="OUI",C17,0)</f>
        <v>#REF!</v>
      </c>
      <c r="J17" s="336" t="e">
        <f>I17</f>
        <v>#REF!</v>
      </c>
      <c r="K17" s="339" t="e">
        <f>(D17*7%)+(J17*6%)</f>
        <v>#REF!</v>
      </c>
    </row>
    <row r="18" spans="1:11" hidden="1" x14ac:dyDescent="0.25">
      <c r="A18" s="326" t="s">
        <v>201</v>
      </c>
      <c r="B18" s="335" t="e">
        <f>#REF!</f>
        <v>#REF!</v>
      </c>
      <c r="C18" s="335" t="e">
        <f>C17+B18</f>
        <v>#REF!</v>
      </c>
      <c r="D18" s="336" t="e">
        <f t="shared" ref="D18:D20" si="3">+B18</f>
        <v>#REF!</v>
      </c>
      <c r="E18" s="337">
        <v>1603.12</v>
      </c>
      <c r="F18" s="335">
        <f t="shared" si="1"/>
        <v>4007.7999999999997</v>
      </c>
      <c r="G18" s="335">
        <f t="shared" ref="G18:G20" si="4">G17+F18</f>
        <v>8015.5999999999995</v>
      </c>
      <c r="H18" s="34" t="e">
        <f>IF(C18&gt;G18,"OUI","")</f>
        <v>#REF!</v>
      </c>
      <c r="I18" s="338" t="e">
        <f>IF(H18="OUI",C18,0)</f>
        <v>#REF!</v>
      </c>
      <c r="J18" s="336" t="e">
        <f>I18-I17</f>
        <v>#REF!</v>
      </c>
      <c r="K18" s="339" t="e">
        <f t="shared" ref="K18:K20" si="5">(D18*7%)+(J18*6%)</f>
        <v>#REF!</v>
      </c>
    </row>
    <row r="19" spans="1:11" s="363" customFormat="1" hidden="1" x14ac:dyDescent="0.25">
      <c r="A19" s="326" t="s">
        <v>202</v>
      </c>
      <c r="B19" s="335" t="e">
        <f>#REF!</f>
        <v>#REF!</v>
      </c>
      <c r="C19" s="335" t="e">
        <f t="shared" ref="C19:C20" si="6">C18+B19</f>
        <v>#REF!</v>
      </c>
      <c r="D19" s="336" t="e">
        <f t="shared" si="3"/>
        <v>#REF!</v>
      </c>
      <c r="E19" s="337">
        <v>1603.12</v>
      </c>
      <c r="F19" s="335">
        <f t="shared" si="1"/>
        <v>4007.7999999999997</v>
      </c>
      <c r="G19" s="335">
        <f t="shared" si="4"/>
        <v>12023.4</v>
      </c>
      <c r="H19" s="34" t="e">
        <f t="shared" ref="H19:H20" si="7">IF(C19&gt;G19,"OUI","")</f>
        <v>#REF!</v>
      </c>
      <c r="I19" s="338" t="e">
        <f t="shared" ref="I19:I20" si="8">IF(H19="OUI",C19,0)</f>
        <v>#REF!</v>
      </c>
      <c r="J19" s="336" t="e">
        <f t="shared" ref="J19:J20" si="9">I19-I18</f>
        <v>#REF!</v>
      </c>
      <c r="K19" s="339" t="e">
        <f t="shared" si="5"/>
        <v>#REF!</v>
      </c>
    </row>
    <row r="20" spans="1:11" s="363" customFormat="1" ht="15.75" hidden="1" thickBot="1" x14ac:dyDescent="0.3">
      <c r="A20" s="373" t="s">
        <v>203</v>
      </c>
      <c r="B20" s="335" t="e">
        <f>#REF!</f>
        <v>#REF!</v>
      </c>
      <c r="C20" s="374" t="e">
        <f t="shared" si="6"/>
        <v>#REF!</v>
      </c>
      <c r="D20" s="378" t="e">
        <f t="shared" si="3"/>
        <v>#REF!</v>
      </c>
      <c r="E20" s="403">
        <v>1603.12</v>
      </c>
      <c r="F20" s="374">
        <f t="shared" si="1"/>
        <v>4007.7999999999997</v>
      </c>
      <c r="G20" s="374">
        <f t="shared" si="4"/>
        <v>16031.199999999999</v>
      </c>
      <c r="H20" s="404" t="e">
        <f t="shared" si="7"/>
        <v>#REF!</v>
      </c>
      <c r="I20" s="405" t="e">
        <f t="shared" si="8"/>
        <v>#REF!</v>
      </c>
      <c r="J20" s="378" t="e">
        <f t="shared" si="9"/>
        <v>#REF!</v>
      </c>
      <c r="K20" s="406" t="e">
        <f t="shared" si="5"/>
        <v>#REF!</v>
      </c>
    </row>
    <row r="21" spans="1:11" s="363" customFormat="1" hidden="1" x14ac:dyDescent="0.25">
      <c r="A21" s="364"/>
      <c r="B21" s="367"/>
      <c r="C21" s="367"/>
      <c r="D21" s="368"/>
      <c r="E21" s="369"/>
      <c r="F21" s="367"/>
      <c r="G21" s="367"/>
      <c r="H21" s="370"/>
      <c r="I21" s="371"/>
      <c r="J21" s="368"/>
    </row>
    <row r="22" spans="1:11" hidden="1" x14ac:dyDescent="0.25"/>
    <row r="23" spans="1:11" ht="23.25" hidden="1" x14ac:dyDescent="0.25">
      <c r="A23" s="329" t="s">
        <v>213</v>
      </c>
      <c r="B23" s="322"/>
      <c r="C23" s="322"/>
      <c r="D23" s="322"/>
      <c r="E23" s="322"/>
      <c r="F23" s="322"/>
      <c r="G23" s="322"/>
      <c r="H23" s="322"/>
    </row>
    <row r="24" spans="1:11" hidden="1" x14ac:dyDescent="0.25"/>
    <row r="25" spans="1:11" ht="15.75" hidden="1" thickBot="1" x14ac:dyDescent="0.3"/>
    <row r="26" spans="1:11" s="340" customFormat="1" ht="45" hidden="1" x14ac:dyDescent="0.25">
      <c r="A26" s="330"/>
      <c r="B26" s="331" t="s">
        <v>145</v>
      </c>
      <c r="C26" s="331" t="s">
        <v>194</v>
      </c>
      <c r="D26" s="332" t="s">
        <v>214</v>
      </c>
      <c r="E26" s="332" t="s">
        <v>171</v>
      </c>
      <c r="F26" s="332" t="s">
        <v>215</v>
      </c>
      <c r="G26" s="332" t="s">
        <v>216</v>
      </c>
      <c r="H26" s="271" t="s">
        <v>217</v>
      </c>
      <c r="I26" s="332" t="s">
        <v>218</v>
      </c>
      <c r="J26" s="333" t="s">
        <v>219</v>
      </c>
      <c r="K26" s="334" t="s">
        <v>212</v>
      </c>
    </row>
    <row r="27" spans="1:11" ht="21.75" hidden="1" customHeight="1" x14ac:dyDescent="0.25">
      <c r="A27" s="326" t="s">
        <v>200</v>
      </c>
      <c r="B27" s="335" t="e">
        <f>+B17</f>
        <v>#REF!</v>
      </c>
      <c r="C27" s="335" t="e">
        <f>B27</f>
        <v>#REF!</v>
      </c>
      <c r="D27" s="336" t="e">
        <f>+B27</f>
        <v>#REF!</v>
      </c>
      <c r="E27" s="337">
        <v>1603.12</v>
      </c>
      <c r="F27" s="335">
        <f>3.5*E27</f>
        <v>5610.92</v>
      </c>
      <c r="G27" s="335">
        <f>F27</f>
        <v>5610.92</v>
      </c>
      <c r="H27" s="34" t="e">
        <f>IF(C27&gt;G27,"OUI","")</f>
        <v>#REF!</v>
      </c>
      <c r="I27" s="338" t="e">
        <f>IF(H27="OUI",C27,0)</f>
        <v>#REF!</v>
      </c>
      <c r="J27" s="336" t="e">
        <f>I27</f>
        <v>#REF!</v>
      </c>
      <c r="K27" s="339" t="e">
        <f>(D27*3.45%)+(J27*1.8%)</f>
        <v>#REF!</v>
      </c>
    </row>
    <row r="28" spans="1:11" ht="21.75" hidden="1" customHeight="1" x14ac:dyDescent="0.25">
      <c r="A28" s="326" t="s">
        <v>201</v>
      </c>
      <c r="B28" s="335" t="e">
        <f>+B18</f>
        <v>#REF!</v>
      </c>
      <c r="C28" s="335" t="e">
        <f>C27+B28</f>
        <v>#REF!</v>
      </c>
      <c r="D28" s="336" t="e">
        <f t="shared" ref="D28:D30" si="10">B28</f>
        <v>#REF!</v>
      </c>
      <c r="E28" s="337">
        <v>1603.12</v>
      </c>
      <c r="F28" s="335">
        <f t="shared" ref="F28:F30" si="11">3.5*E28</f>
        <v>5610.92</v>
      </c>
      <c r="G28" s="335">
        <f t="shared" ref="G28:G30" si="12">G27+F28</f>
        <v>11221.84</v>
      </c>
      <c r="H28" s="34" t="e">
        <f t="shared" ref="H28:H30" si="13">IF(C28&gt;G28,"OUI","")</f>
        <v>#REF!</v>
      </c>
      <c r="I28" s="338" t="e">
        <f>IF(H28="OUI",C28,0)</f>
        <v>#REF!</v>
      </c>
      <c r="J28" s="336" t="e">
        <f>I28-I27</f>
        <v>#REF!</v>
      </c>
      <c r="K28" s="339" t="e">
        <f t="shared" ref="K28:K30" si="14">(D28*3.45%)+(J28*1.8%)</f>
        <v>#REF!</v>
      </c>
    </row>
    <row r="29" spans="1:11" s="363" customFormat="1" ht="21.75" hidden="1" customHeight="1" x14ac:dyDescent="0.25">
      <c r="A29" s="326" t="s">
        <v>202</v>
      </c>
      <c r="B29" s="335" t="e">
        <f>+B19</f>
        <v>#REF!</v>
      </c>
      <c r="C29" s="335" t="e">
        <f t="shared" ref="C29:C30" si="15">C28+B29</f>
        <v>#REF!</v>
      </c>
      <c r="D29" s="336" t="e">
        <f t="shared" si="10"/>
        <v>#REF!</v>
      </c>
      <c r="E29" s="337">
        <v>1603.12</v>
      </c>
      <c r="F29" s="335">
        <f t="shared" si="11"/>
        <v>5610.92</v>
      </c>
      <c r="G29" s="335">
        <f t="shared" si="12"/>
        <v>16832.760000000002</v>
      </c>
      <c r="H29" s="34" t="e">
        <f t="shared" si="13"/>
        <v>#REF!</v>
      </c>
      <c r="I29" s="338" t="e">
        <f t="shared" ref="I29:I30" si="16">IF(H29="OUI",C29,0)</f>
        <v>#REF!</v>
      </c>
      <c r="J29" s="336" t="e">
        <f t="shared" ref="J29:J30" si="17">I29-I28</f>
        <v>#REF!</v>
      </c>
      <c r="K29" s="339" t="e">
        <f t="shared" si="14"/>
        <v>#REF!</v>
      </c>
    </row>
    <row r="30" spans="1:11" s="363" customFormat="1" ht="21.75" hidden="1" customHeight="1" thickBot="1" x14ac:dyDescent="0.3">
      <c r="A30" s="373" t="s">
        <v>203</v>
      </c>
      <c r="B30" s="374" t="e">
        <f>+B20</f>
        <v>#REF!</v>
      </c>
      <c r="C30" s="374" t="e">
        <f t="shared" si="15"/>
        <v>#REF!</v>
      </c>
      <c r="D30" s="378" t="e">
        <f t="shared" si="10"/>
        <v>#REF!</v>
      </c>
      <c r="E30" s="403">
        <v>1603.12</v>
      </c>
      <c r="F30" s="374">
        <f t="shared" si="11"/>
        <v>5610.92</v>
      </c>
      <c r="G30" s="374">
        <f t="shared" si="12"/>
        <v>22443.68</v>
      </c>
      <c r="H30" s="404" t="e">
        <f t="shared" si="13"/>
        <v>#REF!</v>
      </c>
      <c r="I30" s="405" t="e">
        <f t="shared" si="16"/>
        <v>#REF!</v>
      </c>
      <c r="J30" s="378" t="e">
        <f t="shared" si="17"/>
        <v>#REF!</v>
      </c>
      <c r="K30" s="406" t="e">
        <f t="shared" si="14"/>
        <v>#REF!</v>
      </c>
    </row>
    <row r="31" spans="1:11" s="363" customFormat="1" ht="21.75" hidden="1" customHeight="1" x14ac:dyDescent="0.25">
      <c r="A31" s="364"/>
      <c r="B31" s="367"/>
      <c r="C31" s="367"/>
      <c r="D31" s="368"/>
      <c r="E31" s="372"/>
      <c r="F31" s="367"/>
      <c r="G31" s="367"/>
      <c r="H31" s="370"/>
      <c r="I31" s="371"/>
    </row>
    <row r="32" spans="1:11" ht="21.75" hidden="1" thickBot="1" x14ac:dyDescent="0.3">
      <c r="A32" s="553" t="s">
        <v>220</v>
      </c>
      <c r="B32" s="554"/>
      <c r="C32" s="554"/>
      <c r="D32" s="554"/>
      <c r="E32" s="554"/>
      <c r="F32" s="554"/>
      <c r="G32" s="554"/>
      <c r="H32" s="554"/>
      <c r="I32" s="341"/>
    </row>
    <row r="33" spans="1:9" ht="21" hidden="1" customHeight="1" thickBot="1" x14ac:dyDescent="0.3">
      <c r="A33" s="266" t="s">
        <v>167</v>
      </c>
      <c r="B33" s="342">
        <v>0.31950000000000001</v>
      </c>
    </row>
    <row r="34" spans="1:9" ht="15.75" hidden="1" thickBot="1" x14ac:dyDescent="0.3"/>
    <row r="35" spans="1:9" ht="30" hidden="1" x14ac:dyDescent="0.25">
      <c r="A35" s="3" t="s">
        <v>168</v>
      </c>
      <c r="B35" s="269" t="s">
        <v>169</v>
      </c>
      <c r="C35" s="269" t="s">
        <v>170</v>
      </c>
      <c r="D35" s="332" t="s">
        <v>171</v>
      </c>
      <c r="E35" s="271" t="s">
        <v>172</v>
      </c>
      <c r="F35" s="271" t="s">
        <v>173</v>
      </c>
      <c r="G35" s="271" t="s">
        <v>174</v>
      </c>
      <c r="H35" s="271" t="s">
        <v>175</v>
      </c>
      <c r="I35" s="1" t="s">
        <v>221</v>
      </c>
    </row>
    <row r="36" spans="1:9" ht="21" hidden="1" customHeight="1" x14ac:dyDescent="0.25">
      <c r="A36" s="326" t="s">
        <v>200</v>
      </c>
      <c r="B36" s="343">
        <v>1700</v>
      </c>
      <c r="C36" s="344">
        <f>B36</f>
        <v>1700</v>
      </c>
      <c r="D36" s="337">
        <v>1603.12</v>
      </c>
      <c r="E36" s="343">
        <f>+D36</f>
        <v>1603.12</v>
      </c>
      <c r="F36" s="345">
        <f>ROUND(($B$33/0.6)*((1.6*E36/C36)-1),4)</f>
        <v>0.27089999999999997</v>
      </c>
      <c r="G36" s="344">
        <f>IF(F36&gt;0,F36*C36,0)</f>
        <v>460.53</v>
      </c>
      <c r="H36" s="346">
        <f>G36</f>
        <v>460.53</v>
      </c>
      <c r="I36" s="5" t="str">
        <f>IF(F36&gt;$B$33,"ERREUR","")</f>
        <v/>
      </c>
    </row>
    <row r="37" spans="1:9" ht="21" hidden="1" customHeight="1" x14ac:dyDescent="0.25">
      <c r="A37" s="326" t="s">
        <v>201</v>
      </c>
      <c r="B37" s="343">
        <v>3000</v>
      </c>
      <c r="C37" s="344">
        <f>C36+B37</f>
        <v>4700</v>
      </c>
      <c r="D37" s="347">
        <f>156.67*10.57</f>
        <v>1656.0019</v>
      </c>
      <c r="E37" s="343">
        <f>D37+E36</f>
        <v>3259.1219000000001</v>
      </c>
      <c r="F37" s="345">
        <f>ROUND(($B$33/0.6)*((1.6*E37/C37)-1),4)</f>
        <v>5.8299999999999998E-2</v>
      </c>
      <c r="G37" s="344">
        <f t="shared" ref="G37:G40" si="18">IF(F37&gt;0,F37*C37,0)</f>
        <v>274.01</v>
      </c>
      <c r="H37" s="346">
        <f>G37-G36</f>
        <v>-186.51999999999998</v>
      </c>
      <c r="I37" s="5" t="str">
        <f>IF(F37&gt;$B$33,"ERREUR","")</f>
        <v/>
      </c>
    </row>
    <row r="38" spans="1:9" ht="21" hidden="1" customHeight="1" x14ac:dyDescent="0.25">
      <c r="A38" s="326" t="s">
        <v>202</v>
      </c>
      <c r="B38" s="343"/>
      <c r="C38" s="344">
        <f t="shared" ref="C38:C40" si="19">C37+B38</f>
        <v>4700</v>
      </c>
      <c r="D38" s="337">
        <v>1603.12</v>
      </c>
      <c r="E38" s="343">
        <f t="shared" ref="E38:E40" si="20">D38+E37</f>
        <v>4862.2419</v>
      </c>
      <c r="F38" s="345">
        <f>ROUND(($B$33/0.6)*((1.6*E38/C38)-1),4)</f>
        <v>0.34889999999999999</v>
      </c>
      <c r="G38" s="348">
        <f t="shared" si="18"/>
        <v>1639.83</v>
      </c>
      <c r="H38" s="346">
        <f t="shared" ref="H38:H40" si="21">G38-G37</f>
        <v>1365.82</v>
      </c>
      <c r="I38" s="5" t="str">
        <f>IF(F38&gt;$B$33,"ERREUR","")</f>
        <v>ERREUR</v>
      </c>
    </row>
    <row r="39" spans="1:9" ht="21" hidden="1" customHeight="1" x14ac:dyDescent="0.25">
      <c r="A39" s="326" t="s">
        <v>203</v>
      </c>
      <c r="B39" s="343"/>
      <c r="C39" s="344">
        <f t="shared" si="19"/>
        <v>4700</v>
      </c>
      <c r="D39" s="337">
        <v>1603.12</v>
      </c>
      <c r="E39" s="343">
        <f t="shared" si="20"/>
        <v>6465.3618999999999</v>
      </c>
      <c r="F39" s="345">
        <f>ROUND(($B$33/0.6)*((1.6*E39/C39)-1),4)</f>
        <v>0.63949999999999996</v>
      </c>
      <c r="G39" s="344">
        <f t="shared" si="18"/>
        <v>3005.6499999999996</v>
      </c>
      <c r="H39" s="346">
        <f t="shared" si="21"/>
        <v>1365.8199999999997</v>
      </c>
      <c r="I39" s="5" t="str">
        <f>IF(F39&gt;$B$33,"ERREUR","")</f>
        <v>ERREUR</v>
      </c>
    </row>
    <row r="40" spans="1:9" ht="21" hidden="1" customHeight="1" x14ac:dyDescent="0.25">
      <c r="A40" s="326" t="s">
        <v>204</v>
      </c>
      <c r="B40" s="343"/>
      <c r="C40" s="344">
        <f t="shared" si="19"/>
        <v>4700</v>
      </c>
      <c r="D40" s="337">
        <v>1603.12</v>
      </c>
      <c r="E40" s="343">
        <f t="shared" si="20"/>
        <v>8068.4818999999998</v>
      </c>
      <c r="F40" s="345">
        <f>ROUND(($B$33/0.6)*((1.6*E40/C40)-1),4)</f>
        <v>0.93010000000000004</v>
      </c>
      <c r="G40" s="344">
        <f t="shared" si="18"/>
        <v>4371.47</v>
      </c>
      <c r="H40" s="346">
        <f t="shared" si="21"/>
        <v>1365.8200000000006</v>
      </c>
      <c r="I40" s="5" t="str">
        <f>IF(F40&gt;$B$33,"ERREUR","")</f>
        <v>ERREUR</v>
      </c>
    </row>
    <row r="42" spans="1:9" ht="23.25" x14ac:dyDescent="0.25">
      <c r="A42" s="321" t="s">
        <v>222</v>
      </c>
      <c r="B42" s="322"/>
      <c r="C42" s="322"/>
      <c r="D42" s="322"/>
      <c r="E42" s="322"/>
      <c r="F42" s="322"/>
    </row>
    <row r="44" spans="1:9" ht="18.75" x14ac:dyDescent="0.25">
      <c r="A44" s="323" t="s">
        <v>193</v>
      </c>
      <c r="D44" s="324">
        <v>3428</v>
      </c>
    </row>
    <row r="45" spans="1:9" ht="15.75" thickBot="1" x14ac:dyDescent="0.3"/>
    <row r="46" spans="1:9" ht="30" x14ac:dyDescent="0.25">
      <c r="A46" s="325" t="s">
        <v>168</v>
      </c>
      <c r="B46" s="269" t="s">
        <v>145</v>
      </c>
      <c r="C46" s="269" t="s">
        <v>194</v>
      </c>
      <c r="D46" s="269" t="s">
        <v>195</v>
      </c>
      <c r="E46" s="271" t="s">
        <v>196</v>
      </c>
      <c r="F46" s="269" t="s">
        <v>223</v>
      </c>
      <c r="G46" s="271" t="s">
        <v>224</v>
      </c>
      <c r="H46" s="272" t="s">
        <v>234</v>
      </c>
    </row>
    <row r="47" spans="1:9" ht="26.25" customHeight="1" x14ac:dyDescent="0.25">
      <c r="A47" s="326" t="s">
        <v>200</v>
      </c>
      <c r="B47" s="335">
        <f>B7</f>
        <v>3812</v>
      </c>
      <c r="C47" s="335">
        <f>B47</f>
        <v>3812</v>
      </c>
      <c r="D47" s="328">
        <v>3428</v>
      </c>
      <c r="E47" s="349">
        <f>D47</f>
        <v>3428</v>
      </c>
      <c r="F47" s="350" t="str">
        <f>IF(E47&gt;C47,"","OUI")</f>
        <v>OUI</v>
      </c>
      <c r="G47" s="336">
        <f t="shared" ref="G47:G48" si="22">IF(C47&gt;E47,C47,0)</f>
        <v>3812</v>
      </c>
      <c r="H47" s="351">
        <f>G47</f>
        <v>3812</v>
      </c>
    </row>
    <row r="48" spans="1:9" ht="26.25" customHeight="1" x14ac:dyDescent="0.25">
      <c r="A48" s="326" t="s">
        <v>201</v>
      </c>
      <c r="B48" s="335">
        <f t="shared" ref="B48:B50" si="23">B8</f>
        <v>3812</v>
      </c>
      <c r="C48" s="335">
        <f>C47+B48</f>
        <v>7624</v>
      </c>
      <c r="D48" s="328">
        <v>3428</v>
      </c>
      <c r="E48" s="349">
        <f>E47+D48</f>
        <v>6856</v>
      </c>
      <c r="F48" s="350" t="str">
        <f t="shared" ref="F48" si="24">IF(E48&gt;C48,"","OUI")</f>
        <v>OUI</v>
      </c>
      <c r="G48" s="336">
        <f t="shared" si="22"/>
        <v>7624</v>
      </c>
      <c r="H48" s="351">
        <f>G48-G47</f>
        <v>3812</v>
      </c>
    </row>
    <row r="49" spans="1:11" ht="26.25" customHeight="1" x14ac:dyDescent="0.25">
      <c r="A49" s="326" t="s">
        <v>202</v>
      </c>
      <c r="B49" s="335">
        <f t="shared" si="23"/>
        <v>3912</v>
      </c>
      <c r="C49" s="335">
        <f t="shared" ref="C49:C50" si="25">C48+B49</f>
        <v>11536</v>
      </c>
      <c r="D49" s="328">
        <v>3428</v>
      </c>
      <c r="E49" s="349">
        <f t="shared" ref="E49:E50" si="26">E48+D49</f>
        <v>10284</v>
      </c>
      <c r="F49" s="350" t="str">
        <f t="shared" ref="F49:F50" si="27">IF(E49&gt;C49,"","OUI")</f>
        <v>OUI</v>
      </c>
      <c r="G49" s="336">
        <f t="shared" ref="G49:G50" si="28">IF(C49&gt;E49,C49,0)</f>
        <v>11536</v>
      </c>
      <c r="H49" s="351">
        <f t="shared" ref="H49:H50" si="29">G49-G48</f>
        <v>3912</v>
      </c>
    </row>
    <row r="50" spans="1:11" ht="26.25" customHeight="1" thickBot="1" x14ac:dyDescent="0.3">
      <c r="A50" s="373" t="s">
        <v>203</v>
      </c>
      <c r="B50" s="335">
        <f t="shared" si="23"/>
        <v>9411.8461538461524</v>
      </c>
      <c r="C50" s="374">
        <f t="shared" si="25"/>
        <v>20947.846153846152</v>
      </c>
      <c r="D50" s="375">
        <f>D10</f>
        <v>3428</v>
      </c>
      <c r="E50" s="376">
        <f t="shared" si="26"/>
        <v>13712</v>
      </c>
      <c r="F50" s="377" t="str">
        <f t="shared" si="27"/>
        <v>OUI</v>
      </c>
      <c r="G50" s="378">
        <f t="shared" si="28"/>
        <v>20947.846153846152</v>
      </c>
      <c r="H50" s="379">
        <f t="shared" si="29"/>
        <v>9411.8461538461524</v>
      </c>
    </row>
    <row r="52" spans="1:11" s="491" customFormat="1" ht="23.25" x14ac:dyDescent="0.25">
      <c r="A52" s="329" t="s">
        <v>205</v>
      </c>
      <c r="B52" s="322"/>
      <c r="C52" s="322"/>
      <c r="D52" s="322"/>
      <c r="E52" s="322"/>
      <c r="F52" s="322"/>
      <c r="G52" s="322"/>
      <c r="H52" s="322"/>
    </row>
    <row r="53" spans="1:11" s="491" customFormat="1" x14ac:dyDescent="0.25"/>
    <row r="54" spans="1:11" s="491" customFormat="1" ht="15.75" thickBot="1" x14ac:dyDescent="0.3"/>
    <row r="55" spans="1:11" s="491" customFormat="1" ht="45" x14ac:dyDescent="0.25">
      <c r="A55" s="330"/>
      <c r="B55" s="331" t="s">
        <v>145</v>
      </c>
      <c r="C55" s="331" t="s">
        <v>194</v>
      </c>
      <c r="D55" s="332" t="s">
        <v>206</v>
      </c>
      <c r="E55" s="332" t="s">
        <v>171</v>
      </c>
      <c r="F55" s="332" t="s">
        <v>207</v>
      </c>
      <c r="G55" s="332" t="s">
        <v>208</v>
      </c>
      <c r="H55" s="271" t="s">
        <v>209</v>
      </c>
      <c r="I55" s="332" t="s">
        <v>210</v>
      </c>
      <c r="J55" s="333" t="s">
        <v>211</v>
      </c>
      <c r="K55" s="334" t="s">
        <v>212</v>
      </c>
    </row>
    <row r="56" spans="1:11" s="491" customFormat="1" x14ac:dyDescent="0.25">
      <c r="A56" s="326" t="s">
        <v>200</v>
      </c>
      <c r="B56" s="335">
        <f>B47</f>
        <v>3812</v>
      </c>
      <c r="C56" s="335">
        <f>B56</f>
        <v>3812</v>
      </c>
      <c r="D56" s="336">
        <f>+B56</f>
        <v>3812</v>
      </c>
      <c r="E56" s="337">
        <v>1603.12</v>
      </c>
      <c r="F56" s="335">
        <f t="shared" ref="F56:F59" si="30">2.5*E56</f>
        <v>4007.7999999999997</v>
      </c>
      <c r="G56" s="335">
        <f>F56</f>
        <v>4007.7999999999997</v>
      </c>
      <c r="H56" s="34" t="str">
        <f t="shared" ref="H56" si="31">IF(C56&gt;G56,"OUI","")</f>
        <v/>
      </c>
      <c r="I56" s="338">
        <f>IF(H56="OUI",C56,0)</f>
        <v>0</v>
      </c>
      <c r="J56" s="336">
        <f>I56</f>
        <v>0</v>
      </c>
      <c r="K56" s="339">
        <f>(D56*7%)+(J56*6%)</f>
        <v>266.84000000000003</v>
      </c>
    </row>
    <row r="57" spans="1:11" s="491" customFormat="1" x14ac:dyDescent="0.25">
      <c r="A57" s="326" t="s">
        <v>201</v>
      </c>
      <c r="B57" s="335">
        <f t="shared" ref="B57:B59" si="32">B48</f>
        <v>3812</v>
      </c>
      <c r="C57" s="335">
        <f>C56+B57</f>
        <v>7624</v>
      </c>
      <c r="D57" s="336">
        <f t="shared" ref="D57:D59" si="33">+B57</f>
        <v>3812</v>
      </c>
      <c r="E57" s="337">
        <v>1603.12</v>
      </c>
      <c r="F57" s="335">
        <f t="shared" si="30"/>
        <v>4007.7999999999997</v>
      </c>
      <c r="G57" s="335">
        <f t="shared" ref="G57:G59" si="34">G56+F57</f>
        <v>8015.5999999999995</v>
      </c>
      <c r="H57" s="34" t="str">
        <f>IF(C57&gt;G57,"OUI","")</f>
        <v/>
      </c>
      <c r="I57" s="338">
        <f>IF(H57="OUI",C57,0)</f>
        <v>0</v>
      </c>
      <c r="J57" s="336">
        <f>I57-I56</f>
        <v>0</v>
      </c>
      <c r="K57" s="339">
        <f t="shared" ref="K57:K59" si="35">(D57*7%)+(J57*6%)</f>
        <v>266.84000000000003</v>
      </c>
    </row>
    <row r="58" spans="1:11" s="491" customFormat="1" x14ac:dyDescent="0.25">
      <c r="A58" s="326" t="s">
        <v>202</v>
      </c>
      <c r="B58" s="335">
        <f t="shared" si="32"/>
        <v>3912</v>
      </c>
      <c r="C58" s="335">
        <f t="shared" ref="C58:C59" si="36">C57+B58</f>
        <v>11536</v>
      </c>
      <c r="D58" s="336">
        <f t="shared" si="33"/>
        <v>3912</v>
      </c>
      <c r="E58" s="337">
        <v>1603.12</v>
      </c>
      <c r="F58" s="335">
        <f t="shared" si="30"/>
        <v>4007.7999999999997</v>
      </c>
      <c r="G58" s="335">
        <f t="shared" si="34"/>
        <v>12023.4</v>
      </c>
      <c r="H58" s="34" t="str">
        <f t="shared" ref="H58:H59" si="37">IF(C58&gt;G58,"OUI","")</f>
        <v/>
      </c>
      <c r="I58" s="338">
        <f t="shared" ref="I58:I59" si="38">IF(H58="OUI",C58,0)</f>
        <v>0</v>
      </c>
      <c r="J58" s="336">
        <f t="shared" ref="J58:J59" si="39">I58-I57</f>
        <v>0</v>
      </c>
      <c r="K58" s="339">
        <f t="shared" si="35"/>
        <v>273.84000000000003</v>
      </c>
    </row>
    <row r="59" spans="1:11" s="491" customFormat="1" x14ac:dyDescent="0.25">
      <c r="A59" s="326" t="s">
        <v>203</v>
      </c>
      <c r="B59" s="335">
        <f t="shared" si="32"/>
        <v>9411.8461538461524</v>
      </c>
      <c r="C59" s="335">
        <f t="shared" si="36"/>
        <v>20947.846153846152</v>
      </c>
      <c r="D59" s="336">
        <f t="shared" si="33"/>
        <v>9411.8461538461524</v>
      </c>
      <c r="E59" s="337">
        <v>1603.12</v>
      </c>
      <c r="F59" s="335">
        <f t="shared" si="30"/>
        <v>4007.7999999999997</v>
      </c>
      <c r="G59" s="335">
        <f t="shared" si="34"/>
        <v>16031.199999999999</v>
      </c>
      <c r="H59" s="34" t="str">
        <f t="shared" si="37"/>
        <v>OUI</v>
      </c>
      <c r="I59" s="338">
        <f t="shared" si="38"/>
        <v>20947.846153846152</v>
      </c>
      <c r="J59" s="336">
        <f t="shared" si="39"/>
        <v>20947.846153846152</v>
      </c>
      <c r="K59" s="339">
        <f t="shared" si="35"/>
        <v>1915.6999999999998</v>
      </c>
    </row>
  </sheetData>
  <mergeCells count="1">
    <mergeCell ref="A32:H32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94F67-966E-4136-8D07-96AEB33EBC37}">
  <sheetPr>
    <tabColor rgb="FFFF0000"/>
  </sheetPr>
  <dimension ref="B1:P166"/>
  <sheetViews>
    <sheetView topLeftCell="C16" zoomScaleNormal="100" workbookViewId="0">
      <selection activeCell="G65" sqref="G65"/>
    </sheetView>
  </sheetViews>
  <sheetFormatPr baseColWidth="10" defaultRowHeight="15" x14ac:dyDescent="0.25"/>
  <cols>
    <col min="1" max="1" width="11.42578125" style="9"/>
    <col min="2" max="2" width="63.5703125" style="9" customWidth="1"/>
    <col min="3" max="3" width="15" style="9" bestFit="1" customWidth="1"/>
    <col min="4" max="4" width="17.140625" style="9" bestFit="1" customWidth="1"/>
    <col min="5" max="5" width="28" style="9" customWidth="1"/>
    <col min="6" max="6" width="12.5703125" style="9" customWidth="1"/>
    <col min="7" max="7" width="18.28515625" style="9" customWidth="1"/>
    <col min="8" max="8" width="11.42578125" style="9"/>
    <col min="9" max="9" width="52.140625" style="9" bestFit="1" customWidth="1"/>
    <col min="10" max="10" width="12.5703125" style="9" bestFit="1" customWidth="1"/>
    <col min="11" max="11" width="12" style="9" bestFit="1" customWidth="1"/>
    <col min="12" max="12" width="11.42578125" style="9"/>
    <col min="13" max="13" width="12.140625" style="9" bestFit="1" customWidth="1"/>
    <col min="14" max="15" width="12" style="9" bestFit="1" customWidth="1"/>
    <col min="16" max="16384" width="11.42578125" style="9"/>
  </cols>
  <sheetData>
    <row r="1" spans="2:11" ht="23.25" thickBot="1" x14ac:dyDescent="0.3">
      <c r="B1" s="10" t="s">
        <v>34</v>
      </c>
      <c r="C1" s="11"/>
      <c r="D1" s="11"/>
      <c r="E1" s="11"/>
      <c r="F1" s="11"/>
      <c r="G1" s="12"/>
      <c r="I1" s="13" t="s">
        <v>35</v>
      </c>
    </row>
    <row r="2" spans="2:11" ht="15.75" thickBot="1" x14ac:dyDescent="0.3">
      <c r="B2" s="14" t="s">
        <v>36</v>
      </c>
      <c r="C2" s="15"/>
      <c r="D2" s="16"/>
      <c r="E2" s="17" t="s">
        <v>37</v>
      </c>
      <c r="F2" s="15"/>
      <c r="G2" s="16"/>
    </row>
    <row r="3" spans="2:11" x14ac:dyDescent="0.25">
      <c r="B3" s="18" t="s">
        <v>38</v>
      </c>
      <c r="C3" s="19"/>
      <c r="D3" s="20"/>
      <c r="E3" s="21" t="s">
        <v>38</v>
      </c>
      <c r="F3" s="22"/>
      <c r="G3" s="23"/>
      <c r="I3" s="17" t="s">
        <v>11</v>
      </c>
      <c r="J3" s="24">
        <v>3300</v>
      </c>
    </row>
    <row r="4" spans="2:11" x14ac:dyDescent="0.25">
      <c r="B4" s="18" t="s">
        <v>39</v>
      </c>
      <c r="C4" s="19"/>
      <c r="D4" s="20"/>
      <c r="E4" s="21" t="s">
        <v>40</v>
      </c>
      <c r="F4" s="22"/>
      <c r="G4" s="23"/>
      <c r="I4" s="21" t="s">
        <v>41</v>
      </c>
      <c r="J4" s="25">
        <v>151.66999999999999</v>
      </c>
    </row>
    <row r="5" spans="2:11" x14ac:dyDescent="0.25">
      <c r="B5" s="18" t="s">
        <v>42</v>
      </c>
      <c r="C5" s="19"/>
      <c r="D5" s="20"/>
      <c r="E5" s="21" t="s">
        <v>43</v>
      </c>
      <c r="F5" s="22"/>
      <c r="G5" s="23"/>
      <c r="I5" s="21" t="s">
        <v>44</v>
      </c>
      <c r="J5" s="23">
        <v>140</v>
      </c>
    </row>
    <row r="6" spans="2:11" x14ac:dyDescent="0.25">
      <c r="B6" s="18" t="s">
        <v>42</v>
      </c>
      <c r="C6" s="19"/>
      <c r="D6" s="20"/>
      <c r="E6" s="21" t="s">
        <v>45</v>
      </c>
      <c r="F6" s="22"/>
      <c r="G6" s="23"/>
      <c r="I6" s="26" t="s">
        <v>8</v>
      </c>
      <c r="J6" s="27">
        <v>7</v>
      </c>
    </row>
    <row r="7" spans="2:11" x14ac:dyDescent="0.25">
      <c r="B7" s="18" t="s">
        <v>46</v>
      </c>
      <c r="C7" s="19"/>
      <c r="D7" s="20"/>
      <c r="E7" s="21"/>
      <c r="F7" s="22"/>
      <c r="G7" s="23"/>
      <c r="I7" s="21" t="s">
        <v>47</v>
      </c>
      <c r="J7" s="28">
        <v>3.9E-2</v>
      </c>
    </row>
    <row r="8" spans="2:11" x14ac:dyDescent="0.25">
      <c r="B8" s="18" t="s">
        <v>48</v>
      </c>
      <c r="C8" s="19"/>
      <c r="D8" s="20"/>
      <c r="E8" s="21" t="s">
        <v>49</v>
      </c>
      <c r="F8" s="22"/>
      <c r="G8" s="23"/>
      <c r="I8" s="29" t="s">
        <v>50</v>
      </c>
      <c r="J8" s="30"/>
      <c r="K8" s="31"/>
    </row>
    <row r="9" spans="2:11" x14ac:dyDescent="0.25">
      <c r="B9" s="18" t="s">
        <v>52</v>
      </c>
      <c r="C9" s="19"/>
      <c r="D9" s="20"/>
      <c r="E9" s="21" t="s">
        <v>53</v>
      </c>
      <c r="F9" s="32" t="s">
        <v>54</v>
      </c>
      <c r="G9" s="23"/>
      <c r="I9" s="21" t="s">
        <v>55</v>
      </c>
      <c r="J9" s="33">
        <v>10.57</v>
      </c>
    </row>
    <row r="10" spans="2:11" x14ac:dyDescent="0.25">
      <c r="B10" s="18" t="s">
        <v>56</v>
      </c>
      <c r="C10" s="19"/>
      <c r="D10" s="20"/>
      <c r="E10" s="21" t="s">
        <v>57</v>
      </c>
      <c r="F10" s="32"/>
      <c r="G10" s="23"/>
      <c r="I10" s="4" t="s">
        <v>0</v>
      </c>
      <c r="J10" s="34">
        <v>35</v>
      </c>
    </row>
    <row r="11" spans="2:11" x14ac:dyDescent="0.25">
      <c r="B11" s="18" t="s">
        <v>58</v>
      </c>
      <c r="C11" s="19"/>
      <c r="D11" s="20"/>
      <c r="E11" s="21" t="s">
        <v>59</v>
      </c>
      <c r="F11" s="32"/>
      <c r="G11" s="23"/>
      <c r="I11" s="21" t="s">
        <v>60</v>
      </c>
      <c r="J11" s="23"/>
    </row>
    <row r="12" spans="2:11" x14ac:dyDescent="0.25">
      <c r="B12" s="18" t="s">
        <v>61</v>
      </c>
      <c r="C12" s="19">
        <v>4</v>
      </c>
      <c r="D12" s="20"/>
      <c r="E12" s="21" t="s">
        <v>62</v>
      </c>
      <c r="F12" s="35"/>
      <c r="G12" s="36"/>
      <c r="I12" s="21" t="s">
        <v>63</v>
      </c>
      <c r="J12" s="23"/>
    </row>
    <row r="13" spans="2:11" x14ac:dyDescent="0.25">
      <c r="B13" s="18" t="s">
        <v>64</v>
      </c>
      <c r="C13" s="19"/>
      <c r="D13" s="20"/>
      <c r="E13" s="21" t="s">
        <v>65</v>
      </c>
      <c r="F13" s="37"/>
      <c r="G13" s="23"/>
      <c r="I13" s="21" t="s">
        <v>66</v>
      </c>
      <c r="J13" s="23"/>
    </row>
    <row r="14" spans="2:11" x14ac:dyDescent="0.25">
      <c r="B14" s="18"/>
      <c r="C14" s="19"/>
      <c r="D14" s="20"/>
      <c r="E14" s="21" t="s">
        <v>67</v>
      </c>
      <c r="F14" s="22"/>
      <c r="G14" s="23"/>
      <c r="I14" s="21" t="s">
        <v>68</v>
      </c>
      <c r="J14" s="23"/>
    </row>
    <row r="15" spans="2:11" x14ac:dyDescent="0.25">
      <c r="B15" s="21"/>
      <c r="C15" s="19"/>
      <c r="D15" s="20"/>
      <c r="E15" s="21"/>
      <c r="F15" s="22"/>
      <c r="G15" s="23"/>
      <c r="I15" s="21" t="s">
        <v>69</v>
      </c>
      <c r="J15" s="23"/>
    </row>
    <row r="16" spans="2:11" ht="15.75" thickBot="1" x14ac:dyDescent="0.3">
      <c r="B16" s="38"/>
      <c r="C16" s="39"/>
      <c r="D16" s="40"/>
      <c r="E16" s="38"/>
      <c r="F16" s="41"/>
      <c r="G16" s="42"/>
      <c r="I16" s="26" t="s">
        <v>70</v>
      </c>
      <c r="J16" s="23" t="s">
        <v>232</v>
      </c>
    </row>
    <row r="17" spans="2:16" ht="15.75" thickBot="1" x14ac:dyDescent="0.3">
      <c r="B17" s="43" t="s">
        <v>71</v>
      </c>
      <c r="C17" s="567"/>
      <c r="D17" s="568"/>
      <c r="E17" s="44" t="s">
        <v>72</v>
      </c>
      <c r="F17" s="567"/>
      <c r="G17" s="569"/>
      <c r="I17" s="26" t="s">
        <v>73</v>
      </c>
      <c r="J17" s="45">
        <f>'REGUL MARTINEZ'!G10</f>
        <v>3428</v>
      </c>
    </row>
    <row r="18" spans="2:16" ht="20.25" customHeight="1" thickBot="1" x14ac:dyDescent="0.3">
      <c r="B18" s="46" t="s">
        <v>74</v>
      </c>
      <c r="C18" s="47"/>
      <c r="D18" s="47"/>
      <c r="E18" s="47"/>
      <c r="F18" s="47"/>
      <c r="G18" s="48"/>
      <c r="I18" s="26" t="s">
        <v>75</v>
      </c>
      <c r="J18" s="49">
        <f>'REGUL MARTINEZ'!H10</f>
        <v>5983.8461538461524</v>
      </c>
    </row>
    <row r="19" spans="2:16" ht="24" customHeight="1" thickBot="1" x14ac:dyDescent="0.3">
      <c r="B19" s="50" t="s">
        <v>74</v>
      </c>
      <c r="C19" s="51" t="s">
        <v>76</v>
      </c>
      <c r="D19" s="51" t="s">
        <v>77</v>
      </c>
      <c r="E19" s="52" t="s">
        <v>78</v>
      </c>
      <c r="F19" s="53"/>
      <c r="G19" s="53"/>
      <c r="I19" s="21" t="s">
        <v>79</v>
      </c>
      <c r="J19" s="23">
        <v>0.31950000000000001</v>
      </c>
    </row>
    <row r="20" spans="2:16" s="54" customFormat="1" x14ac:dyDescent="0.25">
      <c r="B20" s="17" t="s">
        <v>11</v>
      </c>
      <c r="C20" s="55"/>
      <c r="D20" s="56"/>
      <c r="E20" s="24">
        <f>J3</f>
        <v>3300</v>
      </c>
      <c r="F20" s="57"/>
      <c r="G20" s="58"/>
      <c r="H20" s="9"/>
      <c r="I20" s="59" t="s">
        <v>80</v>
      </c>
      <c r="J20" s="60">
        <v>7.4999999999999997E-2</v>
      </c>
      <c r="K20" s="9"/>
      <c r="L20" s="9"/>
      <c r="M20" s="9"/>
      <c r="N20" s="9"/>
      <c r="O20" s="9"/>
      <c r="P20" s="9"/>
    </row>
    <row r="21" spans="2:16" s="54" customFormat="1" x14ac:dyDescent="0.25">
      <c r="B21" s="61" t="s">
        <v>126</v>
      </c>
      <c r="C21" s="62">
        <f>'CALCULS MARTINEZ'!B46</f>
        <v>5</v>
      </c>
      <c r="D21" s="63">
        <f>'CALCULS MARTINEZ'!C46</f>
        <v>192.6</v>
      </c>
      <c r="E21" s="64">
        <f>D21*C21</f>
        <v>963</v>
      </c>
      <c r="F21" s="65"/>
      <c r="G21" s="66"/>
      <c r="I21" s="21" t="s">
        <v>1</v>
      </c>
      <c r="J21" s="70">
        <v>30</v>
      </c>
      <c r="K21" s="9"/>
      <c r="L21" s="9"/>
      <c r="M21" s="9"/>
      <c r="N21" s="9"/>
      <c r="O21" s="9"/>
      <c r="P21" s="9"/>
    </row>
    <row r="22" spans="2:16" s="54" customFormat="1" x14ac:dyDescent="0.25">
      <c r="B22" s="61" t="s">
        <v>82</v>
      </c>
      <c r="C22" s="62"/>
      <c r="D22" s="67">
        <f>E20/J5</f>
        <v>23.571428571428573</v>
      </c>
      <c r="E22" s="64">
        <f>-D22*C22</f>
        <v>0</v>
      </c>
      <c r="F22" s="65"/>
      <c r="G22" s="66"/>
      <c r="I22" s="21" t="s">
        <v>2</v>
      </c>
      <c r="J22" s="70">
        <v>22</v>
      </c>
      <c r="K22" s="9"/>
      <c r="L22" s="9"/>
      <c r="M22" s="9"/>
      <c r="N22" s="9"/>
      <c r="O22" s="9"/>
      <c r="P22" s="9"/>
    </row>
    <row r="23" spans="2:16" s="54" customFormat="1" x14ac:dyDescent="0.25">
      <c r="B23" s="61" t="s">
        <v>357</v>
      </c>
      <c r="C23" s="540" t="s">
        <v>358</v>
      </c>
      <c r="D23" s="63">
        <v>3300</v>
      </c>
      <c r="E23" s="64">
        <f>D23*4/12</f>
        <v>1100</v>
      </c>
      <c r="F23" s="65"/>
      <c r="G23" s="66"/>
      <c r="I23" s="21" t="s">
        <v>84</v>
      </c>
      <c r="J23" s="68"/>
      <c r="K23" s="9"/>
      <c r="L23" s="9"/>
      <c r="M23" s="9"/>
      <c r="N23" s="9"/>
      <c r="O23" s="9"/>
      <c r="P23" s="9"/>
    </row>
    <row r="24" spans="2:16" ht="15.75" thickBot="1" x14ac:dyDescent="0.3">
      <c r="B24" s="21" t="s">
        <v>63</v>
      </c>
      <c r="C24" s="22">
        <f>J12</f>
        <v>0</v>
      </c>
      <c r="D24" s="69">
        <f>IF($J$4&gt;=151.67,$J$3/151.67*1.25,0)</f>
        <v>27.197204457044904</v>
      </c>
      <c r="E24" s="70">
        <f>D24*C24</f>
        <v>0</v>
      </c>
      <c r="F24" s="71"/>
      <c r="G24" s="72"/>
      <c r="I24" s="38" t="s">
        <v>85</v>
      </c>
      <c r="J24" s="73">
        <v>1.4999999999999999E-2</v>
      </c>
    </row>
    <row r="25" spans="2:16" ht="15.75" x14ac:dyDescent="0.25">
      <c r="B25" s="21" t="s">
        <v>66</v>
      </c>
      <c r="C25" s="22">
        <f>J13</f>
        <v>0</v>
      </c>
      <c r="D25" s="69">
        <f>IF($J$4&gt;=151.67,$J$3/151.67*1.5,0)</f>
        <v>32.636645348453882</v>
      </c>
      <c r="E25" s="70">
        <f>D25*C25</f>
        <v>0</v>
      </c>
      <c r="F25" s="71"/>
      <c r="G25" s="74"/>
      <c r="I25" s="4" t="s">
        <v>86</v>
      </c>
      <c r="J25" s="75">
        <v>0.05</v>
      </c>
      <c r="K25" s="76"/>
    </row>
    <row r="26" spans="2:16" ht="15.75" thickBot="1" x14ac:dyDescent="0.3">
      <c r="B26" s="21" t="s">
        <v>68</v>
      </c>
      <c r="C26" s="22">
        <f>J14</f>
        <v>0</v>
      </c>
      <c r="D26" s="22">
        <f>IF($J$4&lt;151.67,$E$20/151.67*1.1,0)</f>
        <v>0</v>
      </c>
      <c r="E26" s="70">
        <f t="shared" ref="E26:E27" si="0">D26*C26</f>
        <v>0</v>
      </c>
      <c r="F26" s="71"/>
      <c r="G26" s="74"/>
      <c r="I26" s="77" t="s">
        <v>233</v>
      </c>
      <c r="J26" s="78">
        <v>2800</v>
      </c>
    </row>
    <row r="27" spans="2:16" x14ac:dyDescent="0.25">
      <c r="B27" s="21" t="s">
        <v>69</v>
      </c>
      <c r="C27" s="22">
        <f>J15</f>
        <v>0</v>
      </c>
      <c r="D27" s="22">
        <f>IF($J$4&lt;151.67,$E$20/151.67*1.1,0)</f>
        <v>0</v>
      </c>
      <c r="E27" s="70">
        <f>D27*C27</f>
        <v>0</v>
      </c>
      <c r="F27" s="71"/>
      <c r="G27" s="74"/>
    </row>
    <row r="28" spans="2:16" x14ac:dyDescent="0.25">
      <c r="B28" s="21"/>
      <c r="C28" s="22"/>
      <c r="D28" s="22"/>
      <c r="E28" s="70"/>
      <c r="F28" s="71"/>
      <c r="G28" s="74"/>
    </row>
    <row r="29" spans="2:16" ht="27" x14ac:dyDescent="0.25">
      <c r="B29" s="21" t="s">
        <v>304</v>
      </c>
      <c r="C29" s="79"/>
      <c r="D29" s="22"/>
      <c r="E29" s="70">
        <f>'CALCULS MARTINEZ'!D44</f>
        <v>101.15384615384573</v>
      </c>
      <c r="F29" s="80"/>
      <c r="G29" s="81"/>
      <c r="I29" s="82"/>
    </row>
    <row r="30" spans="2:16" x14ac:dyDescent="0.25">
      <c r="B30" s="21" t="s">
        <v>89</v>
      </c>
      <c r="C30" s="79">
        <v>30</v>
      </c>
      <c r="D30" s="386">
        <f>'CALCULS MARTINEZ'!J68</f>
        <v>126.92307692307692</v>
      </c>
      <c r="E30" s="70">
        <f>D30*C30</f>
        <v>3807.6923076923076</v>
      </c>
      <c r="F30" s="80"/>
      <c r="G30" s="81"/>
      <c r="I30" s="356"/>
    </row>
    <row r="31" spans="2:16" x14ac:dyDescent="0.25">
      <c r="B31" s="21"/>
      <c r="C31" s="83"/>
      <c r="D31" s="84"/>
      <c r="E31" s="85"/>
      <c r="F31" s="86"/>
      <c r="G31" s="87"/>
    </row>
    <row r="32" spans="2:16" ht="15.75" thickBot="1" x14ac:dyDescent="0.3">
      <c r="B32" s="88" t="s">
        <v>90</v>
      </c>
      <c r="C32" s="89"/>
      <c r="D32" s="90"/>
      <c r="E32" s="91">
        <f>-E147</f>
        <v>0</v>
      </c>
      <c r="F32" s="92"/>
      <c r="G32" s="93"/>
    </row>
    <row r="33" spans="2:7" x14ac:dyDescent="0.25">
      <c r="B33" s="94" t="s">
        <v>91</v>
      </c>
      <c r="C33" s="95"/>
      <c r="D33" s="96"/>
      <c r="E33" s="97">
        <f>-E166</f>
        <v>0</v>
      </c>
      <c r="F33" s="98"/>
      <c r="G33" s="99"/>
    </row>
    <row r="34" spans="2:7" x14ac:dyDescent="0.25">
      <c r="B34" s="88" t="s">
        <v>28</v>
      </c>
      <c r="C34" s="95"/>
      <c r="D34" s="96"/>
      <c r="E34" s="97">
        <f>E164</f>
        <v>0</v>
      </c>
      <c r="F34" s="98"/>
      <c r="G34" s="99"/>
    </row>
    <row r="35" spans="2:7" x14ac:dyDescent="0.25">
      <c r="B35" s="94"/>
      <c r="C35" s="95"/>
      <c r="D35" s="96"/>
      <c r="F35" s="98"/>
      <c r="G35" s="99"/>
    </row>
    <row r="36" spans="2:7" ht="15.75" thickBot="1" x14ac:dyDescent="0.3">
      <c r="B36" s="100" t="s">
        <v>92</v>
      </c>
      <c r="C36" s="95">
        <v>2800</v>
      </c>
      <c r="D36" s="96">
        <f>J25</f>
        <v>0.05</v>
      </c>
      <c r="E36" s="70">
        <f>D36*C36</f>
        <v>140</v>
      </c>
      <c r="F36" s="98"/>
      <c r="G36" s="99"/>
    </row>
    <row r="37" spans="2:7" ht="16.5" thickTop="1" thickBot="1" x14ac:dyDescent="0.3">
      <c r="B37" s="102" t="s">
        <v>93</v>
      </c>
      <c r="C37" s="103"/>
      <c r="D37" s="104"/>
      <c r="E37" s="105">
        <f>SUM(E20:E36)</f>
        <v>9411.8461538461524</v>
      </c>
      <c r="F37" s="98"/>
      <c r="G37" s="99"/>
    </row>
    <row r="38" spans="2:7" ht="15.75" thickBot="1" x14ac:dyDescent="0.3">
      <c r="B38" s="106"/>
      <c r="C38" s="107"/>
      <c r="D38" s="108"/>
      <c r="E38" s="108"/>
      <c r="F38" s="109"/>
      <c r="G38" s="110"/>
    </row>
    <row r="39" spans="2:7" ht="28.5" x14ac:dyDescent="0.25">
      <c r="B39" s="111" t="s">
        <v>94</v>
      </c>
      <c r="C39" s="112" t="s">
        <v>95</v>
      </c>
      <c r="D39" s="112" t="s">
        <v>96</v>
      </c>
      <c r="E39" s="112" t="s">
        <v>97</v>
      </c>
      <c r="F39" s="112" t="s">
        <v>96</v>
      </c>
      <c r="G39" s="113" t="s">
        <v>98</v>
      </c>
    </row>
    <row r="40" spans="2:7" x14ac:dyDescent="0.25">
      <c r="B40" s="114" t="s">
        <v>99</v>
      </c>
      <c r="C40" s="115"/>
      <c r="D40" s="116"/>
      <c r="E40" s="116"/>
      <c r="F40" s="117"/>
      <c r="G40" s="118"/>
    </row>
    <row r="41" spans="2:7" x14ac:dyDescent="0.25">
      <c r="B41" s="119" t="s">
        <v>100</v>
      </c>
      <c r="C41" s="95">
        <f>E37</f>
        <v>9411.8461538461524</v>
      </c>
      <c r="D41" s="120"/>
      <c r="E41" s="121"/>
      <c r="F41" s="122">
        <v>7.0000000000000007E-2</v>
      </c>
      <c r="G41" s="123">
        <f>F41*C41</f>
        <v>658.82923076923078</v>
      </c>
    </row>
    <row r="42" spans="2:7" x14ac:dyDescent="0.25">
      <c r="B42" s="119" t="s">
        <v>340</v>
      </c>
      <c r="C42" s="95">
        <f>'REGUL MARTINEZ'!J59</f>
        <v>20947.846153846152</v>
      </c>
      <c r="D42" s="120"/>
      <c r="E42" s="121"/>
      <c r="F42" s="512">
        <v>0.06</v>
      </c>
      <c r="G42" s="123">
        <f>F42*C42</f>
        <v>1256.8707692307692</v>
      </c>
    </row>
    <row r="43" spans="2:7" x14ac:dyDescent="0.25">
      <c r="B43" s="119" t="s">
        <v>101</v>
      </c>
      <c r="C43" s="95">
        <f>$J$17</f>
        <v>3428</v>
      </c>
      <c r="D43" s="124"/>
      <c r="E43" s="125"/>
      <c r="F43" s="126">
        <f>J24</f>
        <v>1.4999999999999999E-2</v>
      </c>
      <c r="G43" s="123">
        <f>F43*C43</f>
        <v>51.419999999999995</v>
      </c>
    </row>
    <row r="44" spans="2:7" x14ac:dyDescent="0.25">
      <c r="B44" s="119" t="s">
        <v>102</v>
      </c>
      <c r="C44" s="95">
        <f>$J$18</f>
        <v>5983.8461538461524</v>
      </c>
      <c r="D44" s="124"/>
      <c r="E44" s="125"/>
      <c r="F44" s="126"/>
      <c r="G44" s="123">
        <f>F44*C44</f>
        <v>0</v>
      </c>
    </row>
    <row r="45" spans="2:7" x14ac:dyDescent="0.25">
      <c r="B45" s="119" t="s">
        <v>103</v>
      </c>
      <c r="C45" s="95"/>
      <c r="D45" s="124"/>
      <c r="E45" s="125">
        <f>J21</f>
        <v>30</v>
      </c>
      <c r="F45" s="380"/>
      <c r="G45" s="123">
        <f>J22</f>
        <v>22</v>
      </c>
    </row>
    <row r="46" spans="2:7" x14ac:dyDescent="0.25">
      <c r="B46" s="127" t="s">
        <v>104</v>
      </c>
      <c r="C46" s="95">
        <f>E37</f>
        <v>9411.8461538461524</v>
      </c>
      <c r="E46" s="95"/>
      <c r="F46" s="128">
        <f>J7</f>
        <v>3.9E-2</v>
      </c>
      <c r="G46" s="123">
        <f>F46*C46</f>
        <v>367.06199999999995</v>
      </c>
    </row>
    <row r="47" spans="2:7" x14ac:dyDescent="0.25">
      <c r="B47" s="114" t="s">
        <v>105</v>
      </c>
      <c r="C47" s="115"/>
      <c r="D47" s="116"/>
      <c r="E47" s="116"/>
      <c r="F47" s="117"/>
      <c r="G47" s="118"/>
    </row>
    <row r="48" spans="2:7" x14ac:dyDescent="0.25">
      <c r="B48" s="119" t="s">
        <v>106</v>
      </c>
      <c r="C48" s="95">
        <f>$J$17</f>
        <v>3428</v>
      </c>
      <c r="D48" s="124">
        <v>6.9000000000000006E-2</v>
      </c>
      <c r="E48" s="125">
        <f>D48*C48</f>
        <v>236.53200000000001</v>
      </c>
      <c r="F48" s="126">
        <v>8.5500000000000007E-2</v>
      </c>
      <c r="G48" s="123">
        <f>F48*C48</f>
        <v>293.09399999999999</v>
      </c>
    </row>
    <row r="49" spans="2:7" x14ac:dyDescent="0.25">
      <c r="B49" s="119" t="s">
        <v>107</v>
      </c>
      <c r="C49" s="95">
        <f>$E$37</f>
        <v>9411.8461538461524</v>
      </c>
      <c r="D49" s="124">
        <v>4.0000000000000001E-3</v>
      </c>
      <c r="E49" s="125">
        <f t="shared" ref="E49:E52" si="1">D49*C49</f>
        <v>37.64738461538461</v>
      </c>
      <c r="F49" s="126">
        <v>1.9E-2</v>
      </c>
      <c r="G49" s="123">
        <f t="shared" ref="G49:G51" si="2">F49*C49</f>
        <v>178.82507692307689</v>
      </c>
    </row>
    <row r="50" spans="2:7" x14ac:dyDescent="0.25">
      <c r="B50" s="119" t="s">
        <v>108</v>
      </c>
      <c r="C50" s="95">
        <f>$J$17</f>
        <v>3428</v>
      </c>
      <c r="D50" s="124">
        <v>4.0099999999999997E-2</v>
      </c>
      <c r="E50" s="125">
        <f t="shared" si="1"/>
        <v>137.46279999999999</v>
      </c>
      <c r="F50" s="126">
        <v>6.0100000000000001E-2</v>
      </c>
      <c r="G50" s="123">
        <f t="shared" si="2"/>
        <v>206.02279999999999</v>
      </c>
    </row>
    <row r="51" spans="2:7" x14ac:dyDescent="0.25">
      <c r="B51" s="119" t="s">
        <v>109</v>
      </c>
      <c r="C51" s="95">
        <f>+J18</f>
        <v>5983.8461538461524</v>
      </c>
      <c r="D51" s="124">
        <v>9.7199999999999995E-2</v>
      </c>
      <c r="E51" s="125">
        <f t="shared" si="1"/>
        <v>581.62984615384596</v>
      </c>
      <c r="F51" s="126">
        <v>0.1457</v>
      </c>
      <c r="G51" s="123">
        <f t="shared" si="2"/>
        <v>871.84638461538441</v>
      </c>
    </row>
    <row r="52" spans="2:7" x14ac:dyDescent="0.25">
      <c r="B52" s="119" t="s">
        <v>110</v>
      </c>
      <c r="C52" s="95">
        <f>'REGUL MARTINEZ'!H50</f>
        <v>9411.8461538461524</v>
      </c>
      <c r="D52" s="124">
        <v>1.4E-3</v>
      </c>
      <c r="E52" s="125">
        <f t="shared" si="1"/>
        <v>13.176584615384613</v>
      </c>
      <c r="F52" s="126">
        <v>2.0999999999999999E-3</v>
      </c>
      <c r="G52" s="123">
        <f>C52*F52</f>
        <v>19.764876923076919</v>
      </c>
    </row>
    <row r="53" spans="2:7" x14ac:dyDescent="0.25">
      <c r="B53" s="119" t="s">
        <v>111</v>
      </c>
      <c r="C53" s="95"/>
      <c r="D53" s="124"/>
      <c r="E53" s="125"/>
      <c r="F53" s="126"/>
      <c r="G53" s="123"/>
    </row>
    <row r="54" spans="2:7" x14ac:dyDescent="0.25">
      <c r="B54" s="114" t="s">
        <v>112</v>
      </c>
      <c r="C54" s="95">
        <f>E37</f>
        <v>9411.8461538461524</v>
      </c>
      <c r="D54" s="129"/>
      <c r="E54" s="95"/>
      <c r="F54" s="126">
        <v>3.4500000000000003E-2</v>
      </c>
      <c r="G54" s="130">
        <f>F54*C54</f>
        <v>324.70869230769227</v>
      </c>
    </row>
    <row r="55" spans="2:7" x14ac:dyDescent="0.25">
      <c r="B55" s="114" t="s">
        <v>113</v>
      </c>
      <c r="C55" s="95"/>
      <c r="D55" s="129"/>
      <c r="E55" s="95"/>
      <c r="F55" s="131"/>
      <c r="G55" s="123"/>
    </row>
    <row r="56" spans="2:7" x14ac:dyDescent="0.25">
      <c r="B56" s="119" t="s">
        <v>114</v>
      </c>
      <c r="C56" s="95">
        <f>+E37</f>
        <v>9411.8461538461524</v>
      </c>
      <c r="D56" s="129"/>
      <c r="E56" s="95"/>
      <c r="F56" s="132">
        <v>4.2000000000000003E-2</v>
      </c>
      <c r="G56" s="123">
        <f t="shared" ref="G56" si="3">F56*C56</f>
        <v>395.29753846153841</v>
      </c>
    </row>
    <row r="57" spans="2:7" x14ac:dyDescent="0.25">
      <c r="B57" s="119" t="s">
        <v>115</v>
      </c>
      <c r="C57" s="95">
        <f>+E37</f>
        <v>9411.8461538461524</v>
      </c>
      <c r="D57" s="133">
        <v>2.4000000000000001E-4</v>
      </c>
      <c r="E57" s="134">
        <f>D57*C57</f>
        <v>2.2588430769230765</v>
      </c>
      <c r="F57" s="131">
        <v>3.6000000000000002E-4</v>
      </c>
      <c r="G57" s="135">
        <f>C57*F57</f>
        <v>3.3882646153846152</v>
      </c>
    </row>
    <row r="58" spans="2:7" x14ac:dyDescent="0.25">
      <c r="B58" s="114" t="s">
        <v>116</v>
      </c>
      <c r="C58" s="95"/>
      <c r="D58" s="129"/>
      <c r="E58" s="95"/>
      <c r="F58" s="131"/>
      <c r="G58" s="123">
        <f>E105</f>
        <v>138.95858461538461</v>
      </c>
    </row>
    <row r="59" spans="2:7" x14ac:dyDescent="0.25">
      <c r="B59" s="127"/>
      <c r="C59" s="95"/>
      <c r="D59" s="95"/>
      <c r="E59" s="95"/>
      <c r="F59" s="95"/>
      <c r="G59" s="136"/>
    </row>
    <row r="60" spans="2:7" ht="25.5" x14ac:dyDescent="0.25">
      <c r="B60" s="137" t="s">
        <v>117</v>
      </c>
      <c r="C60" s="95"/>
      <c r="D60" s="95"/>
      <c r="E60" s="95"/>
      <c r="F60" s="95"/>
      <c r="G60" s="136"/>
    </row>
    <row r="61" spans="2:7" x14ac:dyDescent="0.25">
      <c r="B61" s="127"/>
      <c r="C61" s="95"/>
      <c r="D61" s="133"/>
      <c r="E61" s="95"/>
      <c r="F61" s="138"/>
      <c r="G61" s="123"/>
    </row>
    <row r="62" spans="2:7" x14ac:dyDescent="0.25">
      <c r="B62" s="127" t="s">
        <v>118</v>
      </c>
      <c r="C62" s="95">
        <f>(E37-E24-E25-E26-E27)*0.9825+G43+G44+G45</f>
        <v>9320.5588461538446</v>
      </c>
      <c r="D62" s="124">
        <v>6.8000000000000005E-2</v>
      </c>
      <c r="E62" s="125">
        <f>D62*C62</f>
        <v>633.79800153846145</v>
      </c>
      <c r="F62" s="126"/>
      <c r="G62" s="123"/>
    </row>
    <row r="63" spans="2:7" x14ac:dyDescent="0.25">
      <c r="B63" s="127" t="s">
        <v>119</v>
      </c>
      <c r="C63" s="95">
        <f>C62</f>
        <v>9320.5588461538446</v>
      </c>
      <c r="D63" s="124">
        <v>2.9000000000000001E-2</v>
      </c>
      <c r="E63" s="125">
        <f>D63*C63</f>
        <v>270.29620653846149</v>
      </c>
      <c r="F63" s="126"/>
      <c r="G63" s="123"/>
    </row>
    <row r="64" spans="2:7" ht="25.5" x14ac:dyDescent="0.25">
      <c r="B64" s="139" t="s">
        <v>120</v>
      </c>
      <c r="C64" s="95">
        <f>(E24+E25+E26+E27)*0.9825</f>
        <v>0</v>
      </c>
      <c r="D64" s="124">
        <v>9.7000000000000003E-2</v>
      </c>
      <c r="E64" s="125">
        <f>D64*C64</f>
        <v>0</v>
      </c>
      <c r="F64" s="126"/>
      <c r="G64" s="123"/>
    </row>
    <row r="65" spans="2:7" x14ac:dyDescent="0.25">
      <c r="B65" s="139" t="s">
        <v>121</v>
      </c>
      <c r="C65" s="124"/>
      <c r="D65" s="124"/>
      <c r="E65" s="125"/>
      <c r="F65" s="126"/>
      <c r="G65" s="136">
        <f>-I126</f>
        <v>0</v>
      </c>
    </row>
    <row r="66" spans="2:7" ht="17.25" customHeight="1" x14ac:dyDescent="0.25">
      <c r="B66" s="139" t="s">
        <v>122</v>
      </c>
      <c r="C66" s="140">
        <f>E24+E25+E26+E27</f>
        <v>0</v>
      </c>
      <c r="D66" s="124">
        <v>-0.11310000000000001</v>
      </c>
      <c r="E66" s="125">
        <f>D66*C66</f>
        <v>0</v>
      </c>
      <c r="F66" s="126"/>
      <c r="G66" s="123"/>
    </row>
    <row r="67" spans="2:7" ht="15.75" thickBot="1" x14ac:dyDescent="0.3">
      <c r="B67" s="141" t="s">
        <v>123</v>
      </c>
      <c r="C67" s="142">
        <f>IF(AND(J4=151.67,J6&lt;20),C24+C25,0)</f>
        <v>0</v>
      </c>
      <c r="D67" s="143"/>
      <c r="E67" s="144"/>
      <c r="F67" s="145">
        <v>-1.5</v>
      </c>
      <c r="G67" s="146">
        <f>F67*C67</f>
        <v>0</v>
      </c>
    </row>
    <row r="68" spans="2:7" ht="15.75" thickBot="1" x14ac:dyDescent="0.3">
      <c r="B68" s="147" t="s">
        <v>124</v>
      </c>
      <c r="C68" s="148"/>
      <c r="D68" s="149"/>
      <c r="E68" s="150">
        <f>SUM(E41:E67)</f>
        <v>1942.8016665384612</v>
      </c>
      <c r="F68" s="151"/>
      <c r="G68" s="152">
        <f>SUM(G41:G67)</f>
        <v>4788.0882184615384</v>
      </c>
    </row>
    <row r="69" spans="2:7" x14ac:dyDescent="0.25">
      <c r="B69" s="153"/>
      <c r="C69" s="154"/>
      <c r="D69" s="155"/>
      <c r="E69" s="156"/>
      <c r="F69" s="157"/>
      <c r="G69" s="158"/>
    </row>
    <row r="70" spans="2:7" x14ac:dyDescent="0.25">
      <c r="B70" s="119" t="s">
        <v>125</v>
      </c>
      <c r="C70" s="125"/>
      <c r="D70" s="159"/>
      <c r="E70" s="160"/>
      <c r="F70" s="161"/>
      <c r="G70" s="162"/>
    </row>
    <row r="71" spans="2:7" x14ac:dyDescent="0.25">
      <c r="B71" s="119" t="s">
        <v>126</v>
      </c>
      <c r="C71" s="125"/>
      <c r="D71" s="159"/>
      <c r="E71" s="160">
        <f>-E21</f>
        <v>-963</v>
      </c>
      <c r="F71" s="161"/>
      <c r="G71" s="162"/>
    </row>
    <row r="72" spans="2:7" x14ac:dyDescent="0.25">
      <c r="B72" s="119" t="s">
        <v>127</v>
      </c>
      <c r="C72" s="125"/>
      <c r="D72" s="159"/>
      <c r="E72" s="125"/>
      <c r="F72" s="161"/>
      <c r="G72" s="162"/>
    </row>
    <row r="73" spans="2:7" ht="15.75" customHeight="1" x14ac:dyDescent="0.25">
      <c r="B73" s="163" t="s">
        <v>128</v>
      </c>
      <c r="C73" s="385"/>
      <c r="D73" s="159">
        <v>3.6</v>
      </c>
      <c r="E73" s="164">
        <f>D73*-C73</f>
        <v>0</v>
      </c>
      <c r="F73" s="161"/>
      <c r="G73" s="162"/>
    </row>
    <row r="74" spans="2:7" x14ac:dyDescent="0.25">
      <c r="B74" s="165" t="s">
        <v>129</v>
      </c>
      <c r="D74" s="166"/>
      <c r="E74" s="167"/>
      <c r="F74" s="168"/>
      <c r="G74" s="162"/>
    </row>
    <row r="75" spans="2:7" x14ac:dyDescent="0.25">
      <c r="B75" s="169"/>
      <c r="C75" s="125"/>
      <c r="D75" s="159"/>
      <c r="E75" s="170"/>
      <c r="F75" s="161"/>
      <c r="G75" s="162"/>
    </row>
    <row r="76" spans="2:7" ht="15.75" thickBot="1" x14ac:dyDescent="0.3">
      <c r="B76" s="141"/>
      <c r="C76" s="144"/>
      <c r="D76" s="171"/>
      <c r="E76" s="172"/>
      <c r="F76" s="173"/>
      <c r="G76" s="146"/>
    </row>
    <row r="77" spans="2:7" ht="15.75" thickBot="1" x14ac:dyDescent="0.3">
      <c r="B77" s="174" t="s">
        <v>130</v>
      </c>
      <c r="C77" s="148"/>
      <c r="D77" s="149"/>
      <c r="E77" s="150"/>
      <c r="F77" s="151"/>
      <c r="G77" s="175">
        <f>E37-E68+E70+E71+E72+E73+E74+E75+E76</f>
        <v>6506.0444873076913</v>
      </c>
    </row>
    <row r="78" spans="2:7" ht="28.5" x14ac:dyDescent="0.25">
      <c r="B78" s="176" t="s">
        <v>131</v>
      </c>
      <c r="C78" s="177"/>
      <c r="D78" s="178"/>
      <c r="E78" s="179"/>
      <c r="F78" s="180"/>
      <c r="G78" s="181"/>
    </row>
    <row r="79" spans="2:7" x14ac:dyDescent="0.25">
      <c r="B79" s="570" t="s">
        <v>132</v>
      </c>
      <c r="C79" s="572" t="s">
        <v>133</v>
      </c>
      <c r="D79" s="182" t="s">
        <v>96</v>
      </c>
      <c r="E79" s="574"/>
      <c r="F79" s="183"/>
      <c r="G79" s="576" t="s">
        <v>134</v>
      </c>
    </row>
    <row r="80" spans="2:7" ht="15.75" thickBot="1" x14ac:dyDescent="0.3">
      <c r="B80" s="571"/>
      <c r="C80" s="573"/>
      <c r="D80" s="184" t="s">
        <v>135</v>
      </c>
      <c r="E80" s="575"/>
      <c r="F80" s="185"/>
      <c r="G80" s="577"/>
    </row>
    <row r="81" spans="2:7" ht="15.75" thickBot="1" x14ac:dyDescent="0.3">
      <c r="B81" s="174" t="s">
        <v>136</v>
      </c>
      <c r="C81" s="186">
        <f>C88</f>
        <v>7761.340693846153</v>
      </c>
      <c r="D81" s="382">
        <f>J20</f>
        <v>7.4999999999999997E-2</v>
      </c>
      <c r="E81" s="187"/>
      <c r="F81" s="188"/>
      <c r="G81" s="189">
        <f>D81*C81</f>
        <v>582.1005520384615</v>
      </c>
    </row>
    <row r="82" spans="2:7" x14ac:dyDescent="0.25">
      <c r="B82" s="190"/>
      <c r="C82" s="191"/>
      <c r="D82" s="192"/>
      <c r="E82" s="193" t="s">
        <v>137</v>
      </c>
      <c r="F82" s="194"/>
      <c r="G82" s="195">
        <f>G77-G81</f>
        <v>5923.9439352692298</v>
      </c>
    </row>
    <row r="83" spans="2:7" ht="29.25" thickBot="1" x14ac:dyDescent="0.3">
      <c r="B83" s="196" t="s">
        <v>138</v>
      </c>
      <c r="C83" s="197"/>
      <c r="D83" s="198"/>
      <c r="E83" s="199" t="s">
        <v>139</v>
      </c>
      <c r="F83" s="200"/>
      <c r="G83" s="201">
        <f>E120</f>
        <v>734.1239999999998</v>
      </c>
    </row>
    <row r="84" spans="2:7" ht="15.75" thickTop="1" x14ac:dyDescent="0.25">
      <c r="B84" s="555" t="s">
        <v>140</v>
      </c>
      <c r="C84" s="557"/>
      <c r="D84" s="558"/>
      <c r="E84" s="202" t="s">
        <v>141</v>
      </c>
      <c r="F84" s="203"/>
      <c r="G84" s="201">
        <f>E37+G68</f>
        <v>14199.934372307691</v>
      </c>
    </row>
    <row r="85" spans="2:7" ht="15.75" thickBot="1" x14ac:dyDescent="0.3">
      <c r="B85" s="556"/>
      <c r="C85" s="559"/>
      <c r="D85" s="560"/>
      <c r="E85" s="204" t="s">
        <v>142</v>
      </c>
      <c r="F85" s="205"/>
      <c r="G85" s="206"/>
    </row>
    <row r="86" spans="2:7" x14ac:dyDescent="0.25">
      <c r="B86" s="207"/>
      <c r="C86" s="208" t="s">
        <v>143</v>
      </c>
      <c r="D86" s="209" t="s">
        <v>144</v>
      </c>
      <c r="E86" s="210"/>
      <c r="F86" s="211"/>
      <c r="G86" s="212"/>
    </row>
    <row r="87" spans="2:7" x14ac:dyDescent="0.25">
      <c r="B87" s="213" t="s">
        <v>145</v>
      </c>
      <c r="C87" s="214">
        <f>E37</f>
        <v>9411.8461538461524</v>
      </c>
      <c r="D87" s="215"/>
      <c r="E87" s="216"/>
      <c r="F87" s="199"/>
      <c r="G87" s="217"/>
    </row>
    <row r="88" spans="2:7" ht="15.75" thickBot="1" x14ac:dyDescent="0.3">
      <c r="B88" s="218" t="s">
        <v>146</v>
      </c>
      <c r="C88" s="219">
        <f>E37-E24-E25+G45+E64+E63-E68</f>
        <v>7761.340693846153</v>
      </c>
      <c r="D88" s="220"/>
      <c r="E88" s="216"/>
      <c r="F88" s="199"/>
      <c r="G88" s="217"/>
    </row>
    <row r="89" spans="2:7" ht="15.75" thickBot="1" x14ac:dyDescent="0.3">
      <c r="B89" s="221" t="s">
        <v>147</v>
      </c>
      <c r="C89" s="222"/>
      <c r="D89" s="222"/>
      <c r="E89" s="223"/>
      <c r="F89" s="223"/>
      <c r="G89" s="224"/>
    </row>
    <row r="92" spans="2:7" s="225" customFormat="1" ht="15.75" thickBot="1" x14ac:dyDescent="0.3">
      <c r="B92" s="561" t="s">
        <v>116</v>
      </c>
      <c r="C92" s="562"/>
      <c r="D92" s="9"/>
      <c r="E92" s="9"/>
    </row>
    <row r="93" spans="2:7" s="225" customFormat="1" x14ac:dyDescent="0.25">
      <c r="B93" s="226"/>
      <c r="C93" s="227"/>
      <c r="D93" s="563">
        <f>+E37</f>
        <v>9411.8461538461524</v>
      </c>
      <c r="E93" s="228"/>
    </row>
    <row r="94" spans="2:7" s="225" customFormat="1" x14ac:dyDescent="0.25">
      <c r="B94" s="229" t="s">
        <v>148</v>
      </c>
      <c r="C94" s="230">
        <f>IF(J6&gt;=11,J8,0)</f>
        <v>0</v>
      </c>
      <c r="D94" s="564"/>
      <c r="E94" s="231">
        <f>C94*$D$93</f>
        <v>0</v>
      </c>
    </row>
    <row r="95" spans="2:7" s="225" customFormat="1" x14ac:dyDescent="0.25">
      <c r="B95" s="229" t="s">
        <v>149</v>
      </c>
      <c r="C95" s="230">
        <f>IF(J6&lt;50,0%,0.5%)</f>
        <v>0</v>
      </c>
      <c r="D95" s="564"/>
      <c r="E95" s="231">
        <f t="shared" ref="E95:E100" si="4">C95*$D$93</f>
        <v>0</v>
      </c>
    </row>
    <row r="96" spans="2:7" s="225" customFormat="1" x14ac:dyDescent="0.25">
      <c r="B96" s="229" t="s">
        <v>150</v>
      </c>
      <c r="C96" s="230"/>
      <c r="D96" s="564"/>
      <c r="E96" s="231">
        <f t="shared" si="4"/>
        <v>0</v>
      </c>
    </row>
    <row r="97" spans="2:5" s="225" customFormat="1" x14ac:dyDescent="0.25">
      <c r="B97" s="229" t="s">
        <v>151</v>
      </c>
      <c r="C97" s="230">
        <v>3.0000000000000001E-3</v>
      </c>
      <c r="D97" s="564"/>
      <c r="E97" s="231">
        <f t="shared" si="4"/>
        <v>28.235538461538457</v>
      </c>
    </row>
    <row r="98" spans="2:5" s="225" customFormat="1" x14ac:dyDescent="0.25">
      <c r="B98" s="229" t="s">
        <v>152</v>
      </c>
      <c r="C98" s="230">
        <v>5.8999999999999999E-3</v>
      </c>
      <c r="D98" s="564"/>
      <c r="E98" s="231">
        <f t="shared" si="4"/>
        <v>55.5298923076923</v>
      </c>
    </row>
    <row r="99" spans="2:5" s="225" customFormat="1" x14ac:dyDescent="0.25">
      <c r="B99" s="229" t="s">
        <v>153</v>
      </c>
      <c r="C99" s="230">
        <f>IF(J6&lt;11,0.55%,1%)</f>
        <v>5.5000000000000005E-3</v>
      </c>
      <c r="D99" s="564"/>
      <c r="E99" s="231">
        <f t="shared" si="4"/>
        <v>51.765153846153844</v>
      </c>
    </row>
    <row r="100" spans="2:5" s="225" customFormat="1" x14ac:dyDescent="0.25">
      <c r="B100" s="229"/>
      <c r="C100" s="230">
        <f>IF(J6&lt;=50,0,0.45%)</f>
        <v>0</v>
      </c>
      <c r="D100" s="564"/>
      <c r="E100" s="231">
        <f t="shared" si="4"/>
        <v>0</v>
      </c>
    </row>
    <row r="101" spans="2:5" s="225" customFormat="1" x14ac:dyDescent="0.25">
      <c r="B101" s="21"/>
      <c r="C101" s="22"/>
      <c r="D101" s="22"/>
      <c r="E101" s="23"/>
    </row>
    <row r="102" spans="2:5" s="225" customFormat="1" x14ac:dyDescent="0.25">
      <c r="B102" s="21" t="s">
        <v>154</v>
      </c>
      <c r="C102" s="232">
        <f>IF(J6&gt;=11,+G43+G44+G45,0)</f>
        <v>0</v>
      </c>
      <c r="D102" s="233">
        <v>0.08</v>
      </c>
      <c r="E102" s="234">
        <f>D102*C102</f>
        <v>0</v>
      </c>
    </row>
    <row r="103" spans="2:5" s="225" customFormat="1" ht="15.75" thickBot="1" x14ac:dyDescent="0.3">
      <c r="B103" s="38" t="s">
        <v>155</v>
      </c>
      <c r="C103" s="235">
        <f>J17</f>
        <v>3428</v>
      </c>
      <c r="D103" s="236">
        <v>1E-3</v>
      </c>
      <c r="E103" s="237">
        <f>D103*C103</f>
        <v>3.4279999999999999</v>
      </c>
    </row>
    <row r="104" spans="2:5" s="225" customFormat="1" ht="15.75" thickBot="1" x14ac:dyDescent="0.3">
      <c r="B104" s="9"/>
      <c r="C104" s="9"/>
      <c r="D104" s="9"/>
      <c r="E104" s="9"/>
    </row>
    <row r="105" spans="2:5" s="225" customFormat="1" ht="15.75" thickBot="1" x14ac:dyDescent="0.3">
      <c r="B105" s="238" t="s">
        <v>156</v>
      </c>
      <c r="C105" s="239"/>
      <c r="D105" s="239"/>
      <c r="E105" s="240">
        <f>SUM(E94:E103)</f>
        <v>138.95858461538461</v>
      </c>
    </row>
    <row r="106" spans="2:5" s="225" customFormat="1" ht="15.75" thickBot="1" x14ac:dyDescent="0.3">
      <c r="B106" s="9"/>
      <c r="C106" s="9"/>
      <c r="D106" s="9"/>
      <c r="E106" s="9"/>
    </row>
    <row r="107" spans="2:5" s="225" customFormat="1" thickBot="1" x14ac:dyDescent="0.3">
      <c r="B107" s="548" t="s">
        <v>157</v>
      </c>
      <c r="C107" s="549"/>
      <c r="D107" s="549"/>
      <c r="E107" s="550"/>
    </row>
    <row r="108" spans="2:5" s="225" customFormat="1" x14ac:dyDescent="0.25">
      <c r="B108" s="241" t="s">
        <v>158</v>
      </c>
      <c r="C108" s="242">
        <f>C56</f>
        <v>9411.8461538461524</v>
      </c>
      <c r="D108" s="243">
        <v>2.4E-2</v>
      </c>
      <c r="E108" s="244">
        <f>D108*C108</f>
        <v>225.88430769230766</v>
      </c>
    </row>
    <row r="109" spans="2:5" s="225" customFormat="1" x14ac:dyDescent="0.25">
      <c r="B109" s="245" t="s">
        <v>17</v>
      </c>
      <c r="C109" s="242">
        <f>C108</f>
        <v>9411.8461538461524</v>
      </c>
      <c r="D109" s="246">
        <v>7.4999999999999997E-3</v>
      </c>
      <c r="E109" s="247">
        <f t="shared" ref="E109:E110" si="5">D109*C109</f>
        <v>70.588846153846134</v>
      </c>
    </row>
    <row r="110" spans="2:5" s="225" customFormat="1" x14ac:dyDescent="0.25">
      <c r="B110" s="245" t="s">
        <v>159</v>
      </c>
      <c r="C110" s="242">
        <f>C62+C64</f>
        <v>9320.5588461538446</v>
      </c>
      <c r="D110" s="246">
        <v>-1.7000000000000001E-2</v>
      </c>
      <c r="E110" s="247">
        <f t="shared" si="5"/>
        <v>-158.44950038461536</v>
      </c>
    </row>
    <row r="111" spans="2:5" s="225" customFormat="1" x14ac:dyDescent="0.25">
      <c r="B111" s="196"/>
      <c r="C111" s="248"/>
      <c r="D111" s="249"/>
      <c r="E111" s="250"/>
    </row>
    <row r="112" spans="2:5" s="225" customFormat="1" ht="15.75" thickBot="1" x14ac:dyDescent="0.3">
      <c r="B112" s="251" t="s">
        <v>160</v>
      </c>
      <c r="C112" s="252"/>
      <c r="D112" s="253"/>
      <c r="E112" s="254">
        <f>SUM(E108:E111)</f>
        <v>138.0236534615384</v>
      </c>
    </row>
    <row r="113" spans="2:9" s="225" customFormat="1" ht="12.75" x14ac:dyDescent="0.25"/>
    <row r="114" spans="2:9" s="225" customFormat="1" ht="13.5" thickBot="1" x14ac:dyDescent="0.3"/>
    <row r="115" spans="2:9" s="225" customFormat="1" thickBot="1" x14ac:dyDescent="0.3">
      <c r="B115" s="548" t="s">
        <v>161</v>
      </c>
      <c r="C115" s="549"/>
      <c r="D115" s="549"/>
      <c r="E115" s="550"/>
    </row>
    <row r="116" spans="2:9" s="225" customFormat="1" ht="15.75" customHeight="1" x14ac:dyDescent="0.25">
      <c r="B116" s="255" t="s">
        <v>162</v>
      </c>
      <c r="C116" s="256"/>
      <c r="D116" s="256"/>
      <c r="E116" s="257">
        <f>I126</f>
        <v>0</v>
      </c>
    </row>
    <row r="117" spans="2:9" s="225" customFormat="1" ht="15.75" customHeight="1" x14ac:dyDescent="0.25">
      <c r="B117" s="258" t="s">
        <v>163</v>
      </c>
      <c r="C117" s="259"/>
      <c r="D117" s="260"/>
      <c r="E117" s="261"/>
    </row>
    <row r="118" spans="2:9" s="225" customFormat="1" ht="15.75" customHeight="1" x14ac:dyDescent="0.25">
      <c r="B118" s="258" t="s">
        <v>164</v>
      </c>
      <c r="C118" s="262">
        <f>E37</f>
        <v>9411.8461538461524</v>
      </c>
      <c r="D118" s="246">
        <v>1.7999999999999999E-2</v>
      </c>
      <c r="E118" s="261">
        <f>D118*C118</f>
        <v>169.41323076923072</v>
      </c>
    </row>
    <row r="119" spans="2:9" s="225" customFormat="1" ht="15.75" customHeight="1" x14ac:dyDescent="0.25">
      <c r="B119" s="258" t="s">
        <v>165</v>
      </c>
      <c r="C119" s="262">
        <f>C118</f>
        <v>9411.8461538461524</v>
      </c>
      <c r="D119" s="246">
        <v>0.06</v>
      </c>
      <c r="E119" s="261">
        <f>D119*C119</f>
        <v>564.71076923076907</v>
      </c>
    </row>
    <row r="120" spans="2:9" s="225" customFormat="1" ht="15.75" customHeight="1" thickBot="1" x14ac:dyDescent="0.3">
      <c r="B120" s="263" t="s">
        <v>166</v>
      </c>
      <c r="C120" s="264"/>
      <c r="D120" s="264"/>
      <c r="E120" s="265">
        <f>E116+E117+E118+E119</f>
        <v>734.1239999999998</v>
      </c>
    </row>
    <row r="123" spans="2:9" ht="15.75" hidden="1" thickBot="1" x14ac:dyDescent="0.3">
      <c r="B123" s="266" t="s">
        <v>167</v>
      </c>
      <c r="C123" s="267">
        <f>J19</f>
        <v>0.31950000000000001</v>
      </c>
      <c r="D123" s="268"/>
      <c r="E123" s="268"/>
      <c r="F123" s="268"/>
      <c r="G123" s="268"/>
      <c r="H123" s="268"/>
      <c r="I123" s="268"/>
    </row>
    <row r="124" spans="2:9" ht="15.75" hidden="1" thickBot="1" x14ac:dyDescent="0.3">
      <c r="B124" s="268"/>
      <c r="C124" s="268"/>
      <c r="D124" s="268"/>
      <c r="E124" s="268"/>
      <c r="F124" s="268"/>
      <c r="G124" s="268"/>
      <c r="H124" s="268"/>
      <c r="I124" s="268"/>
    </row>
    <row r="125" spans="2:9" ht="30" hidden="1" x14ac:dyDescent="0.25">
      <c r="B125" s="3" t="s">
        <v>168</v>
      </c>
      <c r="C125" s="269" t="s">
        <v>169</v>
      </c>
      <c r="D125" s="269" t="s">
        <v>170</v>
      </c>
      <c r="E125" s="270" t="s">
        <v>171</v>
      </c>
      <c r="F125" s="271" t="s">
        <v>172</v>
      </c>
      <c r="G125" s="271" t="s">
        <v>173</v>
      </c>
      <c r="H125" s="271" t="s">
        <v>174</v>
      </c>
      <c r="I125" s="272" t="s">
        <v>175</v>
      </c>
    </row>
    <row r="126" spans="2:9" ht="15.75" hidden="1" thickBot="1" x14ac:dyDescent="0.3">
      <c r="B126" s="77" t="s">
        <v>176</v>
      </c>
      <c r="C126" s="273"/>
      <c r="D126" s="274">
        <f>C126</f>
        <v>0</v>
      </c>
      <c r="E126" s="275">
        <v>1603.12</v>
      </c>
      <c r="F126" s="273">
        <f>+E126</f>
        <v>1603.12</v>
      </c>
      <c r="G126" s="276" t="e">
        <f>ROUND((C123/0.6)*((1.6*F126/D126)-1),4)</f>
        <v>#DIV/0!</v>
      </c>
      <c r="H126" s="274" t="e">
        <f>IF(G126&gt;0,G126*D126,0)</f>
        <v>#DIV/0!</v>
      </c>
      <c r="I126" s="277">
        <v>0</v>
      </c>
    </row>
    <row r="127" spans="2:9" hidden="1" x14ac:dyDescent="0.25"/>
    <row r="128" spans="2:9" hidden="1" x14ac:dyDescent="0.25"/>
    <row r="129" spans="2:6" ht="18.75" hidden="1" x14ac:dyDescent="0.25">
      <c r="B129" s="543" t="s">
        <v>177</v>
      </c>
      <c r="C129" s="544"/>
      <c r="D129" s="544"/>
      <c r="E129" s="544"/>
    </row>
    <row r="130" spans="2:6" ht="15.75" hidden="1" thickBot="1" x14ac:dyDescent="0.3"/>
    <row r="131" spans="2:6" hidden="1" x14ac:dyDescent="0.25">
      <c r="B131" s="278" t="s">
        <v>178</v>
      </c>
      <c r="C131" s="279" t="s">
        <v>179</v>
      </c>
      <c r="D131" s="280" t="s">
        <v>180</v>
      </c>
      <c r="E131" s="280" t="s">
        <v>181</v>
      </c>
      <c r="F131" s="281" t="s">
        <v>182</v>
      </c>
    </row>
    <row r="132" spans="2:6" hidden="1" x14ac:dyDescent="0.25">
      <c r="B132" s="282" t="s">
        <v>183</v>
      </c>
      <c r="C132" s="2"/>
      <c r="D132" s="283">
        <f>C132-25</f>
        <v>-25</v>
      </c>
      <c r="E132" s="283">
        <f>IF(D132&lt;2.8,D132,2.8)</f>
        <v>-25</v>
      </c>
      <c r="F132" s="6">
        <f>IF(D132&gt;2.8,D132-2.8,0)</f>
        <v>0</v>
      </c>
    </row>
    <row r="133" spans="2:6" hidden="1" x14ac:dyDescent="0.25">
      <c r="B133" s="282" t="s">
        <v>184</v>
      </c>
      <c r="C133" s="2"/>
      <c r="D133" s="283">
        <f>C133-25</f>
        <v>-25</v>
      </c>
      <c r="E133" s="283">
        <f t="shared" ref="E133:E135" si="6">IF(D133&lt;2.8,D133,2.8)</f>
        <v>-25</v>
      </c>
      <c r="F133" s="6">
        <f t="shared" ref="F133:F135" si="7">IF(D133&gt;2.8,D133-2.8,0)</f>
        <v>0</v>
      </c>
    </row>
    <row r="134" spans="2:6" hidden="1" x14ac:dyDescent="0.25">
      <c r="B134" s="282" t="s">
        <v>185</v>
      </c>
      <c r="C134" s="2"/>
      <c r="D134" s="283">
        <f t="shared" ref="D134:D135" si="8">C134-25</f>
        <v>-25</v>
      </c>
      <c r="E134" s="283">
        <f t="shared" si="6"/>
        <v>-25</v>
      </c>
      <c r="F134" s="6">
        <f t="shared" si="7"/>
        <v>0</v>
      </c>
    </row>
    <row r="135" spans="2:6" hidden="1" x14ac:dyDescent="0.25">
      <c r="B135" s="282" t="s">
        <v>186</v>
      </c>
      <c r="C135" s="2"/>
      <c r="D135" s="283">
        <f t="shared" si="8"/>
        <v>-25</v>
      </c>
      <c r="E135" s="284">
        <f t="shared" si="6"/>
        <v>-25</v>
      </c>
      <c r="F135" s="285">
        <f t="shared" si="7"/>
        <v>0</v>
      </c>
    </row>
    <row r="136" spans="2:6" ht="15.75" hidden="1" thickBot="1" x14ac:dyDescent="0.3">
      <c r="B136" s="286" t="s">
        <v>187</v>
      </c>
      <c r="C136" s="2"/>
      <c r="D136" s="565" t="s">
        <v>188</v>
      </c>
      <c r="E136" s="565"/>
      <c r="F136" s="566"/>
    </row>
    <row r="137" spans="2:6" ht="15.75" hidden="1" thickBot="1" x14ac:dyDescent="0.3">
      <c r="B137" s="287" t="s">
        <v>189</v>
      </c>
      <c r="C137" s="288"/>
      <c r="D137" s="288">
        <f>SUM(D132:D135)</f>
        <v>-100</v>
      </c>
      <c r="E137" s="288">
        <f>SUM(E132:E135)</f>
        <v>-100</v>
      </c>
      <c r="F137" s="289">
        <f>SUM(F132:F135)</f>
        <v>0</v>
      </c>
    </row>
    <row r="138" spans="2:6" hidden="1" x14ac:dyDescent="0.25"/>
    <row r="139" spans="2:6" ht="18.75" customHeight="1" x14ac:dyDescent="0.25">
      <c r="B139" s="7"/>
      <c r="C139" s="290"/>
      <c r="D139" s="291"/>
      <c r="E139" s="7"/>
      <c r="F139" s="7"/>
    </row>
    <row r="140" spans="2:6" ht="18.75" x14ac:dyDescent="0.25">
      <c r="B140" s="543" t="s">
        <v>9</v>
      </c>
      <c r="C140" s="544"/>
      <c r="D140" s="544"/>
      <c r="E140" s="544"/>
    </row>
    <row r="141" spans="2:6" ht="15.75" thickBot="1" x14ac:dyDescent="0.3"/>
    <row r="142" spans="2:6" x14ac:dyDescent="0.25">
      <c r="B142" s="545" t="s">
        <v>10</v>
      </c>
      <c r="C142" s="546"/>
      <c r="D142" s="546"/>
      <c r="E142" s="547"/>
    </row>
    <row r="143" spans="2:6" x14ac:dyDescent="0.25">
      <c r="B143" s="292" t="s">
        <v>11</v>
      </c>
      <c r="C143" s="293"/>
      <c r="D143" s="293"/>
      <c r="E143" s="307"/>
    </row>
    <row r="144" spans="2:6" x14ac:dyDescent="0.25">
      <c r="B144" s="292" t="s">
        <v>12</v>
      </c>
      <c r="C144" s="293"/>
      <c r="D144" s="293"/>
      <c r="E144" s="294">
        <v>28</v>
      </c>
    </row>
    <row r="145" spans="2:5" x14ac:dyDescent="0.25">
      <c r="B145" s="292" t="s">
        <v>13</v>
      </c>
      <c r="C145" s="293"/>
      <c r="D145" s="293"/>
      <c r="E145" s="311">
        <f>+E143/E144</f>
        <v>0</v>
      </c>
    </row>
    <row r="146" spans="2:5" ht="15.75" thickBot="1" x14ac:dyDescent="0.3">
      <c r="B146" s="292" t="s">
        <v>14</v>
      </c>
      <c r="C146" s="293"/>
      <c r="D146" s="293"/>
      <c r="E146" s="308">
        <v>21</v>
      </c>
    </row>
    <row r="147" spans="2:5" ht="16.5" thickTop="1" thickBot="1" x14ac:dyDescent="0.3">
      <c r="B147" s="295" t="s">
        <v>15</v>
      </c>
      <c r="C147" s="296"/>
      <c r="D147" s="297"/>
      <c r="E147" s="312">
        <f>E145*E146</f>
        <v>0</v>
      </c>
    </row>
    <row r="148" spans="2:5" ht="15.75" thickBot="1" x14ac:dyDescent="0.3">
      <c r="B148" s="298"/>
      <c r="C148" s="298"/>
      <c r="D148" s="298"/>
      <c r="E148" s="298"/>
    </row>
    <row r="149" spans="2:5" ht="15.75" thickBot="1" x14ac:dyDescent="0.3">
      <c r="B149" s="548" t="s">
        <v>16</v>
      </c>
      <c r="C149" s="549"/>
      <c r="D149" s="549"/>
      <c r="E149" s="550"/>
    </row>
    <row r="150" spans="2:5" x14ac:dyDescent="0.25">
      <c r="B150" s="299" t="s">
        <v>17</v>
      </c>
      <c r="C150" s="300"/>
      <c r="D150" s="301" t="s">
        <v>18</v>
      </c>
      <c r="E150" s="302" t="s">
        <v>19</v>
      </c>
    </row>
    <row r="151" spans="2:5" x14ac:dyDescent="0.25">
      <c r="B151" s="245" t="s">
        <v>20</v>
      </c>
      <c r="C151" s="309"/>
      <c r="D151" s="310"/>
      <c r="E151" s="313"/>
    </row>
    <row r="152" spans="2:5" x14ac:dyDescent="0.25">
      <c r="B152" s="245" t="s">
        <v>21</v>
      </c>
      <c r="C152" s="309"/>
      <c r="D152" s="310"/>
      <c r="E152" s="313"/>
    </row>
    <row r="153" spans="2:5" x14ac:dyDescent="0.25">
      <c r="B153" s="245" t="s">
        <v>22</v>
      </c>
      <c r="C153" s="309"/>
      <c r="D153" s="310"/>
      <c r="E153" s="313"/>
    </row>
    <row r="154" spans="2:5" x14ac:dyDescent="0.25">
      <c r="B154" s="245" t="s">
        <v>23</v>
      </c>
      <c r="C154" s="303"/>
      <c r="D154" s="303"/>
      <c r="E154" s="247">
        <f>SUM(E151:E153)</f>
        <v>0</v>
      </c>
    </row>
    <row r="155" spans="2:5" x14ac:dyDescent="0.25">
      <c r="B155" s="245" t="s">
        <v>24</v>
      </c>
      <c r="C155" s="303"/>
      <c r="D155" s="303"/>
      <c r="E155" s="247">
        <f>E154/91.25*0.5</f>
        <v>0</v>
      </c>
    </row>
    <row r="156" spans="2:5" x14ac:dyDescent="0.25">
      <c r="B156" s="245" t="s">
        <v>190</v>
      </c>
      <c r="C156" s="303"/>
      <c r="D156" s="315"/>
      <c r="E156" s="304"/>
    </row>
    <row r="157" spans="2:5" x14ac:dyDescent="0.25">
      <c r="B157" s="245" t="s">
        <v>25</v>
      </c>
      <c r="C157" s="303"/>
      <c r="D157" s="303"/>
      <c r="E157" s="319">
        <f>E156*E155</f>
        <v>0</v>
      </c>
    </row>
    <row r="158" spans="2:5" x14ac:dyDescent="0.25">
      <c r="B158" s="245" t="s">
        <v>26</v>
      </c>
      <c r="C158" s="303"/>
      <c r="D158" s="303"/>
      <c r="E158" s="247">
        <f>E157*6.7%</f>
        <v>0</v>
      </c>
    </row>
    <row r="159" spans="2:5" ht="15.75" thickBot="1" x14ac:dyDescent="0.3">
      <c r="B159" s="305" t="s">
        <v>27</v>
      </c>
      <c r="C159" s="306"/>
      <c r="D159" s="306"/>
      <c r="E159" s="314">
        <f>E157-E158</f>
        <v>0</v>
      </c>
    </row>
    <row r="160" spans="2:5" ht="15.75" thickBot="1" x14ac:dyDescent="0.3"/>
    <row r="161" spans="2:5" x14ac:dyDescent="0.25">
      <c r="B161" s="545" t="s">
        <v>28</v>
      </c>
      <c r="C161" s="546"/>
      <c r="D161" s="546"/>
      <c r="E161" s="547"/>
    </row>
    <row r="162" spans="2:5" x14ac:dyDescent="0.25">
      <c r="B162" s="292" t="s">
        <v>29</v>
      </c>
      <c r="C162" s="293"/>
      <c r="D162" s="293"/>
      <c r="E162" s="316"/>
    </row>
    <row r="163" spans="2:5" ht="15.75" thickBot="1" x14ac:dyDescent="0.3">
      <c r="B163" s="292" t="s">
        <v>30</v>
      </c>
      <c r="C163" s="293"/>
      <c r="D163" s="293"/>
      <c r="E163" s="294">
        <f>E145*0.9</f>
        <v>0</v>
      </c>
    </row>
    <row r="164" spans="2:5" ht="16.5" thickTop="1" thickBot="1" x14ac:dyDescent="0.3">
      <c r="B164" s="292" t="s">
        <v>31</v>
      </c>
      <c r="C164" s="293"/>
      <c r="D164" s="293"/>
      <c r="E164" s="312">
        <f>E162*E163</f>
        <v>0</v>
      </c>
    </row>
    <row r="165" spans="2:5" ht="16.5" thickTop="1" thickBot="1" x14ac:dyDescent="0.3">
      <c r="B165" s="245" t="s">
        <v>32</v>
      </c>
      <c r="C165" s="293"/>
      <c r="D165" s="293"/>
      <c r="E165" s="317">
        <f>E155</f>
        <v>0</v>
      </c>
    </row>
    <row r="166" spans="2:5" ht="16.5" thickTop="1" thickBot="1" x14ac:dyDescent="0.3">
      <c r="B166" s="295" t="s">
        <v>33</v>
      </c>
      <c r="C166" s="320">
        <f>E162</f>
        <v>0</v>
      </c>
      <c r="D166" s="318">
        <f>E165</f>
        <v>0</v>
      </c>
      <c r="E166" s="312">
        <f>D166*C166</f>
        <v>0</v>
      </c>
    </row>
  </sheetData>
  <mergeCells count="18">
    <mergeCell ref="C17:D17"/>
    <mergeCell ref="F17:G17"/>
    <mergeCell ref="B79:B80"/>
    <mergeCell ref="C79:C80"/>
    <mergeCell ref="E79:E80"/>
    <mergeCell ref="G79:G80"/>
    <mergeCell ref="B161:E161"/>
    <mergeCell ref="B84:B85"/>
    <mergeCell ref="C84:D85"/>
    <mergeCell ref="B92:C92"/>
    <mergeCell ref="D93:D100"/>
    <mergeCell ref="B107:E107"/>
    <mergeCell ref="B115:E115"/>
    <mergeCell ref="B129:E129"/>
    <mergeCell ref="D136:F136"/>
    <mergeCell ref="B140:E140"/>
    <mergeCell ref="B142:E142"/>
    <mergeCell ref="B149:E149"/>
  </mergeCells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C2707-D8C1-4449-B93D-9A0E083B9264}">
  <dimension ref="A2:M60"/>
  <sheetViews>
    <sheetView topLeftCell="A28" workbookViewId="0">
      <selection activeCell="G65" sqref="G65"/>
    </sheetView>
  </sheetViews>
  <sheetFormatPr baseColWidth="10" defaultRowHeight="15" x14ac:dyDescent="0.25"/>
  <cols>
    <col min="1" max="1" width="25.28515625" style="363" customWidth="1"/>
    <col min="2" max="2" width="13" style="363" bestFit="1" customWidth="1"/>
    <col min="3" max="3" width="12.7109375" style="363" bestFit="1" customWidth="1"/>
    <col min="4" max="5" width="16.85546875" style="363" bestFit="1" customWidth="1"/>
    <col min="6" max="6" width="12.42578125" style="363" bestFit="1" customWidth="1"/>
    <col min="7" max="7" width="12.85546875" style="363" customWidth="1"/>
    <col min="8" max="8" width="13" style="363" bestFit="1" customWidth="1"/>
    <col min="9" max="9" width="13.7109375" style="363" customWidth="1"/>
    <col min="10" max="10" width="14.42578125" style="363" customWidth="1"/>
    <col min="11" max="11" width="11.85546875" style="363" bestFit="1" customWidth="1"/>
    <col min="12" max="12" width="11.5703125" style="363" bestFit="1" customWidth="1"/>
    <col min="13" max="16384" width="11.42578125" style="363"/>
  </cols>
  <sheetData>
    <row r="2" spans="1:13" x14ac:dyDescent="0.25">
      <c r="A2" s="363" t="s">
        <v>280</v>
      </c>
    </row>
    <row r="4" spans="1:13" x14ac:dyDescent="0.25">
      <c r="A4" s="363" t="s">
        <v>281</v>
      </c>
      <c r="C4" s="480">
        <f>'Bulletin DE OLIVEIRA'!E37-'Bulletin DE OLIVEIRA'!E68</f>
        <v>3781.8701700000001</v>
      </c>
    </row>
    <row r="5" spans="1:13" x14ac:dyDescent="0.25">
      <c r="A5" s="363" t="s">
        <v>256</v>
      </c>
      <c r="C5" s="480">
        <f>'Bulletin DE OLIVEIRA'!G81</f>
        <v>338.90039952000001</v>
      </c>
    </row>
    <row r="6" spans="1:13" x14ac:dyDescent="0.25">
      <c r="A6" s="363" t="s">
        <v>246</v>
      </c>
      <c r="C6" s="480">
        <f>C4-C5</f>
        <v>3442.9697704800001</v>
      </c>
    </row>
    <row r="8" spans="1:13" ht="15.75" thickBot="1" x14ac:dyDescent="0.3"/>
    <row r="9" spans="1:13" x14ac:dyDescent="0.25">
      <c r="A9" s="513" t="s">
        <v>258</v>
      </c>
      <c r="B9" s="514" t="s">
        <v>259</v>
      </c>
      <c r="C9" s="515" t="s">
        <v>260</v>
      </c>
      <c r="D9" s="514" t="s">
        <v>261</v>
      </c>
      <c r="E9" s="516" t="s">
        <v>262</v>
      </c>
      <c r="I9" s="474"/>
      <c r="J9" s="474"/>
      <c r="K9" s="474"/>
      <c r="L9" s="474"/>
      <c r="M9" s="474"/>
    </row>
    <row r="10" spans="1:13" x14ac:dyDescent="0.25">
      <c r="A10" s="529">
        <v>0</v>
      </c>
      <c r="B10" s="530">
        <v>328.33</v>
      </c>
      <c r="C10" s="517" t="s">
        <v>263</v>
      </c>
      <c r="D10" s="518">
        <v>16.420000000000002</v>
      </c>
      <c r="E10" s="519">
        <v>16.420000000000002</v>
      </c>
      <c r="I10" s="474"/>
      <c r="J10" s="474"/>
      <c r="K10" s="481"/>
      <c r="L10" s="482"/>
      <c r="M10" s="482"/>
    </row>
    <row r="11" spans="1:13" x14ac:dyDescent="0.25">
      <c r="A11" s="529">
        <v>328.33</v>
      </c>
      <c r="B11" s="530">
        <v>640.83000000000004</v>
      </c>
      <c r="C11" s="520" t="s">
        <v>247</v>
      </c>
      <c r="D11" s="518">
        <v>31.25</v>
      </c>
      <c r="E11" s="519">
        <v>47.67</v>
      </c>
      <c r="I11" s="474"/>
      <c r="J11" s="474"/>
      <c r="K11" s="483"/>
      <c r="L11" s="482"/>
      <c r="M11" s="482"/>
    </row>
    <row r="12" spans="1:13" x14ac:dyDescent="0.25">
      <c r="A12" s="529">
        <v>640.83000000000004</v>
      </c>
      <c r="B12" s="530">
        <v>955</v>
      </c>
      <c r="C12" s="520" t="s">
        <v>264</v>
      </c>
      <c r="D12" s="518">
        <v>62.83</v>
      </c>
      <c r="E12" s="519">
        <v>110.5</v>
      </c>
      <c r="I12" s="474"/>
      <c r="J12" s="474"/>
      <c r="K12" s="483"/>
      <c r="L12" s="482"/>
      <c r="M12" s="482"/>
    </row>
    <row r="13" spans="1:13" x14ac:dyDescent="0.25">
      <c r="A13" s="529">
        <v>955</v>
      </c>
      <c r="B13" s="521">
        <v>1266.67</v>
      </c>
      <c r="C13" s="520" t="s">
        <v>265</v>
      </c>
      <c r="D13" s="518">
        <f>(B13-A13)/4</f>
        <v>77.917500000000018</v>
      </c>
      <c r="E13" s="519">
        <f>E12+D13</f>
        <v>188.41750000000002</v>
      </c>
      <c r="I13" s="474"/>
      <c r="J13" s="474"/>
      <c r="K13" s="483"/>
      <c r="L13" s="482"/>
      <c r="M13" s="482"/>
    </row>
    <row r="14" spans="1:13" x14ac:dyDescent="0.25">
      <c r="A14" s="522">
        <f>B13</f>
        <v>1266.67</v>
      </c>
      <c r="B14" s="523">
        <v>1579.17</v>
      </c>
      <c r="C14" s="531" t="s">
        <v>342</v>
      </c>
      <c r="D14" s="524">
        <f>(B14-A14)/3</f>
        <v>104.16666666666667</v>
      </c>
      <c r="E14" s="519">
        <f>E13+D14</f>
        <v>292.5841666666667</v>
      </c>
    </row>
    <row r="15" spans="1:13" x14ac:dyDescent="0.25">
      <c r="A15" s="525">
        <f>B14</f>
        <v>1579.17</v>
      </c>
      <c r="B15" s="523">
        <v>1897.5</v>
      </c>
      <c r="C15" s="531" t="s">
        <v>343</v>
      </c>
      <c r="D15" s="524">
        <f>(B15-A15)/3*2</f>
        <v>212.21999999999994</v>
      </c>
      <c r="E15" s="519">
        <f>E14+D15</f>
        <v>504.80416666666667</v>
      </c>
    </row>
    <row r="16" spans="1:13" ht="15.75" thickBot="1" x14ac:dyDescent="0.3">
      <c r="A16" s="526">
        <f>B15</f>
        <v>1897.5</v>
      </c>
      <c r="B16" s="527">
        <f>C6</f>
        <v>3442.9697704800001</v>
      </c>
      <c r="C16" s="532"/>
      <c r="D16" s="527">
        <f>B16-A16</f>
        <v>1545.4697704800001</v>
      </c>
      <c r="E16" s="528">
        <f>E15+D16</f>
        <v>2050.2739371466669</v>
      </c>
    </row>
    <row r="17" spans="1:9" ht="15.75" thickBot="1" x14ac:dyDescent="0.3"/>
    <row r="18" spans="1:9" ht="15.75" thickBot="1" x14ac:dyDescent="0.3">
      <c r="A18" s="533" t="s">
        <v>344</v>
      </c>
      <c r="B18" s="492"/>
      <c r="C18" s="492"/>
      <c r="D18" s="492"/>
      <c r="E18" s="534">
        <v>535</v>
      </c>
    </row>
    <row r="19" spans="1:9" ht="15.75" thickBot="1" x14ac:dyDescent="0.3"/>
    <row r="20" spans="1:9" ht="16.5" thickTop="1" thickBot="1" x14ac:dyDescent="0.3">
      <c r="A20" s="535" t="s">
        <v>345</v>
      </c>
      <c r="B20" s="536"/>
      <c r="C20" s="536"/>
      <c r="D20" s="536"/>
      <c r="E20" s="537">
        <f>MIN(E18,E16)</f>
        <v>535</v>
      </c>
    </row>
    <row r="21" spans="1:9" ht="15.75" thickTop="1" x14ac:dyDescent="0.25"/>
    <row r="22" spans="1:9" ht="15.75" thickBot="1" x14ac:dyDescent="0.3"/>
    <row r="23" spans="1:9" s="491" customFormat="1" x14ac:dyDescent="0.25">
      <c r="A23" s="3" t="s">
        <v>346</v>
      </c>
      <c r="B23" s="269" t="s">
        <v>351</v>
      </c>
      <c r="C23" s="269" t="s">
        <v>251</v>
      </c>
      <c r="D23" s="269" t="s">
        <v>352</v>
      </c>
      <c r="E23" s="1" t="s">
        <v>353</v>
      </c>
    </row>
    <row r="24" spans="1:9" s="491" customFormat="1" x14ac:dyDescent="0.25">
      <c r="A24" s="4" t="s">
        <v>347</v>
      </c>
      <c r="B24" s="343">
        <v>1650</v>
      </c>
      <c r="C24" s="343">
        <v>1600</v>
      </c>
      <c r="D24" s="343"/>
      <c r="E24" s="538">
        <f>SUM(B24:D24)</f>
        <v>3250</v>
      </c>
    </row>
    <row r="25" spans="1:9" s="491" customFormat="1" x14ac:dyDescent="0.25">
      <c r="A25" s="4" t="s">
        <v>348</v>
      </c>
      <c r="B25" s="343">
        <v>1650</v>
      </c>
      <c r="C25" s="343">
        <v>2450</v>
      </c>
      <c r="D25" s="343"/>
      <c r="E25" s="538">
        <f>SUM(B25:D25)</f>
        <v>4100</v>
      </c>
    </row>
    <row r="26" spans="1:9" s="491" customFormat="1" x14ac:dyDescent="0.25">
      <c r="A26" s="4" t="s">
        <v>349</v>
      </c>
      <c r="B26" s="343">
        <v>1700</v>
      </c>
      <c r="C26" s="343">
        <v>4800</v>
      </c>
      <c r="D26" s="343"/>
      <c r="E26" s="538">
        <f>SUM(B26:D26)</f>
        <v>6500</v>
      </c>
    </row>
    <row r="27" spans="1:9" s="491" customFormat="1" ht="15.75" thickBot="1" x14ac:dyDescent="0.3">
      <c r="A27" s="77" t="s">
        <v>350</v>
      </c>
      <c r="B27" s="273">
        <v>1700</v>
      </c>
      <c r="C27" s="273">
        <v>3250</v>
      </c>
      <c r="D27" s="273">
        <f>+'Bulletin DE OLIVEIRA'!E22</f>
        <v>-170</v>
      </c>
      <c r="E27" s="539">
        <f>SUM(B27:D27)</f>
        <v>4780</v>
      </c>
    </row>
    <row r="28" spans="1:9" s="491" customFormat="1" x14ac:dyDescent="0.25"/>
    <row r="29" spans="1:9" s="491" customFormat="1" x14ac:dyDescent="0.25"/>
    <row r="30" spans="1:9" s="491" customFormat="1" ht="23.25" x14ac:dyDescent="0.25">
      <c r="A30" s="321" t="s">
        <v>192</v>
      </c>
      <c r="B30" s="322"/>
      <c r="C30" s="322"/>
      <c r="D30" s="322"/>
      <c r="E30" s="322"/>
      <c r="F30" s="322"/>
      <c r="G30" s="322"/>
      <c r="H30" s="322"/>
    </row>
    <row r="31" spans="1:9" s="491" customFormat="1" x14ac:dyDescent="0.25"/>
    <row r="32" spans="1:9" s="491" customFormat="1" ht="18.75" x14ac:dyDescent="0.25">
      <c r="A32" s="323" t="s">
        <v>193</v>
      </c>
      <c r="D32" s="324">
        <v>3428</v>
      </c>
      <c r="F32" s="340" t="s">
        <v>225</v>
      </c>
      <c r="H32" s="352" t="s">
        <v>226</v>
      </c>
      <c r="I32" s="340">
        <v>21</v>
      </c>
    </row>
    <row r="33" spans="1:8" s="491" customFormat="1" ht="15.75" thickBot="1" x14ac:dyDescent="0.3"/>
    <row r="34" spans="1:8" s="491" customFormat="1" ht="30" x14ac:dyDescent="0.25">
      <c r="A34" s="325" t="s">
        <v>168</v>
      </c>
      <c r="B34" s="269" t="s">
        <v>275</v>
      </c>
      <c r="C34" s="269" t="s">
        <v>194</v>
      </c>
      <c r="D34" s="269" t="s">
        <v>195</v>
      </c>
      <c r="E34" s="271" t="s">
        <v>196</v>
      </c>
      <c r="F34" s="271" t="s">
        <v>197</v>
      </c>
      <c r="G34" s="271" t="s">
        <v>198</v>
      </c>
      <c r="H34" s="272" t="s">
        <v>199</v>
      </c>
    </row>
    <row r="35" spans="1:8" s="491" customFormat="1" x14ac:dyDescent="0.25">
      <c r="A35" s="326" t="s">
        <v>200</v>
      </c>
      <c r="B35" s="472">
        <f>+E24</f>
        <v>3250</v>
      </c>
      <c r="C35" s="413">
        <f>B35</f>
        <v>3250</v>
      </c>
      <c r="D35" s="413">
        <v>3428</v>
      </c>
      <c r="E35" s="413">
        <f>D35</f>
        <v>3428</v>
      </c>
      <c r="F35" s="414">
        <f>MIN(C35,E35)</f>
        <v>3250</v>
      </c>
      <c r="G35" s="414">
        <f>F35</f>
        <v>3250</v>
      </c>
      <c r="H35" s="415">
        <f>B35-G35</f>
        <v>0</v>
      </c>
    </row>
    <row r="36" spans="1:8" s="491" customFormat="1" x14ac:dyDescent="0.25">
      <c r="A36" s="326" t="s">
        <v>201</v>
      </c>
      <c r="B36" s="472">
        <f t="shared" ref="B36:B38" si="0">+E25</f>
        <v>4100</v>
      </c>
      <c r="C36" s="413">
        <f>C35+B36</f>
        <v>7350</v>
      </c>
      <c r="D36" s="413">
        <v>3428</v>
      </c>
      <c r="E36" s="413">
        <f>E35+D36</f>
        <v>6856</v>
      </c>
      <c r="F36" s="416">
        <f>MIN(C36,E36)</f>
        <v>6856</v>
      </c>
      <c r="G36" s="414">
        <f>F36-F35</f>
        <v>3606</v>
      </c>
      <c r="H36" s="415">
        <f>B36-G36</f>
        <v>494</v>
      </c>
    </row>
    <row r="37" spans="1:8" s="491" customFormat="1" x14ac:dyDescent="0.25">
      <c r="A37" s="326" t="s">
        <v>202</v>
      </c>
      <c r="B37" s="472">
        <f t="shared" si="0"/>
        <v>6500</v>
      </c>
      <c r="C37" s="413">
        <f t="shared" ref="C37:C38" si="1">C36+B37</f>
        <v>13850</v>
      </c>
      <c r="D37" s="413">
        <v>3428</v>
      </c>
      <c r="E37" s="413">
        <f>E36+D37</f>
        <v>10284</v>
      </c>
      <c r="F37" s="416">
        <f>MIN(C37,E37)</f>
        <v>10284</v>
      </c>
      <c r="G37" s="414">
        <f>F37-F36</f>
        <v>3428</v>
      </c>
      <c r="H37" s="415">
        <f>B37-G37</f>
        <v>3072</v>
      </c>
    </row>
    <row r="38" spans="1:8" s="491" customFormat="1" ht="15.75" thickBot="1" x14ac:dyDescent="0.3">
      <c r="A38" s="373" t="s">
        <v>203</v>
      </c>
      <c r="B38" s="473">
        <f t="shared" si="0"/>
        <v>4780</v>
      </c>
      <c r="C38" s="417">
        <f t="shared" si="1"/>
        <v>18630</v>
      </c>
      <c r="D38" s="417">
        <f>3428*0.9</f>
        <v>3085.2000000000003</v>
      </c>
      <c r="E38" s="417">
        <f>E37+D38</f>
        <v>13369.2</v>
      </c>
      <c r="F38" s="418">
        <f>MIN(C38,E38)</f>
        <v>13369.2</v>
      </c>
      <c r="G38" s="419">
        <f>F38-F37</f>
        <v>3085.2000000000007</v>
      </c>
      <c r="H38" s="420">
        <f>B38-G38</f>
        <v>1694.7999999999993</v>
      </c>
    </row>
    <row r="39" spans="1:8" s="491" customFormat="1" x14ac:dyDescent="0.25">
      <c r="A39" s="364"/>
      <c r="B39" s="365"/>
      <c r="C39" s="366"/>
      <c r="D39" s="366" t="s">
        <v>354</v>
      </c>
    </row>
    <row r="41" spans="1:8" s="491" customFormat="1" ht="23.25" x14ac:dyDescent="0.25">
      <c r="A41" s="321" t="s">
        <v>222</v>
      </c>
      <c r="B41" s="322"/>
      <c r="C41" s="322"/>
      <c r="D41" s="322"/>
      <c r="E41" s="322"/>
      <c r="F41" s="322"/>
    </row>
    <row r="42" spans="1:8" s="491" customFormat="1" x14ac:dyDescent="0.25"/>
    <row r="43" spans="1:8" s="491" customFormat="1" ht="18.75" x14ac:dyDescent="0.25">
      <c r="A43" s="323" t="s">
        <v>193</v>
      </c>
      <c r="D43" s="324">
        <v>3428</v>
      </c>
    </row>
    <row r="44" spans="1:8" s="491" customFormat="1" ht="15.75" thickBot="1" x14ac:dyDescent="0.3"/>
    <row r="45" spans="1:8" s="491" customFormat="1" ht="30" x14ac:dyDescent="0.25">
      <c r="A45" s="325" t="s">
        <v>168</v>
      </c>
      <c r="B45" s="269" t="s">
        <v>145</v>
      </c>
      <c r="C45" s="269" t="s">
        <v>194</v>
      </c>
      <c r="D45" s="269" t="s">
        <v>195</v>
      </c>
      <c r="E45" s="271" t="s">
        <v>196</v>
      </c>
      <c r="F45" s="269" t="s">
        <v>223</v>
      </c>
      <c r="G45" s="271" t="s">
        <v>224</v>
      </c>
      <c r="H45" s="272" t="s">
        <v>234</v>
      </c>
    </row>
    <row r="46" spans="1:8" s="491" customFormat="1" ht="26.25" customHeight="1" x14ac:dyDescent="0.25">
      <c r="A46" s="326" t="s">
        <v>200</v>
      </c>
      <c r="B46" s="335">
        <f>B35</f>
        <v>3250</v>
      </c>
      <c r="C46" s="335">
        <f>B46</f>
        <v>3250</v>
      </c>
      <c r="D46" s="328">
        <f>D35</f>
        <v>3428</v>
      </c>
      <c r="E46" s="349">
        <f>D46</f>
        <v>3428</v>
      </c>
      <c r="F46" s="350" t="str">
        <f>IF(E46&gt;C46,"","OUI")</f>
        <v/>
      </c>
      <c r="G46" s="336">
        <f t="shared" ref="G46:G49" si="2">IF(C46&gt;E46,C46,0)</f>
        <v>0</v>
      </c>
      <c r="H46" s="351">
        <f>G46</f>
        <v>0</v>
      </c>
    </row>
    <row r="47" spans="1:8" s="491" customFormat="1" ht="26.25" customHeight="1" x14ac:dyDescent="0.25">
      <c r="A47" s="326" t="s">
        <v>201</v>
      </c>
      <c r="B47" s="335">
        <f t="shared" ref="B47:B49" si="3">B36</f>
        <v>4100</v>
      </c>
      <c r="C47" s="335">
        <f>C46+B47</f>
        <v>7350</v>
      </c>
      <c r="D47" s="328">
        <f t="shared" ref="D47:D49" si="4">D36</f>
        <v>3428</v>
      </c>
      <c r="E47" s="349">
        <f>E46+D47</f>
        <v>6856</v>
      </c>
      <c r="F47" s="350" t="str">
        <f t="shared" ref="F47:F49" si="5">IF(E47&gt;C47,"","OUI")</f>
        <v>OUI</v>
      </c>
      <c r="G47" s="336">
        <f t="shared" si="2"/>
        <v>7350</v>
      </c>
      <c r="H47" s="351">
        <f>G47-G46</f>
        <v>7350</v>
      </c>
    </row>
    <row r="48" spans="1:8" s="491" customFormat="1" ht="26.25" customHeight="1" x14ac:dyDescent="0.25">
      <c r="A48" s="326" t="s">
        <v>202</v>
      </c>
      <c r="B48" s="335">
        <f t="shared" si="3"/>
        <v>6500</v>
      </c>
      <c r="C48" s="335">
        <f t="shared" ref="C48:C49" si="6">C47+B48</f>
        <v>13850</v>
      </c>
      <c r="D48" s="328">
        <f t="shared" si="4"/>
        <v>3428</v>
      </c>
      <c r="E48" s="349">
        <f t="shared" ref="E48:E49" si="7">E47+D48</f>
        <v>10284</v>
      </c>
      <c r="F48" s="350" t="str">
        <f t="shared" si="5"/>
        <v>OUI</v>
      </c>
      <c r="G48" s="336">
        <f t="shared" si="2"/>
        <v>13850</v>
      </c>
      <c r="H48" s="351">
        <f t="shared" ref="H48:H49" si="8">G48-G47</f>
        <v>6500</v>
      </c>
    </row>
    <row r="49" spans="1:11" s="491" customFormat="1" ht="26.25" customHeight="1" thickBot="1" x14ac:dyDescent="0.3">
      <c r="A49" s="373" t="s">
        <v>203</v>
      </c>
      <c r="B49" s="335">
        <f t="shared" si="3"/>
        <v>4780</v>
      </c>
      <c r="C49" s="374">
        <f t="shared" si="6"/>
        <v>18630</v>
      </c>
      <c r="D49" s="328">
        <f t="shared" si="4"/>
        <v>3085.2000000000003</v>
      </c>
      <c r="E49" s="376">
        <f t="shared" si="7"/>
        <v>13369.2</v>
      </c>
      <c r="F49" s="377" t="str">
        <f t="shared" si="5"/>
        <v>OUI</v>
      </c>
      <c r="G49" s="378">
        <f t="shared" si="2"/>
        <v>18630</v>
      </c>
      <c r="H49" s="379">
        <f t="shared" si="8"/>
        <v>4780</v>
      </c>
    </row>
    <row r="50" spans="1:11" s="491" customFormat="1" x14ac:dyDescent="0.25"/>
    <row r="51" spans="1:11" s="491" customFormat="1" ht="23.25" x14ac:dyDescent="0.25">
      <c r="A51" s="329" t="s">
        <v>205</v>
      </c>
      <c r="B51" s="322"/>
      <c r="C51" s="322"/>
      <c r="D51" s="322"/>
      <c r="E51" s="322"/>
      <c r="F51" s="322"/>
      <c r="G51" s="322"/>
      <c r="H51" s="322"/>
    </row>
    <row r="52" spans="1:11" s="491" customFormat="1" x14ac:dyDescent="0.25"/>
    <row r="53" spans="1:11" s="491" customFormat="1" ht="15.75" thickBot="1" x14ac:dyDescent="0.3"/>
    <row r="54" spans="1:11" s="491" customFormat="1" ht="45" x14ac:dyDescent="0.25">
      <c r="A54" s="330"/>
      <c r="B54" s="331" t="s">
        <v>145</v>
      </c>
      <c r="C54" s="331" t="s">
        <v>194</v>
      </c>
      <c r="D54" s="332" t="s">
        <v>206</v>
      </c>
      <c r="E54" s="332" t="s">
        <v>171</v>
      </c>
      <c r="F54" s="332" t="s">
        <v>207</v>
      </c>
      <c r="G54" s="332" t="s">
        <v>208</v>
      </c>
      <c r="H54" s="271" t="s">
        <v>209</v>
      </c>
      <c r="I54" s="332" t="s">
        <v>210</v>
      </c>
      <c r="J54" s="333" t="s">
        <v>211</v>
      </c>
      <c r="K54" s="334" t="s">
        <v>212</v>
      </c>
    </row>
    <row r="55" spans="1:11" s="491" customFormat="1" x14ac:dyDescent="0.25">
      <c r="A55" s="326" t="s">
        <v>200</v>
      </c>
      <c r="B55" s="335">
        <f>B46</f>
        <v>3250</v>
      </c>
      <c r="C55" s="335">
        <f>B55</f>
        <v>3250</v>
      </c>
      <c r="D55" s="336">
        <f>+B55</f>
        <v>3250</v>
      </c>
      <c r="E55" s="337">
        <v>1603.12</v>
      </c>
      <c r="F55" s="335">
        <f t="shared" ref="F55:F58" si="9">2.5*E55</f>
        <v>4007.7999999999997</v>
      </c>
      <c r="G55" s="335">
        <f>F55</f>
        <v>4007.7999999999997</v>
      </c>
      <c r="H55" s="34" t="str">
        <f t="shared" ref="H55" si="10">IF(C55&gt;G55,"OUI","")</f>
        <v/>
      </c>
      <c r="I55" s="338">
        <f>IF(H55="OUI",C55,0)</f>
        <v>0</v>
      </c>
      <c r="J55" s="336">
        <f>I55</f>
        <v>0</v>
      </c>
      <c r="K55" s="339">
        <f>(D55*7%)+(J55*6%)</f>
        <v>227.50000000000003</v>
      </c>
    </row>
    <row r="56" spans="1:11" s="491" customFormat="1" x14ac:dyDescent="0.25">
      <c r="A56" s="326" t="s">
        <v>201</v>
      </c>
      <c r="B56" s="335">
        <f t="shared" ref="B56:B58" si="11">B47</f>
        <v>4100</v>
      </c>
      <c r="C56" s="335">
        <f>C55+B56</f>
        <v>7350</v>
      </c>
      <c r="D56" s="336">
        <f t="shared" ref="D56:D58" si="12">+B56</f>
        <v>4100</v>
      </c>
      <c r="E56" s="337">
        <v>1603.12</v>
      </c>
      <c r="F56" s="335">
        <f t="shared" si="9"/>
        <v>4007.7999999999997</v>
      </c>
      <c r="G56" s="335">
        <f t="shared" ref="G56:G58" si="13">G55+F56</f>
        <v>8015.5999999999995</v>
      </c>
      <c r="H56" s="34" t="str">
        <f>IF(C56&gt;G56,"OUI","")</f>
        <v/>
      </c>
      <c r="I56" s="338">
        <f>IF(H56="OUI",C56,0)</f>
        <v>0</v>
      </c>
      <c r="J56" s="336">
        <f>I56-I55</f>
        <v>0</v>
      </c>
      <c r="K56" s="339">
        <f t="shared" ref="K56:K58" si="14">(D56*7%)+(J56*6%)</f>
        <v>287</v>
      </c>
    </row>
    <row r="57" spans="1:11" s="491" customFormat="1" x14ac:dyDescent="0.25">
      <c r="A57" s="326" t="s">
        <v>202</v>
      </c>
      <c r="B57" s="335">
        <f t="shared" si="11"/>
        <v>6500</v>
      </c>
      <c r="C57" s="335">
        <f t="shared" ref="C57:C58" si="15">C56+B57</f>
        <v>13850</v>
      </c>
      <c r="D57" s="336">
        <f t="shared" si="12"/>
        <v>6500</v>
      </c>
      <c r="E57" s="337">
        <v>1603.12</v>
      </c>
      <c r="F57" s="335">
        <f t="shared" si="9"/>
        <v>4007.7999999999997</v>
      </c>
      <c r="G57" s="335">
        <f t="shared" si="13"/>
        <v>12023.4</v>
      </c>
      <c r="H57" s="34" t="str">
        <f t="shared" ref="H57:H58" si="16">IF(C57&gt;G57,"OUI","")</f>
        <v>OUI</v>
      </c>
      <c r="I57" s="338">
        <f t="shared" ref="I57:I58" si="17">IF(H57="OUI",C57,0)</f>
        <v>13850</v>
      </c>
      <c r="J57" s="336">
        <f t="shared" ref="J57:J58" si="18">I57-I56</f>
        <v>13850</v>
      </c>
      <c r="K57" s="339">
        <f t="shared" si="14"/>
        <v>1286</v>
      </c>
    </row>
    <row r="58" spans="1:11" s="491" customFormat="1" x14ac:dyDescent="0.25">
      <c r="A58" s="326" t="s">
        <v>203</v>
      </c>
      <c r="B58" s="335">
        <f t="shared" si="11"/>
        <v>4780</v>
      </c>
      <c r="C58" s="335">
        <f t="shared" si="15"/>
        <v>18630</v>
      </c>
      <c r="D58" s="336">
        <f t="shared" si="12"/>
        <v>4780</v>
      </c>
      <c r="E58" s="337">
        <v>1603.12</v>
      </c>
      <c r="F58" s="335">
        <f t="shared" si="9"/>
        <v>4007.7999999999997</v>
      </c>
      <c r="G58" s="335">
        <f t="shared" si="13"/>
        <v>16031.199999999999</v>
      </c>
      <c r="H58" s="34" t="str">
        <f t="shared" si="16"/>
        <v>OUI</v>
      </c>
      <c r="I58" s="338">
        <f t="shared" si="17"/>
        <v>18630</v>
      </c>
      <c r="J58" s="336">
        <f t="shared" si="18"/>
        <v>4780</v>
      </c>
      <c r="K58" s="339">
        <f t="shared" si="14"/>
        <v>621.40000000000009</v>
      </c>
    </row>
    <row r="59" spans="1:11" s="491" customFormat="1" x14ac:dyDescent="0.25"/>
    <row r="60" spans="1:11" s="491" customFormat="1" x14ac:dyDescent="0.25"/>
  </sheetData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CD669-9E9B-4D80-ACDE-83AF3BBC49F1}">
  <sheetPr>
    <tabColor rgb="FFFF0000"/>
  </sheetPr>
  <dimension ref="B1:P182"/>
  <sheetViews>
    <sheetView topLeftCell="B40" zoomScale="75" zoomScaleNormal="75" workbookViewId="0">
      <selection activeCell="G65" sqref="G65"/>
    </sheetView>
  </sheetViews>
  <sheetFormatPr baseColWidth="10" defaultRowHeight="15" x14ac:dyDescent="0.25"/>
  <cols>
    <col min="1" max="1" width="11.42578125" style="9"/>
    <col min="2" max="2" width="80.85546875" style="9" bestFit="1" customWidth="1"/>
    <col min="3" max="3" width="15" style="9" bestFit="1" customWidth="1"/>
    <col min="4" max="4" width="17.140625" style="9" bestFit="1" customWidth="1"/>
    <col min="5" max="5" width="25.5703125" style="9" bestFit="1" customWidth="1"/>
    <col min="6" max="6" width="12.5703125" style="9" customWidth="1"/>
    <col min="7" max="7" width="18.28515625" style="9" customWidth="1"/>
    <col min="8" max="8" width="11.42578125" style="9" customWidth="1"/>
    <col min="9" max="9" width="52.140625" style="9" bestFit="1" customWidth="1"/>
    <col min="10" max="10" width="12.42578125" style="9" bestFit="1" customWidth="1"/>
    <col min="11" max="11" width="23" style="9" customWidth="1"/>
    <col min="12" max="12" width="11.42578125" style="9"/>
    <col min="13" max="13" width="12.140625" style="9" bestFit="1" customWidth="1"/>
    <col min="14" max="15" width="12" style="9" bestFit="1" customWidth="1"/>
    <col min="16" max="16384" width="11.42578125" style="9"/>
  </cols>
  <sheetData>
    <row r="1" spans="2:11" ht="23.25" thickBot="1" x14ac:dyDescent="0.3">
      <c r="B1" s="10" t="s">
        <v>34</v>
      </c>
      <c r="C1" s="11"/>
      <c r="D1" s="11"/>
      <c r="E1" s="11"/>
      <c r="F1" s="11"/>
      <c r="G1" s="12"/>
      <c r="I1" s="13" t="s">
        <v>35</v>
      </c>
    </row>
    <row r="2" spans="2:11" ht="15.75" thickBot="1" x14ac:dyDescent="0.3">
      <c r="B2" s="14" t="s">
        <v>36</v>
      </c>
      <c r="C2" s="15"/>
      <c r="D2" s="16"/>
      <c r="E2" s="17" t="s">
        <v>37</v>
      </c>
      <c r="F2" s="15"/>
      <c r="G2" s="16"/>
    </row>
    <row r="3" spans="2:11" x14ac:dyDescent="0.25">
      <c r="B3" s="18" t="s">
        <v>38</v>
      </c>
      <c r="C3" s="19"/>
      <c r="D3" s="20"/>
      <c r="E3" s="21" t="s">
        <v>38</v>
      </c>
      <c r="F3" s="22"/>
      <c r="G3" s="23"/>
      <c r="I3" s="17" t="s">
        <v>11</v>
      </c>
      <c r="J3" s="24">
        <v>1700</v>
      </c>
    </row>
    <row r="4" spans="2:11" x14ac:dyDescent="0.25">
      <c r="B4" s="18" t="s">
        <v>39</v>
      </c>
      <c r="C4" s="19"/>
      <c r="D4" s="20"/>
      <c r="E4" s="21" t="s">
        <v>40</v>
      </c>
      <c r="F4" s="22"/>
      <c r="G4" s="23"/>
      <c r="I4" s="21" t="s">
        <v>41</v>
      </c>
      <c r="J4" s="25">
        <v>151.66999999999999</v>
      </c>
    </row>
    <row r="5" spans="2:11" x14ac:dyDescent="0.25">
      <c r="B5" s="18" t="s">
        <v>42</v>
      </c>
      <c r="C5" s="19"/>
      <c r="D5" s="20"/>
      <c r="E5" s="21" t="s">
        <v>43</v>
      </c>
      <c r="F5" s="22"/>
      <c r="G5" s="23"/>
      <c r="I5" s="21" t="s">
        <v>44</v>
      </c>
      <c r="J5" s="23">
        <v>140</v>
      </c>
    </row>
    <row r="6" spans="2:11" x14ac:dyDescent="0.25">
      <c r="B6" s="18" t="s">
        <v>42</v>
      </c>
      <c r="C6" s="19"/>
      <c r="D6" s="20"/>
      <c r="E6" s="21" t="s">
        <v>45</v>
      </c>
      <c r="F6" s="22"/>
      <c r="G6" s="23"/>
      <c r="I6" s="26" t="s">
        <v>8</v>
      </c>
      <c r="J6" s="27">
        <v>5</v>
      </c>
    </row>
    <row r="7" spans="2:11" x14ac:dyDescent="0.25">
      <c r="B7" s="18" t="s">
        <v>46</v>
      </c>
      <c r="C7" s="19"/>
      <c r="D7" s="20"/>
      <c r="E7" s="21"/>
      <c r="F7" s="22"/>
      <c r="G7" s="23"/>
      <c r="I7" s="21" t="s">
        <v>47</v>
      </c>
      <c r="J7" s="28">
        <v>3.9E-2</v>
      </c>
    </row>
    <row r="8" spans="2:11" x14ac:dyDescent="0.25">
      <c r="B8" s="18" t="s">
        <v>48</v>
      </c>
      <c r="C8" s="19"/>
      <c r="D8" s="20"/>
      <c r="E8" s="21" t="s">
        <v>49</v>
      </c>
      <c r="F8" s="22"/>
      <c r="G8" s="23"/>
      <c r="I8" s="29" t="s">
        <v>50</v>
      </c>
      <c r="J8" s="30"/>
      <c r="K8" s="31" t="s">
        <v>51</v>
      </c>
    </row>
    <row r="9" spans="2:11" x14ac:dyDescent="0.25">
      <c r="B9" s="18" t="s">
        <v>52</v>
      </c>
      <c r="C9" s="19"/>
      <c r="D9" s="20"/>
      <c r="E9" s="21" t="s">
        <v>53</v>
      </c>
      <c r="F9" s="32" t="s">
        <v>54</v>
      </c>
      <c r="G9" s="23"/>
      <c r="I9" s="21" t="s">
        <v>55</v>
      </c>
      <c r="J9" s="33">
        <v>10.57</v>
      </c>
    </row>
    <row r="10" spans="2:11" x14ac:dyDescent="0.25">
      <c r="B10" s="18" t="s">
        <v>56</v>
      </c>
      <c r="C10" s="19"/>
      <c r="D10" s="20"/>
      <c r="E10" s="21" t="s">
        <v>57</v>
      </c>
      <c r="F10" s="32"/>
      <c r="G10" s="23"/>
      <c r="I10" s="4" t="s">
        <v>0</v>
      </c>
      <c r="J10" s="34">
        <v>35</v>
      </c>
    </row>
    <row r="11" spans="2:11" x14ac:dyDescent="0.25">
      <c r="B11" s="18" t="s">
        <v>58</v>
      </c>
      <c r="C11" s="19"/>
      <c r="D11" s="20"/>
      <c r="E11" s="21" t="s">
        <v>59</v>
      </c>
      <c r="F11" s="32"/>
      <c r="G11" s="23"/>
      <c r="I11" s="21" t="s">
        <v>60</v>
      </c>
      <c r="J11" s="23"/>
    </row>
    <row r="12" spans="2:11" x14ac:dyDescent="0.25">
      <c r="B12" s="18" t="s">
        <v>61</v>
      </c>
      <c r="C12" s="19">
        <v>4</v>
      </c>
      <c r="D12" s="20"/>
      <c r="E12" s="21" t="s">
        <v>62</v>
      </c>
      <c r="F12" s="35"/>
      <c r="G12" s="36"/>
      <c r="I12" s="21" t="s">
        <v>236</v>
      </c>
      <c r="J12" s="23"/>
    </row>
    <row r="13" spans="2:11" x14ac:dyDescent="0.25">
      <c r="B13" s="18" t="s">
        <v>64</v>
      </c>
      <c r="C13" s="19"/>
      <c r="D13" s="20"/>
      <c r="E13" s="21" t="s">
        <v>65</v>
      </c>
      <c r="F13" s="37"/>
      <c r="G13" s="23"/>
      <c r="I13" s="21" t="s">
        <v>63</v>
      </c>
      <c r="J13" s="23"/>
    </row>
    <row r="14" spans="2:11" x14ac:dyDescent="0.25">
      <c r="B14" s="18"/>
      <c r="C14" s="19"/>
      <c r="D14" s="20"/>
      <c r="E14" s="21" t="s">
        <v>67</v>
      </c>
      <c r="F14" s="22"/>
      <c r="G14" s="23"/>
      <c r="I14" s="21" t="s">
        <v>66</v>
      </c>
      <c r="J14" s="23"/>
    </row>
    <row r="15" spans="2:11" x14ac:dyDescent="0.25">
      <c r="B15" s="21"/>
      <c r="C15" s="19"/>
      <c r="D15" s="20"/>
      <c r="E15" s="21"/>
      <c r="F15" s="22"/>
      <c r="G15" s="23"/>
      <c r="I15" s="21" t="s">
        <v>68</v>
      </c>
      <c r="J15" s="23"/>
    </row>
    <row r="16" spans="2:11" ht="15.75" thickBot="1" x14ac:dyDescent="0.3">
      <c r="B16" s="38"/>
      <c r="C16" s="39"/>
      <c r="D16" s="40"/>
      <c r="E16" s="38"/>
      <c r="F16" s="41"/>
      <c r="G16" s="42"/>
      <c r="I16" s="21" t="s">
        <v>69</v>
      </c>
      <c r="J16" s="23"/>
    </row>
    <row r="17" spans="2:16" ht="15.75" thickBot="1" x14ac:dyDescent="0.3">
      <c r="B17" s="43" t="s">
        <v>71</v>
      </c>
      <c r="C17" s="567"/>
      <c r="D17" s="568"/>
      <c r="E17" s="44" t="s">
        <v>72</v>
      </c>
      <c r="F17" s="567"/>
      <c r="G17" s="569"/>
      <c r="I17" s="26" t="s">
        <v>70</v>
      </c>
    </row>
    <row r="18" spans="2:16" ht="20.25" customHeight="1" thickBot="1" x14ac:dyDescent="0.3">
      <c r="B18" s="46" t="s">
        <v>74</v>
      </c>
      <c r="C18" s="47"/>
      <c r="D18" s="47"/>
      <c r="E18" s="47"/>
      <c r="F18" s="47"/>
      <c r="G18" s="48"/>
      <c r="I18" s="26" t="s">
        <v>73</v>
      </c>
      <c r="J18" s="45">
        <f>+'REGUL DE OLIVEIRA'!G38</f>
        <v>3085.2000000000007</v>
      </c>
    </row>
    <row r="19" spans="2:16" ht="24" customHeight="1" thickBot="1" x14ac:dyDescent="0.3">
      <c r="B19" s="50" t="s">
        <v>74</v>
      </c>
      <c r="C19" s="51" t="s">
        <v>76</v>
      </c>
      <c r="D19" s="51" t="s">
        <v>77</v>
      </c>
      <c r="E19" s="52" t="s">
        <v>78</v>
      </c>
      <c r="F19" s="53"/>
      <c r="G19" s="53"/>
      <c r="I19" s="26" t="s">
        <v>75</v>
      </c>
      <c r="J19" s="49">
        <f>E37-J18</f>
        <v>1694.7999999999993</v>
      </c>
    </row>
    <row r="20" spans="2:16" s="54" customFormat="1" x14ac:dyDescent="0.25">
      <c r="B20" s="17" t="s">
        <v>11</v>
      </c>
      <c r="C20" s="55"/>
      <c r="D20" s="56"/>
      <c r="E20" s="24">
        <f>J3</f>
        <v>1700</v>
      </c>
      <c r="F20" s="57"/>
      <c r="G20" s="58"/>
      <c r="H20" s="9"/>
      <c r="I20" s="21" t="s">
        <v>79</v>
      </c>
      <c r="J20" s="23">
        <v>0.31950000000000001</v>
      </c>
      <c r="K20" s="9"/>
      <c r="L20" s="9"/>
      <c r="M20" s="9"/>
      <c r="N20" s="9"/>
      <c r="O20" s="9"/>
      <c r="P20" s="9"/>
    </row>
    <row r="21" spans="2:16" s="54" customFormat="1" x14ac:dyDescent="0.25">
      <c r="B21" s="61" t="s">
        <v>251</v>
      </c>
      <c r="C21" s="62"/>
      <c r="D21" s="63"/>
      <c r="E21" s="64">
        <v>3250</v>
      </c>
      <c r="F21" s="65"/>
      <c r="G21" s="66"/>
      <c r="I21" s="59" t="s">
        <v>80</v>
      </c>
      <c r="J21" s="60">
        <v>8.5999999999999993E-2</v>
      </c>
      <c r="K21" s="9"/>
      <c r="L21" s="9"/>
      <c r="M21" s="9"/>
      <c r="N21" s="9"/>
      <c r="O21" s="9"/>
      <c r="P21" s="9"/>
    </row>
    <row r="22" spans="2:16" s="54" customFormat="1" x14ac:dyDescent="0.25">
      <c r="B22" s="61" t="s">
        <v>341</v>
      </c>
      <c r="C22" s="62">
        <v>3</v>
      </c>
      <c r="D22" s="384">
        <f>E20/30</f>
        <v>56.666666666666664</v>
      </c>
      <c r="E22" s="64">
        <f>D22*-C22</f>
        <v>-170</v>
      </c>
      <c r="F22" s="65"/>
      <c r="G22" s="66"/>
      <c r="I22" s="21" t="s">
        <v>81</v>
      </c>
      <c r="J22" s="70">
        <v>20</v>
      </c>
      <c r="K22" s="9"/>
      <c r="L22" s="9"/>
      <c r="M22" s="9"/>
      <c r="N22" s="9"/>
      <c r="O22" s="9"/>
      <c r="P22" s="9"/>
    </row>
    <row r="23" spans="2:16" s="54" customFormat="1" x14ac:dyDescent="0.25">
      <c r="B23" s="21" t="s">
        <v>236</v>
      </c>
      <c r="C23" s="387">
        <f>J12</f>
        <v>0</v>
      </c>
      <c r="D23" s="384">
        <f>E20/151.67*1.1</f>
        <v>12.329399353860357</v>
      </c>
      <c r="E23" s="64">
        <f>D23*C23</f>
        <v>0</v>
      </c>
      <c r="F23" s="65"/>
      <c r="G23" s="66"/>
      <c r="I23" s="21" t="s">
        <v>83</v>
      </c>
      <c r="J23" s="70">
        <v>22</v>
      </c>
      <c r="K23" s="9"/>
      <c r="L23" s="9"/>
      <c r="M23" s="9"/>
      <c r="N23" s="9"/>
      <c r="O23" s="9"/>
      <c r="P23" s="9"/>
    </row>
    <row r="24" spans="2:16" ht="15.75" thickBot="1" x14ac:dyDescent="0.3">
      <c r="B24" s="21" t="s">
        <v>63</v>
      </c>
      <c r="C24" s="387">
        <f>J13</f>
        <v>0</v>
      </c>
      <c r="D24" s="69">
        <f>IF($J$4&gt;=151.67,$J$3/151.67*1.25,0)</f>
        <v>14.010681083932221</v>
      </c>
      <c r="E24" s="70">
        <f>D24*C24</f>
        <v>0</v>
      </c>
      <c r="F24" s="71"/>
      <c r="G24" s="72"/>
      <c r="I24" s="21" t="s">
        <v>84</v>
      </c>
      <c r="J24" s="73"/>
    </row>
    <row r="25" spans="2:16" ht="16.5" thickBot="1" x14ac:dyDescent="0.3">
      <c r="B25" s="21" t="s">
        <v>66</v>
      </c>
      <c r="C25" s="388">
        <f>J14</f>
        <v>0</v>
      </c>
      <c r="D25" s="69">
        <f>IF($J$4&gt;=151.67,$J$3/151.67*1.5,0)</f>
        <v>16.812817300718667</v>
      </c>
      <c r="E25" s="70">
        <f>D25*C25</f>
        <v>0</v>
      </c>
      <c r="F25" s="71"/>
      <c r="G25" s="74"/>
      <c r="I25" s="38" t="s">
        <v>85</v>
      </c>
      <c r="J25" s="75"/>
      <c r="K25" s="76"/>
    </row>
    <row r="26" spans="2:16" ht="15.75" thickBot="1" x14ac:dyDescent="0.3">
      <c r="B26" s="21" t="s">
        <v>68</v>
      </c>
      <c r="C26" s="388">
        <f>J15</f>
        <v>0</v>
      </c>
      <c r="D26" s="22">
        <f>IF($J$4&lt;151.67,$E$20/151.67*1.1,0)</f>
        <v>0</v>
      </c>
      <c r="E26" s="70">
        <f t="shared" ref="E26:E27" si="0">D26*C26</f>
        <v>0</v>
      </c>
      <c r="F26" s="71"/>
      <c r="G26" s="74"/>
      <c r="I26" s="4" t="s">
        <v>86</v>
      </c>
      <c r="J26" s="78">
        <v>0</v>
      </c>
    </row>
    <row r="27" spans="2:16" ht="15.75" thickBot="1" x14ac:dyDescent="0.3">
      <c r="B27" s="21" t="s">
        <v>69</v>
      </c>
      <c r="C27" s="388">
        <f>J16</f>
        <v>0</v>
      </c>
      <c r="D27" s="22">
        <f>IF($J$4&lt;151.67,$E$20/151.67*1.1,0)</f>
        <v>0</v>
      </c>
      <c r="E27" s="70">
        <f t="shared" si="0"/>
        <v>0</v>
      </c>
      <c r="F27" s="71"/>
      <c r="G27" s="74"/>
      <c r="I27" s="77" t="s">
        <v>233</v>
      </c>
      <c r="J27" s="78">
        <v>1620</v>
      </c>
    </row>
    <row r="28" spans="2:16" x14ac:dyDescent="0.25">
      <c r="B28" s="21" t="s">
        <v>237</v>
      </c>
      <c r="C28" s="388"/>
      <c r="D28" s="386"/>
      <c r="E28" s="70">
        <f>D28*C28</f>
        <v>0</v>
      </c>
      <c r="F28" s="71"/>
      <c r="G28" s="74"/>
    </row>
    <row r="29" spans="2:16" ht="17.25" customHeight="1" x14ac:dyDescent="0.25">
      <c r="B29" s="21" t="s">
        <v>88</v>
      </c>
      <c r="C29" s="79"/>
      <c r="D29" s="22"/>
      <c r="E29" s="70"/>
      <c r="F29" s="80"/>
      <c r="G29" s="81"/>
      <c r="I29" s="82"/>
    </row>
    <row r="30" spans="2:16" x14ac:dyDescent="0.25">
      <c r="B30" s="21" t="s">
        <v>89</v>
      </c>
      <c r="C30" s="79"/>
      <c r="D30" s="22"/>
      <c r="E30" s="70"/>
      <c r="F30" s="80"/>
      <c r="G30" s="81"/>
    </row>
    <row r="31" spans="2:16" x14ac:dyDescent="0.25">
      <c r="B31" s="21"/>
      <c r="C31" s="83"/>
      <c r="D31" s="84"/>
      <c r="E31" s="85"/>
      <c r="F31" s="86"/>
      <c r="G31" s="87"/>
    </row>
    <row r="32" spans="2:16" ht="15.75" thickBot="1" x14ac:dyDescent="0.3">
      <c r="B32" s="88" t="s">
        <v>90</v>
      </c>
      <c r="C32" s="89"/>
      <c r="D32" s="90"/>
      <c r="E32" s="91">
        <f>-E163</f>
        <v>0</v>
      </c>
      <c r="F32" s="92"/>
      <c r="G32" s="93"/>
    </row>
    <row r="33" spans="2:7" x14ac:dyDescent="0.25">
      <c r="B33" s="94" t="s">
        <v>91</v>
      </c>
      <c r="C33" s="95"/>
      <c r="D33" s="96"/>
      <c r="E33" s="97">
        <f>-E182</f>
        <v>0</v>
      </c>
      <c r="F33" s="98"/>
      <c r="G33" s="99"/>
    </row>
    <row r="34" spans="2:7" x14ac:dyDescent="0.25">
      <c r="B34" s="88" t="s">
        <v>28</v>
      </c>
      <c r="C34" s="95"/>
      <c r="D34" s="96"/>
      <c r="E34" s="97">
        <f>E180</f>
        <v>0</v>
      </c>
      <c r="F34" s="98"/>
      <c r="G34" s="99"/>
    </row>
    <row r="35" spans="2:7" x14ac:dyDescent="0.25">
      <c r="B35" s="94"/>
      <c r="C35" s="95"/>
      <c r="D35" s="96"/>
      <c r="E35" s="97"/>
      <c r="F35" s="98"/>
      <c r="G35" s="99"/>
    </row>
    <row r="36" spans="2:7" ht="15.75" thickBot="1" x14ac:dyDescent="0.3">
      <c r="B36" s="100" t="s">
        <v>92</v>
      </c>
      <c r="C36" s="381">
        <f>J27</f>
        <v>1620</v>
      </c>
      <c r="D36" s="96">
        <f>J26</f>
        <v>0</v>
      </c>
      <c r="E36" s="101">
        <f>C36*D36</f>
        <v>0</v>
      </c>
      <c r="F36" s="98"/>
      <c r="G36" s="99"/>
    </row>
    <row r="37" spans="2:7" ht="16.5" thickTop="1" thickBot="1" x14ac:dyDescent="0.3">
      <c r="B37" s="102" t="s">
        <v>93</v>
      </c>
      <c r="C37" s="103"/>
      <c r="D37" s="104"/>
      <c r="E37" s="105">
        <f>SUM(E20:E36)</f>
        <v>4780</v>
      </c>
      <c r="F37" s="98"/>
      <c r="G37" s="99"/>
    </row>
    <row r="38" spans="2:7" ht="15.75" thickBot="1" x14ac:dyDescent="0.3">
      <c r="B38" s="106"/>
      <c r="C38" s="107"/>
      <c r="D38" s="108"/>
      <c r="E38" s="108"/>
      <c r="F38" s="109"/>
      <c r="G38" s="110"/>
    </row>
    <row r="39" spans="2:7" ht="28.5" x14ac:dyDescent="0.25">
      <c r="B39" s="111" t="s">
        <v>94</v>
      </c>
      <c r="C39" s="112" t="s">
        <v>95</v>
      </c>
      <c r="D39" s="112" t="s">
        <v>96</v>
      </c>
      <c r="E39" s="112" t="s">
        <v>97</v>
      </c>
      <c r="F39" s="112" t="s">
        <v>96</v>
      </c>
      <c r="G39" s="113" t="s">
        <v>98</v>
      </c>
    </row>
    <row r="40" spans="2:7" x14ac:dyDescent="0.25">
      <c r="B40" s="114" t="s">
        <v>99</v>
      </c>
      <c r="C40" s="115"/>
      <c r="D40" s="116"/>
      <c r="E40" s="116"/>
      <c r="F40" s="117"/>
      <c r="G40" s="118"/>
    </row>
    <row r="41" spans="2:7" x14ac:dyDescent="0.25">
      <c r="B41" s="119" t="s">
        <v>100</v>
      </c>
      <c r="C41" s="95">
        <f>$E$37</f>
        <v>4780</v>
      </c>
      <c r="D41" s="120"/>
      <c r="E41" s="121"/>
      <c r="F41" s="122">
        <v>7.0000000000000007E-2</v>
      </c>
      <c r="G41" s="123">
        <f>+F41*C41</f>
        <v>334.6</v>
      </c>
    </row>
    <row r="42" spans="2:7" x14ac:dyDescent="0.25">
      <c r="B42" s="119" t="s">
        <v>355</v>
      </c>
      <c r="C42" s="95">
        <f>'REGUL DE OLIVEIRA'!J58</f>
        <v>4780</v>
      </c>
      <c r="D42" s="120"/>
      <c r="E42" s="121"/>
      <c r="F42" s="512">
        <v>0.06</v>
      </c>
      <c r="G42" s="123">
        <f>+F42*C42</f>
        <v>286.8</v>
      </c>
    </row>
    <row r="43" spans="2:7" x14ac:dyDescent="0.25">
      <c r="B43" s="119" t="s">
        <v>101</v>
      </c>
      <c r="C43" s="95">
        <f>J18</f>
        <v>3085.2000000000007</v>
      </c>
      <c r="D43" s="124"/>
      <c r="E43" s="125"/>
      <c r="F43" s="126">
        <f>J25</f>
        <v>0</v>
      </c>
      <c r="G43" s="123">
        <f>F43*C43</f>
        <v>0</v>
      </c>
    </row>
    <row r="44" spans="2:7" x14ac:dyDescent="0.25">
      <c r="B44" s="119" t="s">
        <v>102</v>
      </c>
      <c r="C44" s="95"/>
      <c r="D44" s="124"/>
      <c r="E44" s="125"/>
      <c r="F44" s="126"/>
      <c r="G44" s="123">
        <f>F44*C44</f>
        <v>0</v>
      </c>
    </row>
    <row r="45" spans="2:7" x14ac:dyDescent="0.25">
      <c r="B45" s="119" t="s">
        <v>103</v>
      </c>
      <c r="C45" s="95"/>
      <c r="D45" s="124"/>
      <c r="E45" s="125">
        <v>20</v>
      </c>
      <c r="F45" s="126"/>
      <c r="G45" s="123">
        <f>+J23</f>
        <v>22</v>
      </c>
    </row>
    <row r="46" spans="2:7" x14ac:dyDescent="0.25">
      <c r="B46" s="127" t="s">
        <v>104</v>
      </c>
      <c r="C46" s="95">
        <f>E37</f>
        <v>4780</v>
      </c>
      <c r="E46" s="95"/>
      <c r="F46" s="128">
        <f>J7</f>
        <v>3.9E-2</v>
      </c>
      <c r="G46" s="123">
        <f>F46*C46</f>
        <v>186.42</v>
      </c>
    </row>
    <row r="47" spans="2:7" x14ac:dyDescent="0.25">
      <c r="B47" s="114" t="s">
        <v>105</v>
      </c>
      <c r="C47" s="115"/>
      <c r="D47" s="116"/>
      <c r="E47" s="116"/>
      <c r="F47" s="117"/>
      <c r="G47" s="118"/>
    </row>
    <row r="48" spans="2:7" x14ac:dyDescent="0.25">
      <c r="B48" s="119" t="s">
        <v>106</v>
      </c>
      <c r="C48" s="95">
        <f>J18</f>
        <v>3085.2000000000007</v>
      </c>
      <c r="D48" s="124">
        <v>6.9000000000000006E-2</v>
      </c>
      <c r="E48" s="125">
        <f>D48*C48</f>
        <v>212.87880000000007</v>
      </c>
      <c r="F48" s="126">
        <v>8.5500000000000007E-2</v>
      </c>
      <c r="G48" s="123">
        <f>F48*C48</f>
        <v>263.78460000000007</v>
      </c>
    </row>
    <row r="49" spans="2:10" x14ac:dyDescent="0.25">
      <c r="B49" s="119" t="s">
        <v>107</v>
      </c>
      <c r="C49" s="95">
        <f>$E$37</f>
        <v>4780</v>
      </c>
      <c r="D49" s="124">
        <v>4.0000000000000001E-3</v>
      </c>
      <c r="E49" s="125">
        <f t="shared" ref="E49:E52" si="1">D49*C49</f>
        <v>19.12</v>
      </c>
      <c r="F49" s="126">
        <v>1.9E-2</v>
      </c>
      <c r="G49" s="123">
        <f t="shared" ref="G49:G52" si="2">F49*C49</f>
        <v>90.82</v>
      </c>
    </row>
    <row r="50" spans="2:10" x14ac:dyDescent="0.25">
      <c r="B50" s="119" t="s">
        <v>108</v>
      </c>
      <c r="C50" s="95">
        <f>J18</f>
        <v>3085.2000000000007</v>
      </c>
      <c r="D50" s="124">
        <v>4.0099999999999997E-2</v>
      </c>
      <c r="E50" s="125">
        <f t="shared" si="1"/>
        <v>123.71652000000002</v>
      </c>
      <c r="F50" s="126">
        <v>6.0100000000000001E-2</v>
      </c>
      <c r="G50" s="123">
        <f t="shared" si="2"/>
        <v>185.42052000000004</v>
      </c>
    </row>
    <row r="51" spans="2:10" x14ac:dyDescent="0.25">
      <c r="B51" s="119" t="s">
        <v>109</v>
      </c>
      <c r="C51" s="95">
        <f>J19</f>
        <v>1694.7999999999993</v>
      </c>
      <c r="D51" s="124">
        <v>9.7199999999999995E-2</v>
      </c>
      <c r="E51" s="125">
        <f t="shared" si="1"/>
        <v>164.73455999999993</v>
      </c>
      <c r="F51" s="126">
        <v>0.1457</v>
      </c>
      <c r="G51" s="123">
        <f t="shared" si="2"/>
        <v>246.93235999999987</v>
      </c>
    </row>
    <row r="52" spans="2:10" x14ac:dyDescent="0.25">
      <c r="B52" s="119" t="s">
        <v>110</v>
      </c>
      <c r="C52" s="95"/>
      <c r="D52" s="124">
        <v>1.4E-3</v>
      </c>
      <c r="E52" s="125">
        <f t="shared" si="1"/>
        <v>0</v>
      </c>
      <c r="F52" s="126">
        <v>2.0999999999999999E-3</v>
      </c>
      <c r="G52" s="123">
        <f t="shared" si="2"/>
        <v>0</v>
      </c>
      <c r="I52" s="356">
        <f>SUM(E48:E52)</f>
        <v>520.44988000000001</v>
      </c>
    </row>
    <row r="53" spans="2:10" x14ac:dyDescent="0.25">
      <c r="B53" s="119" t="s">
        <v>111</v>
      </c>
      <c r="C53" s="95"/>
      <c r="D53" s="124"/>
      <c r="E53" s="125"/>
      <c r="F53" s="126"/>
      <c r="G53" s="123"/>
      <c r="I53" s="401"/>
    </row>
    <row r="54" spans="2:10" x14ac:dyDescent="0.25">
      <c r="B54" s="114" t="s">
        <v>112</v>
      </c>
      <c r="C54" s="95">
        <f>$E$37</f>
        <v>4780</v>
      </c>
      <c r="D54" s="129"/>
      <c r="E54" s="95"/>
      <c r="F54" s="126">
        <v>3.4500000000000003E-2</v>
      </c>
      <c r="G54" s="130">
        <f>+F54*C54</f>
        <v>164.91000000000003</v>
      </c>
    </row>
    <row r="55" spans="2:10" x14ac:dyDescent="0.25">
      <c r="B55" s="114" t="s">
        <v>113</v>
      </c>
      <c r="C55" s="95"/>
      <c r="D55" s="129"/>
      <c r="E55" s="95"/>
      <c r="F55" s="131"/>
      <c r="G55" s="123"/>
    </row>
    <row r="56" spans="2:10" x14ac:dyDescent="0.25">
      <c r="B56" s="119" t="s">
        <v>114</v>
      </c>
      <c r="C56" s="95">
        <f>+E37</f>
        <v>4780</v>
      </c>
      <c r="D56" s="129"/>
      <c r="E56" s="95"/>
      <c r="F56" s="132">
        <v>4.2000000000000003E-2</v>
      </c>
      <c r="G56" s="123">
        <f t="shared" ref="G56" si="3">F56*C56</f>
        <v>200.76000000000002</v>
      </c>
    </row>
    <row r="57" spans="2:10" x14ac:dyDescent="0.25">
      <c r="B57" s="119" t="s">
        <v>115</v>
      </c>
      <c r="C57" s="95"/>
      <c r="D57" s="133">
        <v>2.4000000000000001E-4</v>
      </c>
      <c r="E57" s="134">
        <f>D57*C57</f>
        <v>0</v>
      </c>
      <c r="F57" s="131">
        <v>3.6000000000000002E-4</v>
      </c>
      <c r="G57" s="135">
        <f>C57*F57</f>
        <v>0</v>
      </c>
    </row>
    <row r="58" spans="2:10" x14ac:dyDescent="0.25">
      <c r="B58" s="114" t="s">
        <v>116</v>
      </c>
      <c r="C58" s="95"/>
      <c r="D58" s="129"/>
      <c r="E58" s="95"/>
      <c r="F58" s="131"/>
      <c r="G58" s="123">
        <f>E105</f>
        <v>71.917200000000008</v>
      </c>
    </row>
    <row r="59" spans="2:10" x14ac:dyDescent="0.25">
      <c r="B59" s="127"/>
      <c r="C59" s="95"/>
      <c r="D59" s="95"/>
      <c r="E59" s="95"/>
      <c r="F59" s="95"/>
      <c r="G59" s="136"/>
    </row>
    <row r="60" spans="2:10" x14ac:dyDescent="0.25">
      <c r="B60" s="137" t="s">
        <v>117</v>
      </c>
      <c r="C60" s="95"/>
      <c r="D60" s="95"/>
      <c r="E60" s="95"/>
      <c r="F60" s="95"/>
      <c r="G60" s="136"/>
    </row>
    <row r="61" spans="2:10" x14ac:dyDescent="0.25">
      <c r="B61" s="127"/>
      <c r="C61" s="95"/>
      <c r="D61" s="133"/>
      <c r="E61" s="95"/>
      <c r="F61" s="138"/>
      <c r="G61" s="123"/>
      <c r="I61" s="9" t="s">
        <v>238</v>
      </c>
      <c r="J61" s="356">
        <f>SUM(E48:E51)</f>
        <v>520.44988000000001</v>
      </c>
    </row>
    <row r="62" spans="2:10" x14ac:dyDescent="0.25">
      <c r="B62" s="127" t="s">
        <v>118</v>
      </c>
      <c r="C62" s="95">
        <f>(E37-E24-E25-E26-E27)*0.9825+G43+G44+G45</f>
        <v>4718.3500000000004</v>
      </c>
      <c r="D62" s="124">
        <v>6.8000000000000005E-2</v>
      </c>
      <c r="E62" s="125">
        <f>D62*C62</f>
        <v>320.84780000000006</v>
      </c>
      <c r="F62" s="126"/>
      <c r="G62" s="123"/>
      <c r="I62" s="9" t="s">
        <v>239</v>
      </c>
      <c r="J62" s="390">
        <f>J61/E37</f>
        <v>0.1088807280334728</v>
      </c>
    </row>
    <row r="63" spans="2:10" x14ac:dyDescent="0.25">
      <c r="B63" s="127" t="s">
        <v>119</v>
      </c>
      <c r="C63" s="95">
        <f>C62</f>
        <v>4718.3500000000004</v>
      </c>
      <c r="D63" s="124">
        <v>2.9000000000000001E-2</v>
      </c>
      <c r="E63" s="125">
        <f>D63*C63</f>
        <v>136.83215000000001</v>
      </c>
      <c r="F63" s="126"/>
      <c r="G63" s="123"/>
      <c r="I63" s="9" t="s">
        <v>240</v>
      </c>
    </row>
    <row r="64" spans="2:10" ht="35.25" customHeight="1" x14ac:dyDescent="0.25">
      <c r="B64" s="139" t="s">
        <v>120</v>
      </c>
      <c r="C64" s="95">
        <f>(E24+E25+E26+E27)*0.9825</f>
        <v>0</v>
      </c>
      <c r="D64" s="124">
        <v>9.7000000000000003E-2</v>
      </c>
      <c r="E64" s="125">
        <f>D64*C64</f>
        <v>0</v>
      </c>
      <c r="F64" s="126"/>
      <c r="G64" s="123"/>
    </row>
    <row r="65" spans="2:7" ht="24.75" customHeight="1" x14ac:dyDescent="0.25">
      <c r="B65" s="139" t="s">
        <v>121</v>
      </c>
      <c r="C65" s="124"/>
      <c r="D65" s="124"/>
      <c r="E65" s="125"/>
      <c r="F65" s="126"/>
      <c r="G65" s="397"/>
    </row>
    <row r="66" spans="2:7" ht="21" customHeight="1" x14ac:dyDescent="0.25">
      <c r="B66" s="139" t="s">
        <v>122</v>
      </c>
      <c r="C66" s="140">
        <f>E24+E25+E26+E27</f>
        <v>0</v>
      </c>
      <c r="D66" s="124">
        <f>-J62</f>
        <v>-0.1088807280334728</v>
      </c>
      <c r="E66" s="125">
        <f>D66*C66</f>
        <v>0</v>
      </c>
      <c r="F66" s="126"/>
      <c r="G66" s="123"/>
    </row>
    <row r="67" spans="2:7" ht="15.75" thickBot="1" x14ac:dyDescent="0.3">
      <c r="B67" s="141" t="s">
        <v>123</v>
      </c>
      <c r="C67" s="389">
        <f>IF(AND(J4=151.67,J6&lt;20),C24+C25,0)+C23</f>
        <v>0</v>
      </c>
      <c r="D67" s="143"/>
      <c r="E67" s="144"/>
      <c r="F67" s="145">
        <v>-1.5</v>
      </c>
      <c r="G67" s="146">
        <f>F67*C67</f>
        <v>0</v>
      </c>
    </row>
    <row r="68" spans="2:7" ht="15.75" thickBot="1" x14ac:dyDescent="0.3">
      <c r="B68" s="147" t="s">
        <v>124</v>
      </c>
      <c r="C68" s="148"/>
      <c r="D68" s="149"/>
      <c r="E68" s="150">
        <f>SUM(E41:E67)</f>
        <v>998.12983000000008</v>
      </c>
      <c r="F68" s="151"/>
      <c r="G68" s="152">
        <f>SUM(G41:G67)</f>
        <v>2054.3646800000001</v>
      </c>
    </row>
    <row r="69" spans="2:7" x14ac:dyDescent="0.25">
      <c r="B69" s="153"/>
      <c r="C69" s="154"/>
      <c r="D69" s="155"/>
      <c r="E69" s="156"/>
      <c r="F69" s="157"/>
      <c r="G69" s="158"/>
    </row>
    <row r="70" spans="2:7" x14ac:dyDescent="0.25">
      <c r="B70" s="119" t="s">
        <v>125</v>
      </c>
      <c r="C70" s="125"/>
      <c r="D70" s="159"/>
      <c r="E70" s="160"/>
      <c r="F70" s="161"/>
      <c r="G70" s="162"/>
    </row>
    <row r="71" spans="2:7" x14ac:dyDescent="0.25">
      <c r="B71" s="119" t="s">
        <v>126</v>
      </c>
      <c r="C71" s="125"/>
      <c r="D71" s="159"/>
      <c r="E71" s="160"/>
      <c r="F71" s="161"/>
      <c r="G71" s="162"/>
    </row>
    <row r="72" spans="2:7" x14ac:dyDescent="0.25">
      <c r="B72" s="119" t="s">
        <v>127</v>
      </c>
      <c r="C72" s="125"/>
      <c r="D72" s="159"/>
      <c r="E72" s="125">
        <f>-535</f>
        <v>-535</v>
      </c>
      <c r="F72" s="161"/>
      <c r="G72" s="162"/>
    </row>
    <row r="73" spans="2:7" ht="15.75" customHeight="1" x14ac:dyDescent="0.25">
      <c r="B73" s="163" t="s">
        <v>128</v>
      </c>
      <c r="C73" s="385">
        <v>16</v>
      </c>
      <c r="D73" s="159">
        <v>3.6</v>
      </c>
      <c r="E73" s="125">
        <f>-D73*C73</f>
        <v>-57.6</v>
      </c>
      <c r="F73" s="161"/>
      <c r="G73" s="162"/>
    </row>
    <row r="74" spans="2:7" x14ac:dyDescent="0.25">
      <c r="B74" s="165" t="s">
        <v>129</v>
      </c>
      <c r="D74" s="166"/>
      <c r="E74" s="167"/>
      <c r="F74" s="168"/>
      <c r="G74" s="162"/>
    </row>
    <row r="75" spans="2:7" x14ac:dyDescent="0.25">
      <c r="B75" s="169" t="s">
        <v>228</v>
      </c>
      <c r="C75" s="125"/>
      <c r="D75" s="159"/>
      <c r="E75" s="170"/>
      <c r="F75" s="161"/>
      <c r="G75" s="162"/>
    </row>
    <row r="76" spans="2:7" ht="15.75" thickBot="1" x14ac:dyDescent="0.3">
      <c r="B76" s="141"/>
      <c r="C76" s="144"/>
      <c r="D76" s="171"/>
      <c r="E76" s="172"/>
      <c r="F76" s="173"/>
      <c r="G76" s="146"/>
    </row>
    <row r="77" spans="2:7" ht="15.75" thickBot="1" x14ac:dyDescent="0.3">
      <c r="B77" s="174" t="s">
        <v>130</v>
      </c>
      <c r="C77" s="148"/>
      <c r="D77" s="149"/>
      <c r="E77" s="150"/>
      <c r="F77" s="151"/>
      <c r="G77" s="175">
        <f>E37-E68+E70+E71+E72+E73+E74+E75+E76</f>
        <v>3189.2701700000002</v>
      </c>
    </row>
    <row r="78" spans="2:7" ht="28.5" x14ac:dyDescent="0.25">
      <c r="B78" s="176" t="s">
        <v>131</v>
      </c>
      <c r="C78" s="177"/>
      <c r="D78" s="178"/>
      <c r="E78" s="179"/>
      <c r="F78" s="180"/>
      <c r="G78" s="181"/>
    </row>
    <row r="79" spans="2:7" x14ac:dyDescent="0.25">
      <c r="B79" s="570" t="s">
        <v>132</v>
      </c>
      <c r="C79" s="572" t="s">
        <v>133</v>
      </c>
      <c r="D79" s="182" t="s">
        <v>96</v>
      </c>
      <c r="E79" s="574"/>
      <c r="F79" s="183"/>
      <c r="G79" s="576" t="s">
        <v>134</v>
      </c>
    </row>
    <row r="80" spans="2:7" ht="15.75" thickBot="1" x14ac:dyDescent="0.3">
      <c r="B80" s="571"/>
      <c r="C80" s="573"/>
      <c r="D80" s="184" t="s">
        <v>135</v>
      </c>
      <c r="E80" s="575"/>
      <c r="F80" s="185"/>
      <c r="G80" s="577"/>
    </row>
    <row r="81" spans="2:9" ht="15.75" thickBot="1" x14ac:dyDescent="0.3">
      <c r="B81" s="174" t="s">
        <v>136</v>
      </c>
      <c r="C81" s="186">
        <f>C88</f>
        <v>3940.7023200000003</v>
      </c>
      <c r="D81" s="382">
        <f>J21</f>
        <v>8.5999999999999993E-2</v>
      </c>
      <c r="E81" s="187"/>
      <c r="F81" s="188"/>
      <c r="G81" s="189">
        <f>D81*C81</f>
        <v>338.90039952000001</v>
      </c>
    </row>
    <row r="82" spans="2:9" x14ac:dyDescent="0.25">
      <c r="B82" s="190"/>
      <c r="C82" s="191"/>
      <c r="D82" s="192"/>
      <c r="E82" s="193" t="s">
        <v>137</v>
      </c>
      <c r="F82" s="194"/>
      <c r="G82" s="195">
        <f>G77-G81</f>
        <v>2850.3697704800002</v>
      </c>
    </row>
    <row r="83" spans="2:9" ht="43.5" thickBot="1" x14ac:dyDescent="0.3">
      <c r="B83" s="196" t="s">
        <v>138</v>
      </c>
      <c r="C83" s="197"/>
      <c r="D83" s="198"/>
      <c r="E83" s="199" t="s">
        <v>139</v>
      </c>
      <c r="F83" s="200"/>
      <c r="G83" s="201">
        <f>E120</f>
        <v>372.84000000000003</v>
      </c>
    </row>
    <row r="84" spans="2:9" ht="15.75" thickTop="1" x14ac:dyDescent="0.25">
      <c r="B84" s="555" t="s">
        <v>140</v>
      </c>
      <c r="C84" s="557"/>
      <c r="D84" s="558"/>
      <c r="E84" s="202" t="s">
        <v>141</v>
      </c>
      <c r="F84" s="203"/>
      <c r="G84" s="201">
        <f>E37+G68</f>
        <v>6834.3646800000006</v>
      </c>
    </row>
    <row r="85" spans="2:9" ht="15.75" thickBot="1" x14ac:dyDescent="0.3">
      <c r="B85" s="556"/>
      <c r="C85" s="559"/>
      <c r="D85" s="560"/>
      <c r="E85" s="204" t="s">
        <v>142</v>
      </c>
      <c r="F85" s="205"/>
      <c r="G85" s="206"/>
    </row>
    <row r="86" spans="2:9" ht="28.5" x14ac:dyDescent="0.25">
      <c r="B86" s="207"/>
      <c r="C86" s="208" t="s">
        <v>143</v>
      </c>
      <c r="D86" s="209" t="s">
        <v>144</v>
      </c>
      <c r="E86" s="210"/>
      <c r="F86" s="211"/>
      <c r="G86" s="212"/>
    </row>
    <row r="87" spans="2:9" x14ac:dyDescent="0.25">
      <c r="B87" s="213" t="s">
        <v>145</v>
      </c>
      <c r="C87" s="214">
        <f>E37</f>
        <v>4780</v>
      </c>
      <c r="D87" s="215"/>
      <c r="E87" s="216"/>
      <c r="F87" s="199"/>
      <c r="G87" s="217"/>
      <c r="I87" s="356">
        <f>C88-K39</f>
        <v>3940.7023200000003</v>
      </c>
    </row>
    <row r="88" spans="2:9" ht="15.75" thickBot="1" x14ac:dyDescent="0.3">
      <c r="B88" s="218" t="s">
        <v>146</v>
      </c>
      <c r="C88" s="219">
        <f>E37-E24-E25+G45+E64+E63-E68+G43+G44</f>
        <v>3940.7023200000003</v>
      </c>
      <c r="D88" s="220"/>
      <c r="E88" s="216"/>
      <c r="F88" s="199"/>
      <c r="G88" s="217"/>
    </row>
    <row r="89" spans="2:9" ht="15.75" thickBot="1" x14ac:dyDescent="0.3">
      <c r="B89" s="221" t="s">
        <v>147</v>
      </c>
      <c r="C89" s="222"/>
      <c r="D89" s="222"/>
      <c r="E89" s="223"/>
      <c r="F89" s="223"/>
      <c r="G89" s="224"/>
    </row>
    <row r="92" spans="2:9" s="225" customFormat="1" ht="15.75" thickBot="1" x14ac:dyDescent="0.3">
      <c r="B92" s="561" t="s">
        <v>116</v>
      </c>
      <c r="C92" s="562"/>
      <c r="D92" s="9"/>
      <c r="E92" s="9"/>
    </row>
    <row r="93" spans="2:9" s="225" customFormat="1" x14ac:dyDescent="0.25">
      <c r="B93" s="226"/>
      <c r="C93" s="227"/>
      <c r="D93" s="563">
        <f>+E37</f>
        <v>4780</v>
      </c>
      <c r="E93" s="228"/>
    </row>
    <row r="94" spans="2:9" s="225" customFormat="1" x14ac:dyDescent="0.25">
      <c r="B94" s="229" t="s">
        <v>148</v>
      </c>
      <c r="C94" s="230">
        <f>IF(J6&gt;=11,J8,0)</f>
        <v>0</v>
      </c>
      <c r="D94" s="564"/>
      <c r="E94" s="231">
        <f>C94*$D$93</f>
        <v>0</v>
      </c>
    </row>
    <row r="95" spans="2:9" s="225" customFormat="1" x14ac:dyDescent="0.25">
      <c r="B95" s="229" t="s">
        <v>149</v>
      </c>
      <c r="C95" s="230">
        <f>IF(J6&lt;50,0%,0.5%)</f>
        <v>0</v>
      </c>
      <c r="D95" s="564"/>
      <c r="E95" s="231">
        <f t="shared" ref="E95:E100" si="4">C95*$D$93</f>
        <v>0</v>
      </c>
    </row>
    <row r="96" spans="2:9" s="225" customFormat="1" x14ac:dyDescent="0.25">
      <c r="B96" s="229" t="s">
        <v>150</v>
      </c>
      <c r="C96" s="230"/>
      <c r="D96" s="564"/>
      <c r="E96" s="231">
        <f t="shared" si="4"/>
        <v>0</v>
      </c>
    </row>
    <row r="97" spans="2:5" s="225" customFormat="1" x14ac:dyDescent="0.25">
      <c r="B97" s="229" t="s">
        <v>151</v>
      </c>
      <c r="C97" s="230">
        <v>3.0000000000000001E-3</v>
      </c>
      <c r="D97" s="564"/>
      <c r="E97" s="231">
        <f t="shared" si="4"/>
        <v>14.34</v>
      </c>
    </row>
    <row r="98" spans="2:5" s="225" customFormat="1" x14ac:dyDescent="0.25">
      <c r="B98" s="229" t="s">
        <v>152</v>
      </c>
      <c r="C98" s="230">
        <v>5.8999999999999999E-3</v>
      </c>
      <c r="D98" s="564"/>
      <c r="E98" s="231">
        <f t="shared" si="4"/>
        <v>28.201999999999998</v>
      </c>
    </row>
    <row r="99" spans="2:5" s="225" customFormat="1" x14ac:dyDescent="0.25">
      <c r="B99" s="229" t="s">
        <v>153</v>
      </c>
      <c r="C99" s="230">
        <f>IF(J6&lt;11,0.55%,1%)</f>
        <v>5.5000000000000005E-3</v>
      </c>
      <c r="D99" s="564"/>
      <c r="E99" s="231">
        <f t="shared" si="4"/>
        <v>26.290000000000003</v>
      </c>
    </row>
    <row r="100" spans="2:5" s="225" customFormat="1" x14ac:dyDescent="0.25">
      <c r="B100" s="229"/>
      <c r="C100" s="230">
        <f>IF(J6&lt;=50,0,0.45%)</f>
        <v>0</v>
      </c>
      <c r="D100" s="564"/>
      <c r="E100" s="231">
        <f t="shared" si="4"/>
        <v>0</v>
      </c>
    </row>
    <row r="101" spans="2:5" s="225" customFormat="1" x14ac:dyDescent="0.25">
      <c r="B101" s="21"/>
      <c r="C101" s="22"/>
      <c r="D101" s="22"/>
      <c r="E101" s="23"/>
    </row>
    <row r="102" spans="2:5" s="225" customFormat="1" x14ac:dyDescent="0.25">
      <c r="B102" s="21" t="s">
        <v>154</v>
      </c>
      <c r="C102" s="232">
        <f>IF(J6&gt;=11,+G43+G44+G45,0)</f>
        <v>0</v>
      </c>
      <c r="D102" s="233">
        <v>0.08</v>
      </c>
      <c r="E102" s="234">
        <f>D102*C102</f>
        <v>0</v>
      </c>
    </row>
    <row r="103" spans="2:5" s="225" customFormat="1" ht="15.75" thickBot="1" x14ac:dyDescent="0.3">
      <c r="B103" s="38" t="s">
        <v>155</v>
      </c>
      <c r="C103" s="235">
        <f>+J18</f>
        <v>3085.2000000000007</v>
      </c>
      <c r="D103" s="236">
        <v>1E-3</v>
      </c>
      <c r="E103" s="237">
        <f>D103*C103</f>
        <v>3.0852000000000008</v>
      </c>
    </row>
    <row r="104" spans="2:5" s="225" customFormat="1" ht="15.75" thickBot="1" x14ac:dyDescent="0.3">
      <c r="B104" s="9"/>
      <c r="C104" s="9"/>
      <c r="D104" s="9"/>
      <c r="E104" s="9"/>
    </row>
    <row r="105" spans="2:5" s="225" customFormat="1" ht="15.75" thickBot="1" x14ac:dyDescent="0.3">
      <c r="B105" s="238" t="s">
        <v>156</v>
      </c>
      <c r="C105" s="239"/>
      <c r="D105" s="239"/>
      <c r="E105" s="240">
        <f>SUM(E94:E103)</f>
        <v>71.917200000000008</v>
      </c>
    </row>
    <row r="106" spans="2:5" s="225" customFormat="1" ht="15.75" thickBot="1" x14ac:dyDescent="0.3">
      <c r="B106" s="9"/>
      <c r="C106" s="9"/>
      <c r="D106" s="9"/>
      <c r="E106" s="9"/>
    </row>
    <row r="107" spans="2:5" s="225" customFormat="1" thickBot="1" x14ac:dyDescent="0.3">
      <c r="B107" s="548" t="s">
        <v>157</v>
      </c>
      <c r="C107" s="549"/>
      <c r="D107" s="549"/>
      <c r="E107" s="550"/>
    </row>
    <row r="108" spans="2:5" s="225" customFormat="1" x14ac:dyDescent="0.25">
      <c r="B108" s="241" t="s">
        <v>158</v>
      </c>
      <c r="C108" s="242">
        <f>+E37</f>
        <v>4780</v>
      </c>
      <c r="D108" s="243">
        <v>2.4E-2</v>
      </c>
      <c r="E108" s="244">
        <f>D108*C108</f>
        <v>114.72</v>
      </c>
    </row>
    <row r="109" spans="2:5" s="225" customFormat="1" x14ac:dyDescent="0.25">
      <c r="B109" s="245" t="s">
        <v>17</v>
      </c>
      <c r="C109" s="242">
        <f>+C108</f>
        <v>4780</v>
      </c>
      <c r="D109" s="246">
        <v>7.4999999999999997E-3</v>
      </c>
      <c r="E109" s="247">
        <f t="shared" ref="E109:E110" si="5">D109*C109</f>
        <v>35.85</v>
      </c>
    </row>
    <row r="110" spans="2:5" s="225" customFormat="1" x14ac:dyDescent="0.25">
      <c r="B110" s="245" t="s">
        <v>159</v>
      </c>
      <c r="C110" s="242">
        <f>C62+C64</f>
        <v>4718.3500000000004</v>
      </c>
      <c r="D110" s="246">
        <v>-1.7000000000000001E-2</v>
      </c>
      <c r="E110" s="247">
        <f t="shared" si="5"/>
        <v>-80.211950000000016</v>
      </c>
    </row>
    <row r="111" spans="2:5" s="225" customFormat="1" x14ac:dyDescent="0.25">
      <c r="B111" s="196"/>
      <c r="C111" s="248"/>
      <c r="D111" s="249"/>
      <c r="E111" s="250"/>
    </row>
    <row r="112" spans="2:5" s="225" customFormat="1" ht="15.75" thickBot="1" x14ac:dyDescent="0.3">
      <c r="B112" s="251" t="s">
        <v>160</v>
      </c>
      <c r="C112" s="252"/>
      <c r="D112" s="253"/>
      <c r="E112" s="254">
        <f>SUM(E108:E111)</f>
        <v>70.358049999999977</v>
      </c>
    </row>
    <row r="113" spans="2:11" s="225" customFormat="1" ht="12.75" x14ac:dyDescent="0.25"/>
    <row r="114" spans="2:11" s="225" customFormat="1" ht="13.5" thickBot="1" x14ac:dyDescent="0.3"/>
    <row r="115" spans="2:11" s="225" customFormat="1" thickBot="1" x14ac:dyDescent="0.3">
      <c r="B115" s="548" t="s">
        <v>161</v>
      </c>
      <c r="C115" s="549"/>
      <c r="D115" s="549"/>
      <c r="E115" s="550"/>
    </row>
    <row r="116" spans="2:11" s="225" customFormat="1" ht="15.75" customHeight="1" x14ac:dyDescent="0.25">
      <c r="B116" s="255" t="s">
        <v>162</v>
      </c>
      <c r="C116" s="256"/>
      <c r="D116" s="256"/>
      <c r="E116" s="257"/>
    </row>
    <row r="117" spans="2:11" s="225" customFormat="1" ht="15.75" customHeight="1" x14ac:dyDescent="0.25">
      <c r="B117" s="258" t="s">
        <v>163</v>
      </c>
      <c r="C117" s="259">
        <f>C67</f>
        <v>0</v>
      </c>
      <c r="D117" s="260">
        <v>1.5</v>
      </c>
      <c r="E117" s="261">
        <f>D117*C117</f>
        <v>0</v>
      </c>
    </row>
    <row r="118" spans="2:11" s="225" customFormat="1" ht="15.75" customHeight="1" x14ac:dyDescent="0.25">
      <c r="B118" s="258" t="s">
        <v>164</v>
      </c>
      <c r="C118" s="262">
        <f>E37</f>
        <v>4780</v>
      </c>
      <c r="D118" s="246">
        <v>1.7999999999999999E-2</v>
      </c>
      <c r="E118" s="261">
        <f>D118*C118</f>
        <v>86.039999999999992</v>
      </c>
    </row>
    <row r="119" spans="2:11" s="225" customFormat="1" ht="15.75" customHeight="1" x14ac:dyDescent="0.25">
      <c r="B119" s="258" t="s">
        <v>165</v>
      </c>
      <c r="C119" s="262">
        <f>C118</f>
        <v>4780</v>
      </c>
      <c r="D119" s="246">
        <v>0.06</v>
      </c>
      <c r="E119" s="261">
        <f>D119*C119</f>
        <v>286.8</v>
      </c>
    </row>
    <row r="120" spans="2:11" s="225" customFormat="1" ht="15.75" customHeight="1" thickBot="1" x14ac:dyDescent="0.3">
      <c r="B120" s="263" t="s">
        <v>166</v>
      </c>
      <c r="C120" s="264"/>
      <c r="D120" s="264"/>
      <c r="E120" s="265">
        <f>E116+E117+E118+E119</f>
        <v>372.84000000000003</v>
      </c>
    </row>
    <row r="121" spans="2:11" x14ac:dyDescent="0.25">
      <c r="G121" s="225"/>
      <c r="H121" s="225"/>
      <c r="I121" s="225"/>
      <c r="J121" s="225"/>
      <c r="K121" s="225"/>
    </row>
    <row r="122" spans="2:11" ht="15.75" thickBot="1" x14ac:dyDescent="0.3">
      <c r="G122" s="225"/>
      <c r="H122" s="225"/>
      <c r="I122" s="225"/>
      <c r="J122" s="225"/>
      <c r="K122" s="225"/>
    </row>
    <row r="123" spans="2:11" ht="15.75" hidden="1" customHeight="1" thickBot="1" x14ac:dyDescent="0.3">
      <c r="B123" s="266" t="s">
        <v>167</v>
      </c>
      <c r="C123" s="267">
        <f>J21</f>
        <v>8.5999999999999993E-2</v>
      </c>
      <c r="D123" s="268"/>
      <c r="E123" s="268"/>
      <c r="F123" s="268"/>
      <c r="G123" s="225"/>
      <c r="H123" s="225"/>
      <c r="I123" s="225"/>
      <c r="J123" s="225"/>
      <c r="K123" s="225"/>
    </row>
    <row r="124" spans="2:11" ht="15" hidden="1" customHeight="1" x14ac:dyDescent="0.3">
      <c r="B124" s="268"/>
      <c r="C124" s="268"/>
      <c r="D124" s="268"/>
      <c r="E124" s="268"/>
      <c r="F124" s="268"/>
      <c r="G124" s="225"/>
      <c r="H124" s="225"/>
      <c r="I124" s="225"/>
      <c r="J124" s="225"/>
      <c r="K124" s="225"/>
    </row>
    <row r="125" spans="2:11" ht="30.75" hidden="1" thickBot="1" x14ac:dyDescent="0.3">
      <c r="B125" s="3" t="s">
        <v>168</v>
      </c>
      <c r="C125" s="269" t="s">
        <v>169</v>
      </c>
      <c r="D125" s="269" t="s">
        <v>170</v>
      </c>
      <c r="E125" s="270" t="s">
        <v>171</v>
      </c>
      <c r="F125" s="271" t="s">
        <v>172</v>
      </c>
      <c r="G125" s="225"/>
      <c r="H125" s="225"/>
      <c r="I125" s="225"/>
      <c r="J125" s="225"/>
      <c r="K125" s="225"/>
    </row>
    <row r="126" spans="2:11" ht="15.75" hidden="1" thickBot="1" x14ac:dyDescent="0.3">
      <c r="B126" s="77" t="s">
        <v>176</v>
      </c>
      <c r="C126" s="273"/>
      <c r="D126" s="274">
        <f>C126</f>
        <v>0</v>
      </c>
      <c r="E126" s="275">
        <v>1603.12</v>
      </c>
      <c r="F126" s="273">
        <f>+E126</f>
        <v>1603.12</v>
      </c>
      <c r="G126" s="225"/>
      <c r="H126" s="225"/>
      <c r="I126" s="225"/>
      <c r="J126" s="225"/>
      <c r="K126" s="225"/>
    </row>
    <row r="127" spans="2:11" ht="15.75" hidden="1" thickBot="1" x14ac:dyDescent="0.3">
      <c r="G127" s="225"/>
      <c r="H127" s="225"/>
      <c r="I127" s="225"/>
      <c r="J127" s="225"/>
      <c r="K127" s="225"/>
    </row>
    <row r="128" spans="2:11" ht="15.75" hidden="1" thickBot="1" x14ac:dyDescent="0.3">
      <c r="G128" s="225"/>
      <c r="H128" s="225"/>
      <c r="I128" s="225"/>
      <c r="J128" s="225"/>
      <c r="K128" s="225"/>
    </row>
    <row r="129" spans="2:14" ht="19.5" hidden="1" thickBot="1" x14ac:dyDescent="0.3">
      <c r="B129" s="543" t="s">
        <v>177</v>
      </c>
      <c r="C129" s="544"/>
      <c r="D129" s="544"/>
      <c r="E129" s="544"/>
      <c r="G129" s="225"/>
      <c r="H129" s="225"/>
      <c r="I129" s="225"/>
      <c r="J129" s="225"/>
      <c r="K129" s="225"/>
    </row>
    <row r="130" spans="2:14" ht="15.75" hidden="1" thickBot="1" x14ac:dyDescent="0.3">
      <c r="G130" s="225"/>
      <c r="H130" s="225"/>
      <c r="I130" s="225"/>
      <c r="J130" s="225"/>
      <c r="K130" s="225"/>
    </row>
    <row r="131" spans="2:14" ht="15.75" hidden="1" thickBot="1" x14ac:dyDescent="0.3">
      <c r="B131" s="278" t="s">
        <v>178</v>
      </c>
      <c r="C131" s="279" t="s">
        <v>179</v>
      </c>
      <c r="D131" s="280" t="s">
        <v>180</v>
      </c>
      <c r="E131" s="280" t="s">
        <v>181</v>
      </c>
      <c r="F131" s="281" t="s">
        <v>182</v>
      </c>
      <c r="G131" s="225"/>
      <c r="H131" s="225"/>
      <c r="I131" s="225"/>
      <c r="J131" s="225"/>
      <c r="K131" s="225"/>
    </row>
    <row r="132" spans="2:14" ht="15.75" hidden="1" thickBot="1" x14ac:dyDescent="0.3">
      <c r="B132" s="282" t="s">
        <v>183</v>
      </c>
      <c r="C132" s="2"/>
      <c r="D132" s="283">
        <f>C132-25</f>
        <v>-25</v>
      </c>
      <c r="E132" s="283">
        <f>IF(D132&lt;2.8,D132,2.8)</f>
        <v>-25</v>
      </c>
      <c r="F132" s="6">
        <f>IF(D132&gt;2.8,D132-2.8,0)</f>
        <v>0</v>
      </c>
      <c r="G132" s="225"/>
      <c r="H132" s="225"/>
      <c r="I132" s="225"/>
      <c r="J132" s="225"/>
      <c r="K132" s="225"/>
    </row>
    <row r="133" spans="2:14" ht="15.75" hidden="1" thickBot="1" x14ac:dyDescent="0.3">
      <c r="B133" s="282" t="s">
        <v>184</v>
      </c>
      <c r="C133" s="2"/>
      <c r="D133" s="283">
        <f>C133-25</f>
        <v>-25</v>
      </c>
      <c r="E133" s="283">
        <f t="shared" ref="E133:E135" si="6">IF(D133&lt;2.8,D133,2.8)</f>
        <v>-25</v>
      </c>
      <c r="F133" s="6">
        <f t="shared" ref="F133:F135" si="7">IF(D133&gt;2.8,D133-2.8,0)</f>
        <v>0</v>
      </c>
      <c r="G133" s="225"/>
      <c r="H133" s="225"/>
      <c r="I133" s="225"/>
      <c r="J133" s="225"/>
      <c r="K133" s="225"/>
    </row>
    <row r="134" spans="2:14" ht="15.75" hidden="1" thickBot="1" x14ac:dyDescent="0.3">
      <c r="B134" s="282" t="s">
        <v>185</v>
      </c>
      <c r="C134" s="2"/>
      <c r="D134" s="283">
        <f t="shared" ref="D134:D135" si="8">C134-25</f>
        <v>-25</v>
      </c>
      <c r="E134" s="283">
        <f t="shared" si="6"/>
        <v>-25</v>
      </c>
      <c r="F134" s="6">
        <f t="shared" si="7"/>
        <v>0</v>
      </c>
      <c r="G134" s="225"/>
      <c r="H134" s="225"/>
      <c r="I134" s="225"/>
      <c r="J134" s="225"/>
      <c r="K134" s="225"/>
    </row>
    <row r="135" spans="2:14" ht="15.75" hidden="1" thickBot="1" x14ac:dyDescent="0.3">
      <c r="B135" s="282" t="s">
        <v>186</v>
      </c>
      <c r="C135" s="2"/>
      <c r="D135" s="283">
        <f t="shared" si="8"/>
        <v>-25</v>
      </c>
      <c r="E135" s="284">
        <f t="shared" si="6"/>
        <v>-25</v>
      </c>
      <c r="F135" s="285">
        <f t="shared" si="7"/>
        <v>0</v>
      </c>
      <c r="G135" s="225"/>
      <c r="H135" s="225"/>
      <c r="I135" s="225"/>
      <c r="J135" s="225"/>
      <c r="K135" s="225"/>
    </row>
    <row r="136" spans="2:14" ht="15.75" hidden="1" thickBot="1" x14ac:dyDescent="0.3">
      <c r="B136" s="286" t="s">
        <v>187</v>
      </c>
      <c r="C136" s="2"/>
      <c r="D136" s="565" t="s">
        <v>188</v>
      </c>
      <c r="E136" s="565"/>
      <c r="F136" s="566"/>
      <c r="G136" s="225"/>
      <c r="H136" s="225"/>
      <c r="I136" s="225"/>
      <c r="J136" s="225"/>
      <c r="K136" s="225"/>
    </row>
    <row r="137" spans="2:14" ht="15.75" hidden="1" thickBot="1" x14ac:dyDescent="0.3">
      <c r="B137" s="287" t="s">
        <v>189</v>
      </c>
      <c r="C137" s="288"/>
      <c r="D137" s="288">
        <f>SUM(D132:D135)</f>
        <v>-100</v>
      </c>
      <c r="E137" s="288">
        <f>SUM(E132:E135)</f>
        <v>-100</v>
      </c>
      <c r="F137" s="289">
        <f>SUM(F132:F135)</f>
        <v>0</v>
      </c>
      <c r="G137" s="225"/>
      <c r="H137" s="225"/>
      <c r="I137" s="225"/>
      <c r="J137" s="225"/>
      <c r="K137" s="225"/>
    </row>
    <row r="138" spans="2:14" ht="15.75" hidden="1" thickBot="1" x14ac:dyDescent="0.3">
      <c r="D138" s="8" t="s">
        <v>235</v>
      </c>
      <c r="E138"/>
      <c r="F138"/>
      <c r="G138" s="225"/>
      <c r="H138" s="225"/>
      <c r="I138" s="225"/>
      <c r="J138" s="225"/>
      <c r="K138" s="225"/>
    </row>
    <row r="139" spans="2:14" ht="18.75" customHeight="1" x14ac:dyDescent="0.25">
      <c r="B139" s="422" t="s">
        <v>93</v>
      </c>
      <c r="C139" s="423"/>
      <c r="D139" s="424"/>
      <c r="E139" s="425">
        <f>E37</f>
        <v>4780</v>
      </c>
      <c r="F139" s="7"/>
      <c r="G139" s="225"/>
      <c r="H139" s="225"/>
      <c r="I139" s="225"/>
      <c r="J139" s="225"/>
      <c r="K139" s="225"/>
      <c r="L139"/>
      <c r="M139"/>
      <c r="N139"/>
    </row>
    <row r="140" spans="2:14" ht="18.75" customHeight="1" x14ac:dyDescent="0.25">
      <c r="B140" s="426" t="s">
        <v>229</v>
      </c>
      <c r="C140" s="427"/>
      <c r="D140" s="428"/>
      <c r="E140" s="402">
        <f>-E68</f>
        <v>-998.12983000000008</v>
      </c>
      <c r="F140" s="7"/>
      <c r="I140"/>
      <c r="J140"/>
      <c r="K140"/>
      <c r="L140"/>
      <c r="M140"/>
      <c r="N140"/>
    </row>
    <row r="141" spans="2:14" ht="18.75" customHeight="1" x14ac:dyDescent="0.25">
      <c r="B141" s="426" t="s">
        <v>256</v>
      </c>
      <c r="C141" s="427"/>
      <c r="D141" s="428"/>
      <c r="E141" s="402">
        <f>-G81</f>
        <v>-338.90039952000001</v>
      </c>
      <c r="F141" s="7"/>
      <c r="I141"/>
      <c r="J141"/>
      <c r="K141"/>
      <c r="L141"/>
      <c r="M141"/>
      <c r="N141"/>
    </row>
    <row r="142" spans="2:14" ht="18.75" customHeight="1" thickBot="1" x14ac:dyDescent="0.3">
      <c r="B142" s="429" t="s">
        <v>257</v>
      </c>
      <c r="C142" s="430"/>
      <c r="D142" s="431"/>
      <c r="E142" s="432">
        <f>SUM(E139:E141)</f>
        <v>3442.9697704800001</v>
      </c>
      <c r="F142" s="7"/>
      <c r="I142"/>
      <c r="J142"/>
      <c r="K142"/>
      <c r="L142"/>
      <c r="M142"/>
      <c r="N142"/>
    </row>
    <row r="143" spans="2:14" ht="18.75" customHeight="1" x14ac:dyDescent="0.25">
      <c r="B143" s="7"/>
      <c r="C143" s="290"/>
      <c r="D143" s="291"/>
      <c r="E143" s="7"/>
      <c r="F143" s="7"/>
      <c r="I143"/>
      <c r="J143"/>
      <c r="K143"/>
      <c r="L143"/>
      <c r="M143"/>
      <c r="N143"/>
    </row>
    <row r="144" spans="2:14" ht="18.75" customHeight="1" thickBot="1" x14ac:dyDescent="0.3">
      <c r="B144" s="7"/>
      <c r="C144" s="290"/>
      <c r="D144" s="291"/>
      <c r="E144" s="7"/>
      <c r="F144" s="7"/>
      <c r="I144"/>
      <c r="J144"/>
      <c r="K144"/>
      <c r="L144"/>
      <c r="M144"/>
      <c r="N144"/>
    </row>
    <row r="145" spans="2:14" ht="18.75" customHeight="1" thickBot="1" x14ac:dyDescent="0.3">
      <c r="B145" s="438" t="s">
        <v>258</v>
      </c>
      <c r="C145" s="433" t="s">
        <v>259</v>
      </c>
      <c r="D145" s="437" t="s">
        <v>260</v>
      </c>
      <c r="E145" s="433" t="s">
        <v>261</v>
      </c>
      <c r="F145" s="433" t="s">
        <v>262</v>
      </c>
      <c r="I145"/>
      <c r="J145"/>
      <c r="K145"/>
      <c r="L145"/>
      <c r="M145"/>
      <c r="N145"/>
    </row>
    <row r="146" spans="2:14" ht="18.75" customHeight="1" thickBot="1" x14ac:dyDescent="0.3">
      <c r="B146" s="434">
        <v>0</v>
      </c>
      <c r="C146" s="435">
        <v>328.33</v>
      </c>
      <c r="D146" s="439" t="s">
        <v>263</v>
      </c>
      <c r="E146" s="436">
        <v>16.420000000000002</v>
      </c>
      <c r="F146" s="436">
        <v>16.420000000000002</v>
      </c>
      <c r="I146"/>
      <c r="J146"/>
      <c r="K146"/>
      <c r="L146"/>
      <c r="M146"/>
      <c r="N146"/>
    </row>
    <row r="147" spans="2:14" ht="18.75" customHeight="1" thickBot="1" x14ac:dyDescent="0.3">
      <c r="B147" s="434">
        <v>328.33</v>
      </c>
      <c r="C147" s="435">
        <v>640.83000000000004</v>
      </c>
      <c r="D147" s="440" t="s">
        <v>247</v>
      </c>
      <c r="E147" s="436">
        <v>31.25</v>
      </c>
      <c r="F147" s="436">
        <v>47.67</v>
      </c>
      <c r="I147"/>
      <c r="J147"/>
      <c r="K147"/>
      <c r="L147"/>
      <c r="M147"/>
      <c r="N147"/>
    </row>
    <row r="148" spans="2:14" ht="18.75" customHeight="1" thickBot="1" x14ac:dyDescent="0.3">
      <c r="B148" s="434">
        <v>640.83000000000004</v>
      </c>
      <c r="C148" s="435">
        <v>955</v>
      </c>
      <c r="D148" s="440" t="s">
        <v>264</v>
      </c>
      <c r="E148" s="436">
        <v>62.83</v>
      </c>
      <c r="F148" s="436">
        <v>110.5</v>
      </c>
      <c r="I148"/>
      <c r="J148"/>
      <c r="K148"/>
      <c r="L148"/>
      <c r="M148"/>
      <c r="N148"/>
    </row>
    <row r="149" spans="2:14" ht="18.75" customHeight="1" thickBot="1" x14ac:dyDescent="0.3">
      <c r="B149" s="434">
        <v>955</v>
      </c>
      <c r="C149" s="441">
        <f>E142</f>
        <v>3442.9697704800001</v>
      </c>
      <c r="D149" s="440" t="s">
        <v>265</v>
      </c>
      <c r="E149" s="436">
        <f>(C149-B149)/4</f>
        <v>621.99244262000002</v>
      </c>
      <c r="F149" s="436">
        <f>F148+E149</f>
        <v>732.49244262000002</v>
      </c>
      <c r="I149"/>
      <c r="J149"/>
      <c r="K149"/>
      <c r="L149"/>
      <c r="M149"/>
      <c r="N149"/>
    </row>
    <row r="150" spans="2:14" ht="18.75" customHeight="1" x14ac:dyDescent="0.25">
      <c r="B150" s="7"/>
      <c r="C150" s="290"/>
      <c r="D150" s="291"/>
      <c r="E150" s="7"/>
      <c r="F150" s="7"/>
      <c r="I150"/>
      <c r="J150"/>
      <c r="K150"/>
      <c r="L150"/>
      <c r="M150"/>
      <c r="N150"/>
    </row>
    <row r="151" spans="2:14" ht="18.75" customHeight="1" x14ac:dyDescent="0.25">
      <c r="B151" s="7"/>
      <c r="C151" s="290"/>
      <c r="D151" s="291"/>
      <c r="E151" s="7"/>
      <c r="F151" s="7"/>
      <c r="I151"/>
      <c r="J151"/>
      <c r="K151"/>
      <c r="L151"/>
      <c r="M151"/>
      <c r="N151"/>
    </row>
    <row r="152" spans="2:14" ht="18.75" customHeight="1" x14ac:dyDescent="0.25">
      <c r="B152" s="7"/>
      <c r="C152" s="290"/>
      <c r="D152" s="291"/>
      <c r="E152" s="7"/>
      <c r="F152" s="7"/>
      <c r="I152"/>
      <c r="J152"/>
      <c r="K152"/>
      <c r="L152"/>
      <c r="M152"/>
      <c r="N152"/>
    </row>
    <row r="153" spans="2:14" ht="18.75" customHeight="1" x14ac:dyDescent="0.25">
      <c r="B153" s="7"/>
      <c r="C153" s="290"/>
      <c r="D153" s="291"/>
      <c r="E153" s="7"/>
      <c r="F153" s="7"/>
      <c r="I153"/>
      <c r="J153"/>
      <c r="K153"/>
      <c r="L153"/>
      <c r="M153"/>
      <c r="N153"/>
    </row>
    <row r="154" spans="2:14" ht="18.75" customHeight="1" x14ac:dyDescent="0.25">
      <c r="B154" s="7"/>
      <c r="C154" s="290"/>
      <c r="D154" s="291"/>
      <c r="E154" s="7"/>
      <c r="F154" s="7"/>
      <c r="I154"/>
      <c r="J154"/>
      <c r="K154"/>
      <c r="L154"/>
      <c r="M154"/>
      <c r="N154"/>
    </row>
    <row r="155" spans="2:14" ht="18.75" customHeight="1" x14ac:dyDescent="0.25">
      <c r="B155" s="7"/>
      <c r="C155" s="290"/>
      <c r="D155" s="291"/>
      <c r="E155" s="7"/>
      <c r="F155" s="7"/>
      <c r="I155"/>
      <c r="J155"/>
      <c r="K155"/>
      <c r="L155"/>
      <c r="M155"/>
      <c r="N155"/>
    </row>
    <row r="156" spans="2:14" ht="18.75" x14ac:dyDescent="0.25">
      <c r="B156" s="543" t="s">
        <v>9</v>
      </c>
      <c r="C156" s="544"/>
      <c r="D156" s="544"/>
      <c r="E156" s="544"/>
      <c r="K156"/>
      <c r="L156"/>
      <c r="M156"/>
      <c r="N156"/>
    </row>
    <row r="157" spans="2:14" ht="15.75" thickBot="1" x14ac:dyDescent="0.3">
      <c r="K157"/>
      <c r="L157"/>
      <c r="M157"/>
      <c r="N157"/>
    </row>
    <row r="158" spans="2:14" x14ac:dyDescent="0.25">
      <c r="B158" s="545" t="s">
        <v>10</v>
      </c>
      <c r="C158" s="546"/>
      <c r="D158" s="546"/>
      <c r="E158" s="547"/>
      <c r="K158"/>
      <c r="L158"/>
      <c r="M158"/>
      <c r="N158"/>
    </row>
    <row r="159" spans="2:14" x14ac:dyDescent="0.25">
      <c r="B159" s="292" t="s">
        <v>11</v>
      </c>
      <c r="C159" s="293"/>
      <c r="D159" s="293"/>
      <c r="E159" s="307"/>
      <c r="I159"/>
      <c r="J159"/>
      <c r="K159"/>
      <c r="L159"/>
      <c r="M159"/>
      <c r="N159"/>
    </row>
    <row r="160" spans="2:14" x14ac:dyDescent="0.25">
      <c r="B160" s="292" t="s">
        <v>12</v>
      </c>
      <c r="C160" s="293"/>
      <c r="D160" s="293"/>
      <c r="E160" s="294"/>
    </row>
    <row r="161" spans="2:5" x14ac:dyDescent="0.25">
      <c r="B161" s="292" t="s">
        <v>13</v>
      </c>
      <c r="C161" s="293"/>
      <c r="D161" s="293"/>
      <c r="E161" s="311"/>
    </row>
    <row r="162" spans="2:5" ht="15.75" thickBot="1" x14ac:dyDescent="0.3">
      <c r="B162" s="292" t="s">
        <v>14</v>
      </c>
      <c r="C162" s="293"/>
      <c r="D162" s="293"/>
      <c r="E162" s="308"/>
    </row>
    <row r="163" spans="2:5" ht="16.5" thickTop="1" thickBot="1" x14ac:dyDescent="0.3">
      <c r="B163" s="295" t="s">
        <v>15</v>
      </c>
      <c r="C163" s="296"/>
      <c r="D163" s="297"/>
      <c r="E163" s="312">
        <f>E161*E162</f>
        <v>0</v>
      </c>
    </row>
    <row r="164" spans="2:5" ht="15.75" thickBot="1" x14ac:dyDescent="0.3">
      <c r="B164" s="298"/>
      <c r="C164" s="298"/>
      <c r="D164" s="298"/>
      <c r="E164" s="298"/>
    </row>
    <row r="165" spans="2:5" ht="15.75" thickBot="1" x14ac:dyDescent="0.3">
      <c r="B165" s="548" t="s">
        <v>16</v>
      </c>
      <c r="C165" s="549"/>
      <c r="D165" s="549"/>
      <c r="E165" s="550"/>
    </row>
    <row r="166" spans="2:5" x14ac:dyDescent="0.25">
      <c r="B166" s="299" t="s">
        <v>17</v>
      </c>
      <c r="C166" s="300"/>
      <c r="D166" s="301" t="s">
        <v>18</v>
      </c>
      <c r="E166" s="302" t="s">
        <v>19</v>
      </c>
    </row>
    <row r="167" spans="2:5" x14ac:dyDescent="0.25">
      <c r="B167" s="245" t="s">
        <v>20</v>
      </c>
      <c r="C167" s="309"/>
      <c r="D167" s="310"/>
      <c r="E167" s="313"/>
    </row>
    <row r="168" spans="2:5" x14ac:dyDescent="0.25">
      <c r="B168" s="245" t="s">
        <v>21</v>
      </c>
      <c r="C168" s="309"/>
      <c r="D168" s="310"/>
      <c r="E168" s="313"/>
    </row>
    <row r="169" spans="2:5" x14ac:dyDescent="0.25">
      <c r="B169" s="245" t="s">
        <v>22</v>
      </c>
      <c r="C169" s="309"/>
      <c r="D169" s="310"/>
      <c r="E169" s="313"/>
    </row>
    <row r="170" spans="2:5" x14ac:dyDescent="0.25">
      <c r="B170" s="245" t="s">
        <v>23</v>
      </c>
      <c r="C170" s="303"/>
      <c r="D170" s="303"/>
      <c r="E170" s="247"/>
    </row>
    <row r="171" spans="2:5" x14ac:dyDescent="0.25">
      <c r="B171" s="245" t="s">
        <v>24</v>
      </c>
      <c r="C171" s="303"/>
      <c r="D171" s="303"/>
      <c r="E171" s="247"/>
    </row>
    <row r="172" spans="2:5" x14ac:dyDescent="0.25">
      <c r="B172" s="245" t="s">
        <v>190</v>
      </c>
      <c r="C172" s="303"/>
      <c r="D172" s="315"/>
      <c r="E172" s="304"/>
    </row>
    <row r="173" spans="2:5" x14ac:dyDescent="0.25">
      <c r="B173" s="245" t="s">
        <v>25</v>
      </c>
      <c r="C173" s="303"/>
      <c r="D173" s="303"/>
      <c r="E173" s="319">
        <f>E172*E171</f>
        <v>0</v>
      </c>
    </row>
    <row r="174" spans="2:5" x14ac:dyDescent="0.25">
      <c r="B174" s="245" t="s">
        <v>26</v>
      </c>
      <c r="C174" s="303"/>
      <c r="D174" s="303"/>
      <c r="E174" s="247">
        <f>E173*6.7%</f>
        <v>0</v>
      </c>
    </row>
    <row r="175" spans="2:5" ht="15.75" thickBot="1" x14ac:dyDescent="0.3">
      <c r="B175" s="305" t="s">
        <v>27</v>
      </c>
      <c r="C175" s="306"/>
      <c r="D175" s="306"/>
      <c r="E175" s="314">
        <f>E173-E174</f>
        <v>0</v>
      </c>
    </row>
    <row r="176" spans="2:5" ht="15.75" thickBot="1" x14ac:dyDescent="0.3"/>
    <row r="177" spans="2:5" x14ac:dyDescent="0.25">
      <c r="B177" s="545" t="s">
        <v>28</v>
      </c>
      <c r="C177" s="546"/>
      <c r="D177" s="546"/>
      <c r="E177" s="547"/>
    </row>
    <row r="178" spans="2:5" x14ac:dyDescent="0.25">
      <c r="B178" s="292" t="s">
        <v>29</v>
      </c>
      <c r="C178" s="293"/>
      <c r="D178" s="293"/>
      <c r="E178" s="316"/>
    </row>
    <row r="179" spans="2:5" ht="15.75" thickBot="1" x14ac:dyDescent="0.3">
      <c r="B179" s="292" t="s">
        <v>30</v>
      </c>
      <c r="C179" s="293"/>
      <c r="D179" s="293"/>
      <c r="E179" s="294">
        <f>E161*0.9</f>
        <v>0</v>
      </c>
    </row>
    <row r="180" spans="2:5" ht="16.5" thickTop="1" thickBot="1" x14ac:dyDescent="0.3">
      <c r="B180" s="292" t="s">
        <v>31</v>
      </c>
      <c r="C180" s="293"/>
      <c r="D180" s="293"/>
      <c r="E180" s="312">
        <f>E178*E179</f>
        <v>0</v>
      </c>
    </row>
    <row r="181" spans="2:5" ht="16.5" thickTop="1" thickBot="1" x14ac:dyDescent="0.3">
      <c r="B181" s="245" t="s">
        <v>32</v>
      </c>
      <c r="C181" s="293"/>
      <c r="D181" s="293"/>
      <c r="E181" s="317">
        <f>E171</f>
        <v>0</v>
      </c>
    </row>
    <row r="182" spans="2:5" ht="16.5" thickTop="1" thickBot="1" x14ac:dyDescent="0.3">
      <c r="B182" s="295" t="s">
        <v>33</v>
      </c>
      <c r="C182" s="320">
        <f>E178</f>
        <v>0</v>
      </c>
      <c r="D182" s="318">
        <f>E181</f>
        <v>0</v>
      </c>
      <c r="E182" s="312">
        <f>D182*C182</f>
        <v>0</v>
      </c>
    </row>
  </sheetData>
  <mergeCells count="18">
    <mergeCell ref="B177:E177"/>
    <mergeCell ref="B84:B85"/>
    <mergeCell ref="C84:D85"/>
    <mergeCell ref="B92:C92"/>
    <mergeCell ref="D93:D100"/>
    <mergeCell ref="B107:E107"/>
    <mergeCell ref="B115:E115"/>
    <mergeCell ref="B129:E129"/>
    <mergeCell ref="D136:F136"/>
    <mergeCell ref="B156:E156"/>
    <mergeCell ref="B158:E158"/>
    <mergeCell ref="B165:E165"/>
    <mergeCell ref="C17:D17"/>
    <mergeCell ref="F17:G17"/>
    <mergeCell ref="B79:B80"/>
    <mergeCell ref="C79:C80"/>
    <mergeCell ref="E79:E80"/>
    <mergeCell ref="G79:G8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83FE6-FAEC-4054-9C91-D7CFBD29D16A}">
  <dimension ref="A1:P10"/>
  <sheetViews>
    <sheetView workbookViewId="0">
      <selection activeCell="B7" sqref="B7:B9"/>
    </sheetView>
  </sheetViews>
  <sheetFormatPr baseColWidth="10" defaultRowHeight="15" x14ac:dyDescent="0.25"/>
  <cols>
    <col min="1" max="1" width="21.42578125" style="268" customWidth="1"/>
    <col min="2" max="2" width="13" style="268" bestFit="1" customWidth="1"/>
    <col min="3" max="3" width="12.7109375" style="268" bestFit="1" customWidth="1"/>
    <col min="4" max="5" width="16.85546875" style="268" bestFit="1" customWidth="1"/>
    <col min="6" max="6" width="12.42578125" style="268" bestFit="1" customWidth="1"/>
    <col min="7" max="7" width="12.85546875" style="268" customWidth="1"/>
    <col min="8" max="8" width="13" style="268" bestFit="1" customWidth="1"/>
    <col min="9" max="9" width="13.7109375" style="268" customWidth="1"/>
    <col min="10" max="10" width="14.42578125" style="268" customWidth="1"/>
    <col min="11" max="11" width="11.85546875" style="268" bestFit="1" customWidth="1"/>
    <col min="12" max="12" width="11.5703125" style="268" bestFit="1" customWidth="1"/>
    <col min="13" max="16384" width="11.42578125" style="268"/>
  </cols>
  <sheetData>
    <row r="1" spans="1:16" x14ac:dyDescent="0.25">
      <c r="A1" s="363"/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</row>
    <row r="2" spans="1:16" x14ac:dyDescent="0.25">
      <c r="A2" s="363"/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</row>
    <row r="3" spans="1:16" ht="21.75" thickBot="1" x14ac:dyDescent="0.3">
      <c r="A3" s="553" t="s">
        <v>249</v>
      </c>
      <c r="B3" s="554"/>
      <c r="C3" s="554"/>
      <c r="D3" s="554"/>
      <c r="E3" s="554"/>
      <c r="F3" s="554"/>
      <c r="G3" s="554"/>
      <c r="H3" s="554"/>
      <c r="I3" s="363"/>
      <c r="J3" s="363"/>
      <c r="K3" s="363"/>
      <c r="L3" s="363"/>
      <c r="M3" s="363"/>
      <c r="N3" s="363"/>
      <c r="O3" s="363"/>
      <c r="P3" s="363"/>
    </row>
    <row r="4" spans="1:16" ht="15.75" thickBot="1" x14ac:dyDescent="0.3">
      <c r="A4" s="266" t="s">
        <v>167</v>
      </c>
      <c r="B4" s="395">
        <v>0.31950000000000001</v>
      </c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</row>
    <row r="5" spans="1:16" ht="15.75" thickBot="1" x14ac:dyDescent="0.3">
      <c r="A5" s="363"/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</row>
    <row r="6" spans="1:16" ht="30" x14ac:dyDescent="0.25">
      <c r="A6" s="3" t="s">
        <v>168</v>
      </c>
      <c r="B6" s="269" t="s">
        <v>169</v>
      </c>
      <c r="C6" s="269" t="s">
        <v>170</v>
      </c>
      <c r="D6" s="332" t="s">
        <v>171</v>
      </c>
      <c r="E6" s="271" t="s">
        <v>172</v>
      </c>
      <c r="F6" s="271" t="s">
        <v>173</v>
      </c>
      <c r="G6" s="271" t="s">
        <v>174</v>
      </c>
      <c r="H6" s="272" t="s">
        <v>175</v>
      </c>
      <c r="I6" s="363"/>
      <c r="J6" s="363"/>
      <c r="K6" s="363"/>
      <c r="L6" s="363"/>
      <c r="M6" s="363"/>
      <c r="N6" s="363"/>
      <c r="O6" s="363"/>
      <c r="P6" s="363"/>
    </row>
    <row r="7" spans="1:16" x14ac:dyDescent="0.25">
      <c r="A7" s="326" t="s">
        <v>200</v>
      </c>
      <c r="B7" s="327">
        <v>2000</v>
      </c>
      <c r="C7" s="344">
        <f>B7</f>
        <v>2000</v>
      </c>
      <c r="D7" s="396">
        <v>1603.12</v>
      </c>
      <c r="E7" s="343">
        <f>+D7</f>
        <v>1603.12</v>
      </c>
      <c r="F7" s="345">
        <f>ROUND(($B$4/0.6)*((1.6*E7/C7)-1),4)</f>
        <v>0.15040000000000001</v>
      </c>
      <c r="G7" s="344">
        <f>IF(F7&gt;0,F7*C7,0)</f>
        <v>300.8</v>
      </c>
      <c r="H7" s="357">
        <f>G7</f>
        <v>300.8</v>
      </c>
      <c r="I7" s="363"/>
      <c r="J7" s="363"/>
      <c r="K7" s="363"/>
      <c r="L7" s="363"/>
      <c r="M7" s="363"/>
      <c r="N7" s="363"/>
      <c r="O7" s="363"/>
      <c r="P7" s="363"/>
    </row>
    <row r="8" spans="1:16" x14ac:dyDescent="0.25">
      <c r="A8" s="326" t="s">
        <v>201</v>
      </c>
      <c r="B8" s="327">
        <v>2000</v>
      </c>
      <c r="C8" s="344">
        <f>C7+B8</f>
        <v>4000</v>
      </c>
      <c r="D8" s="396">
        <v>1603.12</v>
      </c>
      <c r="E8" s="343">
        <f>D8+E7</f>
        <v>3206.24</v>
      </c>
      <c r="F8" s="345">
        <f t="shared" ref="F8:F9" si="0">ROUND(($B$4/0.6)*((1.6*E8/C8)-1),4)</f>
        <v>0.15040000000000001</v>
      </c>
      <c r="G8" s="344">
        <f>IF(F8&gt;0,F8*C8,0)</f>
        <v>601.6</v>
      </c>
      <c r="H8" s="357">
        <f>G8-G7</f>
        <v>300.8</v>
      </c>
      <c r="I8" s="363"/>
      <c r="J8" s="363"/>
      <c r="K8" s="363"/>
      <c r="L8" s="363"/>
      <c r="M8" s="363"/>
      <c r="N8" s="363"/>
      <c r="O8" s="363"/>
      <c r="P8" s="363"/>
    </row>
    <row r="9" spans="1:16" x14ac:dyDescent="0.25">
      <c r="A9" s="326" t="s">
        <v>202</v>
      </c>
      <c r="B9" s="327">
        <f>'BULLETIN AVEC SUBROGATION'!E37</f>
        <v>1076.4471939902783</v>
      </c>
      <c r="C9" s="344">
        <f t="shared" ref="C9" si="1">C8+B9</f>
        <v>5076.4471939902778</v>
      </c>
      <c r="D9" s="396">
        <f>1603.12*B9/B8</f>
        <v>862.83701281484741</v>
      </c>
      <c r="E9" s="343">
        <f t="shared" ref="E9" si="2">D9+E8</f>
        <v>4069.077012814847</v>
      </c>
      <c r="F9" s="345">
        <f t="shared" si="0"/>
        <v>0.15040000000000001</v>
      </c>
      <c r="G9" s="344">
        <f t="shared" ref="G9" si="3">IF(F9&gt;0,F9*C9,0)</f>
        <v>763.49765797613782</v>
      </c>
      <c r="H9" s="357">
        <f t="shared" ref="H9" si="4">G9-G8</f>
        <v>161.89765797613779</v>
      </c>
      <c r="I9" s="363"/>
      <c r="J9" s="363"/>
      <c r="K9" s="363"/>
      <c r="L9" s="363"/>
      <c r="M9" s="363"/>
      <c r="N9" s="363"/>
      <c r="O9" s="363"/>
      <c r="P9" s="363"/>
    </row>
    <row r="10" spans="1:16" x14ac:dyDescent="0.25">
      <c r="D10" s="268" t="s">
        <v>370</v>
      </c>
    </row>
  </sheetData>
  <mergeCells count="1">
    <mergeCell ref="A3:H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EA379-1AD0-49C6-9C48-ADF3D637B6BB}">
  <sheetPr>
    <tabColor rgb="FFFF0000"/>
  </sheetPr>
  <dimension ref="B1:P158"/>
  <sheetViews>
    <sheetView topLeftCell="D61" zoomScale="120" zoomScaleNormal="120" workbookViewId="0">
      <selection activeCell="G64" sqref="G64"/>
    </sheetView>
  </sheetViews>
  <sheetFormatPr baseColWidth="10" defaultRowHeight="15" x14ac:dyDescent="0.25"/>
  <cols>
    <col min="1" max="1" width="20.28515625" style="9" customWidth="1"/>
    <col min="2" max="2" width="63.5703125" style="9" customWidth="1"/>
    <col min="3" max="3" width="15" style="9" bestFit="1" customWidth="1"/>
    <col min="4" max="4" width="17.140625" style="9" bestFit="1" customWidth="1"/>
    <col min="5" max="5" width="25.5703125" style="9" bestFit="1" customWidth="1"/>
    <col min="6" max="6" width="12.5703125" style="9" customWidth="1"/>
    <col min="7" max="7" width="18.28515625" style="9" customWidth="1"/>
    <col min="8" max="8" width="12.5703125" style="9" bestFit="1" customWidth="1"/>
    <col min="9" max="9" width="52.140625" style="9" customWidth="1"/>
    <col min="10" max="10" width="12.42578125" style="9" customWidth="1"/>
    <col min="11" max="11" width="12" style="9" customWidth="1"/>
    <col min="12" max="12" width="11.42578125" style="9"/>
    <col min="13" max="13" width="12.140625" style="9" bestFit="1" customWidth="1"/>
    <col min="14" max="15" width="12" style="9" bestFit="1" customWidth="1"/>
    <col min="16" max="16384" width="11.42578125" style="9"/>
  </cols>
  <sheetData>
    <row r="1" spans="2:11" ht="15.75" thickBot="1" x14ac:dyDescent="0.3">
      <c r="B1" s="10" t="s">
        <v>34</v>
      </c>
      <c r="C1" s="11"/>
      <c r="D1" s="11"/>
      <c r="E1" s="11"/>
      <c r="F1" s="11"/>
      <c r="G1" s="12"/>
    </row>
    <row r="2" spans="2:11" x14ac:dyDescent="0.25">
      <c r="B2" s="14" t="s">
        <v>36</v>
      </c>
      <c r="C2" s="15"/>
      <c r="D2" s="16"/>
      <c r="E2" s="17" t="s">
        <v>37</v>
      </c>
      <c r="F2" s="15"/>
      <c r="G2" s="16"/>
    </row>
    <row r="3" spans="2:11" ht="15.75" thickBot="1" x14ac:dyDescent="0.3">
      <c r="B3" s="18" t="s">
        <v>38</v>
      </c>
      <c r="C3" s="19"/>
      <c r="D3" s="20"/>
      <c r="E3" s="21" t="s">
        <v>38</v>
      </c>
      <c r="F3" s="22"/>
      <c r="G3" s="23"/>
    </row>
    <row r="4" spans="2:11" hidden="1" x14ac:dyDescent="0.25">
      <c r="B4" s="18" t="s">
        <v>39</v>
      </c>
      <c r="C4" s="19"/>
      <c r="D4" s="20"/>
      <c r="E4" s="21" t="s">
        <v>40</v>
      </c>
      <c r="F4" s="22"/>
      <c r="G4" s="23"/>
    </row>
    <row r="5" spans="2:11" hidden="1" x14ac:dyDescent="0.25">
      <c r="B5" s="18" t="s">
        <v>42</v>
      </c>
      <c r="C5" s="19"/>
      <c r="D5" s="20"/>
      <c r="E5" s="21" t="s">
        <v>43</v>
      </c>
      <c r="F5" s="22"/>
      <c r="G5" s="23"/>
    </row>
    <row r="6" spans="2:11" hidden="1" x14ac:dyDescent="0.25">
      <c r="B6" s="18" t="s">
        <v>42</v>
      </c>
      <c r="C6" s="19"/>
      <c r="D6" s="20"/>
      <c r="E6" s="21" t="s">
        <v>45</v>
      </c>
      <c r="F6" s="22"/>
      <c r="G6" s="23"/>
    </row>
    <row r="7" spans="2:11" hidden="1" x14ac:dyDescent="0.25">
      <c r="B7" s="18" t="s">
        <v>46</v>
      </c>
      <c r="C7" s="19"/>
      <c r="D7" s="20"/>
      <c r="E7" s="21"/>
      <c r="F7" s="22"/>
      <c r="G7" s="23"/>
    </row>
    <row r="8" spans="2:11" hidden="1" x14ac:dyDescent="0.25">
      <c r="B8" s="18" t="s">
        <v>48</v>
      </c>
      <c r="C8" s="19"/>
      <c r="D8" s="20"/>
      <c r="E8" s="21" t="s">
        <v>49</v>
      </c>
      <c r="F8" s="22"/>
      <c r="G8" s="23"/>
      <c r="K8" s="31"/>
    </row>
    <row r="9" spans="2:11" hidden="1" x14ac:dyDescent="0.25">
      <c r="B9" s="18" t="s">
        <v>52</v>
      </c>
      <c r="C9" s="19"/>
      <c r="D9" s="20"/>
      <c r="E9" s="21" t="s">
        <v>53</v>
      </c>
      <c r="F9" s="32" t="s">
        <v>54</v>
      </c>
      <c r="G9" s="23"/>
    </row>
    <row r="10" spans="2:11" hidden="1" x14ac:dyDescent="0.25">
      <c r="B10" s="18" t="s">
        <v>56</v>
      </c>
      <c r="C10" s="19"/>
      <c r="D10" s="20"/>
      <c r="E10" s="21" t="s">
        <v>57</v>
      </c>
      <c r="F10" s="32"/>
      <c r="G10" s="23"/>
    </row>
    <row r="11" spans="2:11" hidden="1" x14ac:dyDescent="0.25">
      <c r="B11" s="18" t="s">
        <v>58</v>
      </c>
      <c r="C11" s="19"/>
      <c r="D11" s="20"/>
      <c r="E11" s="21" t="s">
        <v>59</v>
      </c>
      <c r="F11" s="32"/>
      <c r="G11" s="23"/>
    </row>
    <row r="12" spans="2:11" hidden="1" x14ac:dyDescent="0.25">
      <c r="B12" s="18" t="s">
        <v>61</v>
      </c>
      <c r="C12" s="19">
        <v>4</v>
      </c>
      <c r="D12" s="20"/>
      <c r="E12" s="21" t="s">
        <v>62</v>
      </c>
      <c r="F12" s="35"/>
      <c r="G12" s="36"/>
    </row>
    <row r="13" spans="2:11" hidden="1" x14ac:dyDescent="0.25">
      <c r="B13" s="18" t="s">
        <v>64</v>
      </c>
      <c r="C13" s="19"/>
      <c r="D13" s="20"/>
      <c r="E13" s="21" t="s">
        <v>65</v>
      </c>
      <c r="F13" s="37"/>
      <c r="G13" s="23"/>
    </row>
    <row r="14" spans="2:11" hidden="1" x14ac:dyDescent="0.25">
      <c r="B14" s="18"/>
      <c r="C14" s="19"/>
      <c r="D14" s="20"/>
      <c r="E14" s="21" t="s">
        <v>67</v>
      </c>
      <c r="F14" s="22"/>
      <c r="G14" s="23"/>
    </row>
    <row r="15" spans="2:11" hidden="1" x14ac:dyDescent="0.25">
      <c r="B15" s="21"/>
      <c r="C15" s="19"/>
      <c r="D15" s="20"/>
      <c r="E15" s="21"/>
      <c r="F15" s="22"/>
      <c r="G15" s="23"/>
    </row>
    <row r="16" spans="2:11" ht="15.75" hidden="1" thickBot="1" x14ac:dyDescent="0.3">
      <c r="B16" s="38"/>
      <c r="C16" s="39"/>
      <c r="D16" s="40"/>
      <c r="E16" s="38"/>
      <c r="F16" s="41"/>
      <c r="G16" s="42"/>
    </row>
    <row r="17" spans="2:16" ht="15.75" thickBot="1" x14ac:dyDescent="0.3">
      <c r="B17" s="43" t="s">
        <v>71</v>
      </c>
      <c r="C17" s="567"/>
      <c r="D17" s="568"/>
      <c r="E17" s="44" t="s">
        <v>72</v>
      </c>
      <c r="F17" s="567"/>
      <c r="G17" s="569"/>
    </row>
    <row r="18" spans="2:16" ht="20.25" customHeight="1" thickBot="1" x14ac:dyDescent="0.3">
      <c r="B18" s="46" t="s">
        <v>74</v>
      </c>
      <c r="C18" s="47"/>
      <c r="D18" s="47"/>
      <c r="E18" s="47"/>
      <c r="F18" s="47"/>
      <c r="G18" s="48"/>
    </row>
    <row r="19" spans="2:16" ht="24" customHeight="1" thickBot="1" x14ac:dyDescent="0.3">
      <c r="B19" s="50" t="s">
        <v>74</v>
      </c>
      <c r="C19" s="51" t="s">
        <v>76</v>
      </c>
      <c r="D19" s="51" t="s">
        <v>77</v>
      </c>
      <c r="E19" s="52" t="s">
        <v>78</v>
      </c>
      <c r="F19" s="53"/>
      <c r="G19" s="53"/>
    </row>
    <row r="20" spans="2:16" s="54" customFormat="1" ht="15.75" thickBot="1" x14ac:dyDescent="0.3">
      <c r="B20" s="17" t="s">
        <v>11</v>
      </c>
      <c r="C20" s="55"/>
      <c r="D20" s="56"/>
      <c r="E20" s="24">
        <f>J32</f>
        <v>2000</v>
      </c>
      <c r="F20" s="57"/>
      <c r="G20" s="58"/>
      <c r="H20" s="9"/>
      <c r="I20" s="9"/>
      <c r="J20" s="9"/>
      <c r="K20" s="9"/>
      <c r="L20" s="9"/>
      <c r="M20" s="9"/>
      <c r="N20" s="9"/>
      <c r="O20" s="9"/>
      <c r="P20" s="9"/>
    </row>
    <row r="21" spans="2:16" s="54" customFormat="1" hidden="1" x14ac:dyDescent="0.25">
      <c r="B21" s="61"/>
      <c r="C21" s="62"/>
      <c r="D21" s="63"/>
      <c r="E21" s="64"/>
      <c r="F21" s="65"/>
      <c r="G21" s="66"/>
      <c r="I21" s="9"/>
      <c r="J21" s="9"/>
      <c r="K21" s="9"/>
      <c r="L21" s="9"/>
      <c r="M21" s="9"/>
      <c r="N21" s="9"/>
      <c r="O21" s="9"/>
      <c r="P21" s="9"/>
    </row>
    <row r="22" spans="2:16" s="54" customFormat="1" hidden="1" x14ac:dyDescent="0.25">
      <c r="B22" s="61"/>
      <c r="C22" s="62"/>
      <c r="D22" s="67"/>
      <c r="E22" s="64"/>
      <c r="F22" s="65"/>
      <c r="G22" s="66"/>
      <c r="I22" s="9"/>
      <c r="J22" s="9"/>
      <c r="K22" s="9"/>
      <c r="L22" s="9"/>
      <c r="M22" s="9"/>
      <c r="N22" s="9"/>
      <c r="O22" s="9"/>
      <c r="P22" s="9"/>
    </row>
    <row r="23" spans="2:16" s="54" customFormat="1" ht="27" hidden="1" x14ac:dyDescent="0.25">
      <c r="B23" s="61"/>
      <c r="C23" s="62"/>
      <c r="D23" s="63"/>
      <c r="E23" s="64"/>
      <c r="F23" s="65"/>
      <c r="G23" s="66"/>
      <c r="I23" s="82"/>
      <c r="J23" s="9"/>
      <c r="K23" s="9"/>
      <c r="L23" s="9"/>
      <c r="M23" s="9"/>
      <c r="N23" s="9"/>
      <c r="O23" s="9"/>
      <c r="P23" s="9"/>
    </row>
    <row r="24" spans="2:16" hidden="1" x14ac:dyDescent="0.25">
      <c r="B24" s="21" t="s">
        <v>63</v>
      </c>
      <c r="C24" s="22"/>
      <c r="D24" s="69">
        <f>IF($J$33&gt;=151.67,$J$32/151.67*1.25,0)</f>
        <v>16.483154216390851</v>
      </c>
      <c r="E24" s="70">
        <f>D24*C24</f>
        <v>0</v>
      </c>
      <c r="F24" s="71"/>
      <c r="G24" s="72"/>
    </row>
    <row r="25" spans="2:16" ht="15.75" hidden="1" x14ac:dyDescent="0.25">
      <c r="B25" s="21" t="s">
        <v>66</v>
      </c>
      <c r="C25" s="22"/>
      <c r="D25" s="69">
        <f>IF($J$33&gt;=151.67,$J$32/151.67*1.5,0)</f>
        <v>19.77978505966902</v>
      </c>
      <c r="E25" s="70">
        <f>D25*C25</f>
        <v>0</v>
      </c>
      <c r="F25" s="71"/>
      <c r="G25" s="74"/>
      <c r="K25" s="76"/>
    </row>
    <row r="26" spans="2:16" hidden="1" x14ac:dyDescent="0.25">
      <c r="B26" s="21" t="s">
        <v>68</v>
      </c>
      <c r="C26" s="22"/>
      <c r="D26" s="22">
        <f>IF($J$33&lt;151.67,$E$20/151.67*1.1,0)</f>
        <v>0</v>
      </c>
      <c r="E26" s="70">
        <f t="shared" ref="E26:E27" si="0">D26*C26</f>
        <v>0</v>
      </c>
      <c r="F26" s="71"/>
      <c r="G26" s="74"/>
    </row>
    <row r="27" spans="2:16" hidden="1" x14ac:dyDescent="0.25">
      <c r="B27" s="21" t="s">
        <v>69</v>
      </c>
      <c r="C27" s="22"/>
      <c r="D27" s="22">
        <f>IF($J$33&lt;151.67,$E$20/151.67*1.1,0)</f>
        <v>0</v>
      </c>
      <c r="E27" s="70">
        <f t="shared" si="0"/>
        <v>0</v>
      </c>
      <c r="F27" s="71"/>
      <c r="G27" s="74"/>
    </row>
    <row r="28" spans="2:16" hidden="1" x14ac:dyDescent="0.25">
      <c r="B28" s="21"/>
      <c r="C28" s="22"/>
      <c r="D28" s="22"/>
      <c r="E28" s="70"/>
      <c r="F28" s="71"/>
      <c r="G28" s="74"/>
    </row>
    <row r="29" spans="2:16" hidden="1" x14ac:dyDescent="0.25">
      <c r="B29" s="21"/>
      <c r="C29" s="79"/>
      <c r="D29" s="69"/>
      <c r="E29" s="70"/>
      <c r="F29" s="80"/>
      <c r="G29" s="81"/>
    </row>
    <row r="30" spans="2:16" ht="23.25" hidden="1" thickBot="1" x14ac:dyDescent="0.3">
      <c r="B30" s="21"/>
      <c r="C30" s="79"/>
      <c r="D30" s="22"/>
      <c r="E30" s="70"/>
      <c r="F30" s="80"/>
      <c r="G30" s="81"/>
      <c r="I30" s="13" t="s">
        <v>35</v>
      </c>
    </row>
    <row r="31" spans="2:16" ht="15.75" hidden="1" thickBot="1" x14ac:dyDescent="0.3">
      <c r="B31" s="21"/>
      <c r="C31" s="83"/>
      <c r="D31" s="84"/>
      <c r="E31" s="85"/>
      <c r="F31" s="86"/>
      <c r="G31" s="87"/>
    </row>
    <row r="32" spans="2:16" ht="15.75" thickBot="1" x14ac:dyDescent="0.3">
      <c r="B32" s="88" t="s">
        <v>90</v>
      </c>
      <c r="C32" s="593">
        <f>+E139</f>
        <v>19</v>
      </c>
      <c r="D32" s="594">
        <f>+E138</f>
        <v>64.516129032258064</v>
      </c>
      <c r="E32" s="85">
        <f>+-D32*C32</f>
        <v>-1225.8064516129032</v>
      </c>
      <c r="F32" s="92"/>
      <c r="G32" s="93"/>
      <c r="I32" s="17" t="s">
        <v>11</v>
      </c>
      <c r="J32" s="24">
        <v>2000</v>
      </c>
    </row>
    <row r="33" spans="2:10" x14ac:dyDescent="0.25">
      <c r="B33" s="94" t="s">
        <v>91</v>
      </c>
      <c r="C33" s="593">
        <f>+C158</f>
        <v>12</v>
      </c>
      <c r="D33" s="262">
        <f>+E147</f>
        <v>32.876712328767127</v>
      </c>
      <c r="E33" s="85">
        <f>+-D33*C33</f>
        <v>-394.52054794520552</v>
      </c>
      <c r="F33" s="98"/>
      <c r="G33" s="99"/>
      <c r="I33" s="21" t="s">
        <v>41</v>
      </c>
      <c r="J33" s="25">
        <v>151.66999999999999</v>
      </c>
    </row>
    <row r="34" spans="2:10" ht="15.75" thickBot="1" x14ac:dyDescent="0.3">
      <c r="B34" s="88" t="s">
        <v>28</v>
      </c>
      <c r="C34" s="593">
        <f>+C33</f>
        <v>12</v>
      </c>
      <c r="D34" s="262">
        <f>+D32*0.9</f>
        <v>58.064516129032256</v>
      </c>
      <c r="E34" s="85">
        <f>+D34*C34</f>
        <v>696.77419354838707</v>
      </c>
      <c r="F34" s="98"/>
      <c r="G34" s="99"/>
      <c r="I34" s="26" t="s">
        <v>8</v>
      </c>
      <c r="J34" s="27">
        <v>1</v>
      </c>
    </row>
    <row r="35" spans="2:10" ht="15.75" hidden="1" thickBot="1" x14ac:dyDescent="0.3">
      <c r="B35" s="94"/>
      <c r="C35" s="95"/>
      <c r="D35" s="96"/>
      <c r="E35" s="97"/>
      <c r="F35" s="98"/>
      <c r="G35" s="99"/>
      <c r="I35" s="21" t="s">
        <v>47</v>
      </c>
      <c r="J35" s="584">
        <v>5.1499999999999997E-2</v>
      </c>
    </row>
    <row r="36" spans="2:10" ht="15.75" hidden="1" thickBot="1" x14ac:dyDescent="0.3">
      <c r="B36" s="100" t="s">
        <v>92</v>
      </c>
      <c r="C36" s="95">
        <f>J18</f>
        <v>0</v>
      </c>
      <c r="D36" s="96">
        <f>J17</f>
        <v>0</v>
      </c>
      <c r="E36" s="101">
        <f>C36*D36</f>
        <v>0</v>
      </c>
      <c r="F36" s="98"/>
      <c r="G36" s="99"/>
      <c r="I36" s="21" t="s">
        <v>55</v>
      </c>
      <c r="J36" s="33">
        <v>10.57</v>
      </c>
    </row>
    <row r="37" spans="2:10" ht="16.5" thickTop="1" thickBot="1" x14ac:dyDescent="0.3">
      <c r="B37" s="102" t="s">
        <v>93</v>
      </c>
      <c r="C37" s="103"/>
      <c r="D37" s="104"/>
      <c r="E37" s="105">
        <f>SUM(E20:E36)</f>
        <v>1076.4471939902783</v>
      </c>
      <c r="F37" s="98"/>
      <c r="G37" s="99"/>
      <c r="I37" s="4" t="s">
        <v>0</v>
      </c>
      <c r="J37" s="583">
        <v>35</v>
      </c>
    </row>
    <row r="38" spans="2:10" ht="15.75" thickBot="1" x14ac:dyDescent="0.3">
      <c r="B38" s="106"/>
      <c r="C38" s="107"/>
      <c r="D38" s="108"/>
      <c r="E38" s="108"/>
      <c r="F38" s="109"/>
      <c r="G38" s="110"/>
      <c r="I38" s="26" t="s">
        <v>73</v>
      </c>
      <c r="J38" s="358">
        <f>E37</f>
        <v>1076.4471939902783</v>
      </c>
    </row>
    <row r="39" spans="2:10" ht="28.5" x14ac:dyDescent="0.25">
      <c r="B39" s="111" t="s">
        <v>94</v>
      </c>
      <c r="C39" s="112" t="s">
        <v>95</v>
      </c>
      <c r="D39" s="112" t="s">
        <v>96</v>
      </c>
      <c r="E39" s="112" t="s">
        <v>97</v>
      </c>
      <c r="F39" s="112" t="s">
        <v>96</v>
      </c>
      <c r="G39" s="113" t="s">
        <v>98</v>
      </c>
      <c r="I39" s="26" t="s">
        <v>75</v>
      </c>
      <c r="J39" s="45"/>
    </row>
    <row r="40" spans="2:10" x14ac:dyDescent="0.25">
      <c r="B40" s="114" t="s">
        <v>99</v>
      </c>
      <c r="C40" s="115"/>
      <c r="D40" s="116"/>
      <c r="E40" s="116"/>
      <c r="F40" s="117"/>
      <c r="G40" s="118"/>
      <c r="I40" s="21" t="s">
        <v>79</v>
      </c>
      <c r="J40" s="580">
        <v>0.31950000000000001</v>
      </c>
    </row>
    <row r="41" spans="2:10" x14ac:dyDescent="0.25">
      <c r="B41" s="119" t="s">
        <v>100</v>
      </c>
      <c r="C41" s="95">
        <f>$E$37</f>
        <v>1076.4471939902783</v>
      </c>
      <c r="D41" s="120"/>
      <c r="E41" s="121"/>
      <c r="F41" s="122">
        <f>IF(E37&lt;=2.5*J36*151.6667,7%,13%)</f>
        <v>7.0000000000000007E-2</v>
      </c>
      <c r="G41" s="123">
        <f>F41*C41</f>
        <v>75.351303579319492</v>
      </c>
      <c r="I41" s="59" t="s">
        <v>80</v>
      </c>
      <c r="J41" s="590">
        <v>5.1499999999999997E-2</v>
      </c>
    </row>
    <row r="42" spans="2:10" ht="15.75" thickBot="1" x14ac:dyDescent="0.3">
      <c r="B42" s="119" t="s">
        <v>101</v>
      </c>
      <c r="C42" s="95">
        <f>$J$38</f>
        <v>1076.4471939902783</v>
      </c>
      <c r="D42" s="124"/>
      <c r="E42" s="125"/>
      <c r="F42" s="126">
        <f>J16</f>
        <v>0</v>
      </c>
      <c r="G42" s="123">
        <f>F42*C42</f>
        <v>0</v>
      </c>
      <c r="I42" s="38" t="s">
        <v>83</v>
      </c>
      <c r="J42" s="589">
        <v>0.02</v>
      </c>
    </row>
    <row r="43" spans="2:10" x14ac:dyDescent="0.25">
      <c r="B43" s="119"/>
      <c r="C43" s="95"/>
      <c r="D43" s="124"/>
      <c r="E43" s="125"/>
      <c r="F43" s="126"/>
      <c r="G43" s="123"/>
    </row>
    <row r="44" spans="2:10" x14ac:dyDescent="0.25">
      <c r="B44" s="119" t="s">
        <v>103</v>
      </c>
      <c r="C44" s="95">
        <f>E37</f>
        <v>1076.4471939902783</v>
      </c>
      <c r="D44" s="124"/>
      <c r="E44" s="125"/>
      <c r="F44" s="126">
        <f>J42</f>
        <v>0.02</v>
      </c>
      <c r="G44" s="123">
        <f>F44*C44</f>
        <v>21.528943879805567</v>
      </c>
    </row>
    <row r="45" spans="2:10" x14ac:dyDescent="0.25">
      <c r="B45" s="127" t="s">
        <v>104</v>
      </c>
      <c r="C45" s="95">
        <f>J38+J39</f>
        <v>1076.4471939902783</v>
      </c>
      <c r="E45" s="95"/>
      <c r="F45" s="128">
        <f>J35</f>
        <v>5.1499999999999997E-2</v>
      </c>
      <c r="G45" s="123">
        <f>F45*C45</f>
        <v>55.437030490499325</v>
      </c>
    </row>
    <row r="46" spans="2:10" x14ac:dyDescent="0.25">
      <c r="B46" s="114" t="s">
        <v>105</v>
      </c>
      <c r="C46" s="115"/>
      <c r="D46" s="116"/>
      <c r="E46" s="116"/>
      <c r="F46" s="117"/>
      <c r="G46" s="118"/>
    </row>
    <row r="47" spans="2:10" x14ac:dyDescent="0.25">
      <c r="B47" s="119" t="s">
        <v>106</v>
      </c>
      <c r="C47" s="95">
        <f>$J$38</f>
        <v>1076.4471939902783</v>
      </c>
      <c r="D47" s="124">
        <v>6.9000000000000006E-2</v>
      </c>
      <c r="E47" s="125">
        <f>D47*C47</f>
        <v>74.274856385329201</v>
      </c>
      <c r="F47" s="126">
        <v>8.5500000000000007E-2</v>
      </c>
      <c r="G47" s="123">
        <f>F47*C47</f>
        <v>92.036235086168801</v>
      </c>
    </row>
    <row r="48" spans="2:10" x14ac:dyDescent="0.25">
      <c r="B48" s="119" t="s">
        <v>107</v>
      </c>
      <c r="C48" s="95">
        <f>$E$37</f>
        <v>1076.4471939902783</v>
      </c>
      <c r="D48" s="124">
        <v>4.0000000000000001E-3</v>
      </c>
      <c r="E48" s="125">
        <f t="shared" ref="E48:E51" si="1">D48*C48</f>
        <v>4.3057887759611129</v>
      </c>
      <c r="F48" s="126">
        <v>1.9E-2</v>
      </c>
      <c r="G48" s="123">
        <f t="shared" ref="G48:G51" si="2">F48*C48</f>
        <v>20.452496685815287</v>
      </c>
    </row>
    <row r="49" spans="2:7" x14ac:dyDescent="0.25">
      <c r="B49" s="119" t="s">
        <v>108</v>
      </c>
      <c r="C49" s="95">
        <f>$J$38</f>
        <v>1076.4471939902783</v>
      </c>
      <c r="D49" s="124">
        <v>4.0099999999999997E-2</v>
      </c>
      <c r="E49" s="125">
        <f t="shared" si="1"/>
        <v>43.165532479010153</v>
      </c>
      <c r="F49" s="126">
        <v>6.0100000000000001E-2</v>
      </c>
      <c r="G49" s="123">
        <f t="shared" si="2"/>
        <v>64.69447635881572</v>
      </c>
    </row>
    <row r="50" spans="2:7" hidden="1" x14ac:dyDescent="0.25">
      <c r="B50" s="119" t="s">
        <v>109</v>
      </c>
      <c r="C50" s="95">
        <f>+J39</f>
        <v>0</v>
      </c>
      <c r="D50" s="124">
        <v>9.7199999999999995E-2</v>
      </c>
      <c r="E50" s="125">
        <f t="shared" si="1"/>
        <v>0</v>
      </c>
      <c r="F50" s="126">
        <v>0.1457</v>
      </c>
      <c r="G50" s="123">
        <f t="shared" si="2"/>
        <v>0</v>
      </c>
    </row>
    <row r="51" spans="2:7" hidden="1" x14ac:dyDescent="0.25">
      <c r="B51" s="119" t="s">
        <v>110</v>
      </c>
      <c r="C51" s="95"/>
      <c r="D51" s="124">
        <v>1.4E-3</v>
      </c>
      <c r="E51" s="125">
        <f t="shared" si="1"/>
        <v>0</v>
      </c>
      <c r="F51" s="126">
        <v>2.0999999999999999E-3</v>
      </c>
      <c r="G51" s="123">
        <f t="shared" si="2"/>
        <v>0</v>
      </c>
    </row>
    <row r="52" spans="2:7" hidden="1" x14ac:dyDescent="0.25">
      <c r="B52" s="119" t="s">
        <v>111</v>
      </c>
      <c r="C52" s="95"/>
      <c r="D52" s="124"/>
      <c r="E52" s="125"/>
      <c r="F52" s="126"/>
      <c r="G52" s="123"/>
    </row>
    <row r="53" spans="2:7" x14ac:dyDescent="0.25">
      <c r="B53" s="114" t="s">
        <v>112</v>
      </c>
      <c r="C53" s="95">
        <f>$E$37</f>
        <v>1076.4471939902783</v>
      </c>
      <c r="D53" s="129"/>
      <c r="E53" s="95"/>
      <c r="F53" s="126">
        <v>3.4500000000000003E-2</v>
      </c>
      <c r="G53" s="123">
        <f>F53*C53</f>
        <v>37.137428192664601</v>
      </c>
    </row>
    <row r="54" spans="2:7" x14ac:dyDescent="0.25">
      <c r="B54" s="114" t="s">
        <v>113</v>
      </c>
      <c r="C54" s="95"/>
      <c r="D54" s="129"/>
      <c r="E54" s="95"/>
      <c r="F54" s="131"/>
      <c r="G54" s="123"/>
    </row>
    <row r="55" spans="2:7" x14ac:dyDescent="0.25">
      <c r="B55" s="119" t="s">
        <v>114</v>
      </c>
      <c r="C55" s="95">
        <f>E37</f>
        <v>1076.4471939902783</v>
      </c>
      <c r="D55" s="129"/>
      <c r="E55" s="95"/>
      <c r="F55" s="132">
        <v>4.2000000000000003E-2</v>
      </c>
      <c r="G55" s="123">
        <f t="shared" ref="G55" si="3">F55*C55</f>
        <v>45.210782147591686</v>
      </c>
    </row>
    <row r="56" spans="2:7" hidden="1" x14ac:dyDescent="0.25">
      <c r="B56" s="119" t="s">
        <v>115</v>
      </c>
      <c r="C56" s="95"/>
      <c r="D56" s="133">
        <v>2.4000000000000001E-4</v>
      </c>
      <c r="E56" s="134">
        <f>D56*C56</f>
        <v>0</v>
      </c>
      <c r="F56" s="131">
        <v>3.6000000000000002E-4</v>
      </c>
      <c r="G56" s="135">
        <f>C56*F56</f>
        <v>0</v>
      </c>
    </row>
    <row r="57" spans="2:7" x14ac:dyDescent="0.25">
      <c r="B57" s="114" t="s">
        <v>116</v>
      </c>
      <c r="C57" s="95"/>
      <c r="D57" s="129"/>
      <c r="E57" s="95"/>
      <c r="F57" s="131"/>
      <c r="G57" s="123">
        <f>E98</f>
        <v>16.749518338488731</v>
      </c>
    </row>
    <row r="58" spans="2:7" hidden="1" x14ac:dyDescent="0.25">
      <c r="B58" s="127"/>
      <c r="C58" s="95"/>
      <c r="D58" s="95"/>
      <c r="E58" s="95"/>
      <c r="F58" s="95"/>
      <c r="G58" s="136"/>
    </row>
    <row r="59" spans="2:7" ht="25.5" hidden="1" x14ac:dyDescent="0.25">
      <c r="B59" s="137" t="s">
        <v>117</v>
      </c>
      <c r="C59" s="95"/>
      <c r="D59" s="95"/>
      <c r="E59" s="95"/>
      <c r="F59" s="95"/>
      <c r="G59" s="136"/>
    </row>
    <row r="60" spans="2:7" hidden="1" x14ac:dyDescent="0.25">
      <c r="B60" s="127"/>
      <c r="C60" s="95"/>
      <c r="D60" s="133"/>
      <c r="E60" s="95"/>
      <c r="F60" s="138"/>
      <c r="G60" s="123"/>
    </row>
    <row r="61" spans="2:7" x14ac:dyDescent="0.25">
      <c r="B61" s="127" t="s">
        <v>118</v>
      </c>
      <c r="C61" s="95">
        <f>(E37-E24-E25-E26-E27)*0.9825+G42+G43+G44</f>
        <v>1079.1383119752541</v>
      </c>
      <c r="D61" s="124">
        <v>6.8000000000000005E-2</v>
      </c>
      <c r="E61" s="125">
        <f>D61*C61</f>
        <v>73.381405214317283</v>
      </c>
      <c r="F61" s="126"/>
      <c r="G61" s="123"/>
    </row>
    <row r="62" spans="2:7" x14ac:dyDescent="0.25">
      <c r="B62" s="127" t="s">
        <v>119</v>
      </c>
      <c r="C62" s="95">
        <f>C61</f>
        <v>1079.1383119752541</v>
      </c>
      <c r="D62" s="124">
        <v>2.9000000000000001E-2</v>
      </c>
      <c r="E62" s="125">
        <f>D62*C62</f>
        <v>31.295011047282369</v>
      </c>
      <c r="F62" s="126"/>
      <c r="G62" s="123"/>
    </row>
    <row r="63" spans="2:7" x14ac:dyDescent="0.25">
      <c r="B63" s="139"/>
      <c r="C63" s="95"/>
      <c r="D63" s="124"/>
      <c r="E63" s="125"/>
      <c r="F63" s="126"/>
      <c r="G63" s="123"/>
    </row>
    <row r="64" spans="2:7" ht="23.25" customHeight="1" thickBot="1" x14ac:dyDescent="0.3">
      <c r="B64" s="139" t="s">
        <v>121</v>
      </c>
      <c r="C64" s="124"/>
      <c r="D64" s="124"/>
      <c r="E64" s="125"/>
      <c r="F64" s="126"/>
      <c r="G64" s="445">
        <f>-'REGUL MALADIE'!H9</f>
        <v>-161.89765797613779</v>
      </c>
    </row>
    <row r="65" spans="2:14" ht="15.75" thickBot="1" x14ac:dyDescent="0.3">
      <c r="B65" s="147" t="s">
        <v>124</v>
      </c>
      <c r="C65" s="148"/>
      <c r="D65" s="149"/>
      <c r="E65" s="150">
        <f>SUM(E41:E64)</f>
        <v>226.42259390190011</v>
      </c>
      <c r="F65" s="151"/>
      <c r="G65" s="152">
        <f>SUM(G41:G64)</f>
        <v>266.70055678303135</v>
      </c>
    </row>
    <row r="66" spans="2:14" ht="15.75" customHeight="1" x14ac:dyDescent="0.25">
      <c r="B66" s="163"/>
      <c r="C66" s="385"/>
      <c r="D66" s="159"/>
      <c r="E66" s="164"/>
      <c r="F66" s="161"/>
      <c r="G66" s="162"/>
      <c r="I66" s="463" t="s">
        <v>93</v>
      </c>
      <c r="J66" s="464">
        <f>E37</f>
        <v>1076.4471939902783</v>
      </c>
    </row>
    <row r="67" spans="2:14" x14ac:dyDescent="0.25">
      <c r="B67" s="476"/>
      <c r="C67" s="477"/>
      <c r="D67" s="478"/>
      <c r="E67" s="479"/>
      <c r="F67" s="168"/>
      <c r="G67" s="162"/>
      <c r="I67" s="465" t="s">
        <v>15</v>
      </c>
      <c r="J67" s="466">
        <f>-E65</f>
        <v>-226.42259390190011</v>
      </c>
    </row>
    <row r="68" spans="2:14" x14ac:dyDescent="0.25">
      <c r="B68" s="169" t="s">
        <v>270</v>
      </c>
      <c r="C68" s="125"/>
      <c r="D68" s="159"/>
      <c r="E68" s="170">
        <f>E151</f>
        <v>490.7835616438357</v>
      </c>
      <c r="F68" s="161"/>
      <c r="G68" s="162"/>
      <c r="I68" s="465" t="s">
        <v>386</v>
      </c>
      <c r="J68" s="466">
        <f>E62</f>
        <v>31.295011047282369</v>
      </c>
      <c r="N68" s="9" t="s">
        <v>230</v>
      </c>
    </row>
    <row r="69" spans="2:14" ht="15.75" thickBot="1" x14ac:dyDescent="0.3">
      <c r="B69" s="141"/>
      <c r="C69" s="144"/>
      <c r="D69" s="171"/>
      <c r="E69" s="172"/>
      <c r="F69" s="173"/>
      <c r="G69" s="146"/>
      <c r="I69" s="465" t="s">
        <v>2</v>
      </c>
      <c r="J69" s="466">
        <f>G44</f>
        <v>21.528943879805567</v>
      </c>
      <c r="L69" s="9" t="s">
        <v>388</v>
      </c>
      <c r="M69" s="606">
        <v>2.9000000000000001E-2</v>
      </c>
      <c r="N69" s="606">
        <v>2.9000000000000001E-2</v>
      </c>
    </row>
    <row r="70" spans="2:14" ht="15.75" thickBot="1" x14ac:dyDescent="0.3">
      <c r="B70" s="174" t="s">
        <v>130</v>
      </c>
      <c r="C70" s="148"/>
      <c r="D70" s="149"/>
      <c r="E70" s="150"/>
      <c r="F70" s="151"/>
      <c r="G70" s="175">
        <f>E37-E65+E66+E67+E68+E69</f>
        <v>1340.8081617322139</v>
      </c>
      <c r="H70" s="356"/>
      <c r="I70" s="465" t="s">
        <v>272</v>
      </c>
      <c r="J70" s="466">
        <f>SUM(J66:J69)</f>
        <v>902.8485550154661</v>
      </c>
      <c r="L70" s="9" t="s">
        <v>389</v>
      </c>
      <c r="M70" s="606">
        <v>6.8000000000000005E-2</v>
      </c>
      <c r="N70" s="606">
        <v>3.7999999999999999E-2</v>
      </c>
    </row>
    <row r="71" spans="2:14" ht="28.5" x14ac:dyDescent="0.25">
      <c r="B71" s="176" t="s">
        <v>131</v>
      </c>
      <c r="C71" s="177"/>
      <c r="D71" s="178"/>
      <c r="E71" s="179"/>
      <c r="F71" s="180"/>
      <c r="G71" s="181"/>
      <c r="I71" s="465"/>
      <c r="J71" s="467"/>
      <c r="M71" s="606">
        <f>M70+M69</f>
        <v>9.7000000000000003E-2</v>
      </c>
      <c r="N71" s="606">
        <f>N70+N69</f>
        <v>6.7000000000000004E-2</v>
      </c>
    </row>
    <row r="72" spans="2:14" x14ac:dyDescent="0.25">
      <c r="B72" s="570" t="s">
        <v>132</v>
      </c>
      <c r="C72" s="572" t="s">
        <v>133</v>
      </c>
      <c r="D72" s="182" t="s">
        <v>96</v>
      </c>
      <c r="E72" s="574"/>
      <c r="F72" s="183"/>
      <c r="G72" s="576" t="s">
        <v>134</v>
      </c>
      <c r="I72" s="465" t="s">
        <v>231</v>
      </c>
      <c r="J72" s="466">
        <f>'BULLETIN AVEC SUBROGATION'!E149</f>
        <v>526.02739726027403</v>
      </c>
    </row>
    <row r="73" spans="2:14" ht="15.75" thickBot="1" x14ac:dyDescent="0.3">
      <c r="B73" s="571"/>
      <c r="C73" s="573"/>
      <c r="D73" s="184" t="s">
        <v>135</v>
      </c>
      <c r="E73" s="575"/>
      <c r="F73" s="185"/>
      <c r="G73" s="577"/>
      <c r="I73" s="465" t="s">
        <v>387</v>
      </c>
      <c r="J73" s="466">
        <f>J72*3.8%</f>
        <v>19.989041095890414</v>
      </c>
    </row>
    <row r="74" spans="2:14" ht="15.75" thickBot="1" x14ac:dyDescent="0.3">
      <c r="B74" s="174" t="s">
        <v>136</v>
      </c>
      <c r="C74" s="186">
        <f>J76</f>
        <v>1408.8869111798497</v>
      </c>
      <c r="D74" s="382">
        <f>J41</f>
        <v>5.1499999999999997E-2</v>
      </c>
      <c r="E74" s="187"/>
      <c r="F74" s="188"/>
      <c r="G74" s="189">
        <f>D74*C74</f>
        <v>72.557675925762254</v>
      </c>
      <c r="I74" s="470" t="s">
        <v>356</v>
      </c>
      <c r="J74" s="471">
        <f>(J72-J73)</f>
        <v>506.03835616438363</v>
      </c>
    </row>
    <row r="75" spans="2:14" x14ac:dyDescent="0.25">
      <c r="B75" s="190"/>
      <c r="C75" s="191"/>
      <c r="D75" s="192"/>
      <c r="E75" s="193" t="s">
        <v>137</v>
      </c>
      <c r="F75" s="194"/>
      <c r="G75" s="195">
        <f>G70-G74</f>
        <v>1268.2504858064517</v>
      </c>
      <c r="I75" s="465"/>
      <c r="J75" s="467"/>
    </row>
    <row r="76" spans="2:14" ht="15.75" thickBot="1" x14ac:dyDescent="0.3">
      <c r="B76" s="196" t="s">
        <v>371</v>
      </c>
      <c r="C76" s="197"/>
      <c r="D76" s="591">
        <f>+E37+G44+E62-E65</f>
        <v>902.8485550154661</v>
      </c>
      <c r="E76" s="199"/>
      <c r="F76" s="200"/>
      <c r="G76" s="201"/>
      <c r="I76" s="468" t="s">
        <v>273</v>
      </c>
      <c r="J76" s="469">
        <f>J74+J70</f>
        <v>1408.8869111798497</v>
      </c>
    </row>
    <row r="77" spans="2:14" ht="15.75" hidden="1" thickTop="1" x14ac:dyDescent="0.25">
      <c r="B77" s="555" t="s">
        <v>140</v>
      </c>
      <c r="C77" s="557"/>
      <c r="D77" s="558"/>
      <c r="E77" s="202"/>
      <c r="F77" s="203"/>
      <c r="G77" s="201"/>
    </row>
    <row r="78" spans="2:14" hidden="1" x14ac:dyDescent="0.25">
      <c r="B78" s="556"/>
      <c r="C78" s="559"/>
      <c r="D78" s="560"/>
      <c r="E78" s="204"/>
      <c r="F78" s="205"/>
      <c r="G78" s="206"/>
    </row>
    <row r="79" spans="2:14" ht="28.5" hidden="1" x14ac:dyDescent="0.25">
      <c r="B79" s="207"/>
      <c r="C79" s="208" t="s">
        <v>143</v>
      </c>
      <c r="D79" s="209" t="s">
        <v>144</v>
      </c>
      <c r="E79" s="210"/>
      <c r="F79" s="211"/>
      <c r="G79" s="212"/>
      <c r="I79" s="225"/>
      <c r="J79" s="225"/>
    </row>
    <row r="80" spans="2:14" hidden="1" x14ac:dyDescent="0.25">
      <c r="B80" s="213" t="s">
        <v>145</v>
      </c>
      <c r="C80" s="214">
        <f>E37</f>
        <v>1076.4471939902783</v>
      </c>
      <c r="D80" s="215"/>
      <c r="E80" s="216"/>
      <c r="F80" s="199"/>
      <c r="G80" s="217"/>
      <c r="I80" s="225"/>
      <c r="J80" s="225"/>
    </row>
    <row r="81" spans="2:10" ht="15.75" hidden="1" thickBot="1" x14ac:dyDescent="0.3">
      <c r="B81" s="218" t="s">
        <v>146</v>
      </c>
      <c r="C81" s="219">
        <f>E37-E24-E25+G44+E63+E62-E65</f>
        <v>902.8485550154661</v>
      </c>
      <c r="D81" s="220"/>
      <c r="E81" s="216"/>
      <c r="F81" s="199"/>
      <c r="G81" s="217"/>
      <c r="I81" s="225"/>
      <c r="J81" s="225"/>
    </row>
    <row r="82" spans="2:10" ht="15.75" hidden="1" thickBot="1" x14ac:dyDescent="0.3">
      <c r="B82" s="221" t="s">
        <v>147</v>
      </c>
      <c r="C82" s="222"/>
      <c r="D82" s="222"/>
      <c r="E82" s="223"/>
      <c r="F82" s="223"/>
      <c r="G82" s="224"/>
      <c r="I82" s="225"/>
      <c r="J82" s="225"/>
    </row>
    <row r="83" spans="2:10" x14ac:dyDescent="0.25">
      <c r="I83" s="225"/>
      <c r="J83" s="225"/>
    </row>
    <row r="84" spans="2:10" x14ac:dyDescent="0.25">
      <c r="I84" s="225"/>
      <c r="J84" s="225"/>
    </row>
    <row r="85" spans="2:10" s="225" customFormat="1" ht="15.75" thickBot="1" x14ac:dyDescent="0.3">
      <c r="B85" s="561" t="s">
        <v>116</v>
      </c>
      <c r="C85" s="562"/>
      <c r="D85" s="9"/>
      <c r="E85" s="9"/>
    </row>
    <row r="86" spans="2:10" s="225" customFormat="1" x14ac:dyDescent="0.25">
      <c r="B86" s="226"/>
      <c r="C86" s="227"/>
      <c r="D86" s="563">
        <f>+E37</f>
        <v>1076.4471939902783</v>
      </c>
      <c r="E86" s="228"/>
    </row>
    <row r="87" spans="2:10" s="225" customFormat="1" x14ac:dyDescent="0.25">
      <c r="B87" s="229" t="s">
        <v>148</v>
      </c>
      <c r="C87" s="230">
        <f>IF(J34&gt;=11,#REF!,0)</f>
        <v>0</v>
      </c>
      <c r="D87" s="564"/>
      <c r="E87" s="231">
        <f>C87*$D$86</f>
        <v>0</v>
      </c>
    </row>
    <row r="88" spans="2:10" s="225" customFormat="1" x14ac:dyDescent="0.25">
      <c r="B88" s="229" t="s">
        <v>149</v>
      </c>
      <c r="C88" s="230">
        <f>IF(J34&lt;50,0%,0.5%)</f>
        <v>0</v>
      </c>
      <c r="D88" s="564"/>
      <c r="E88" s="231">
        <f t="shared" ref="E88:E93" si="4">C88*$D$86</f>
        <v>0</v>
      </c>
    </row>
    <row r="89" spans="2:10" s="225" customFormat="1" x14ac:dyDescent="0.25">
      <c r="B89" s="229" t="s">
        <v>150</v>
      </c>
      <c r="C89" s="230">
        <v>1.6000000000000001E-4</v>
      </c>
      <c r="D89" s="564"/>
      <c r="E89" s="231">
        <f t="shared" si="4"/>
        <v>0.17223155103844454</v>
      </c>
    </row>
    <row r="90" spans="2:10" s="225" customFormat="1" x14ac:dyDescent="0.25">
      <c r="B90" s="229" t="s">
        <v>151</v>
      </c>
      <c r="C90" s="230">
        <v>3.0000000000000001E-3</v>
      </c>
      <c r="D90" s="564"/>
      <c r="E90" s="231">
        <f t="shared" si="4"/>
        <v>3.2293415819708349</v>
      </c>
    </row>
    <row r="91" spans="2:10" s="225" customFormat="1" x14ac:dyDescent="0.25">
      <c r="B91" s="229" t="s">
        <v>152</v>
      </c>
      <c r="C91" s="230">
        <v>5.8999999999999999E-3</v>
      </c>
      <c r="D91" s="564"/>
      <c r="E91" s="231">
        <f t="shared" si="4"/>
        <v>6.3510384445426418</v>
      </c>
    </row>
    <row r="92" spans="2:10" s="225" customFormat="1" x14ac:dyDescent="0.25">
      <c r="B92" s="229" t="s">
        <v>153</v>
      </c>
      <c r="C92" s="230">
        <f>IF(J34&lt;11,0.55%,1%)</f>
        <v>5.5000000000000005E-3</v>
      </c>
      <c r="D92" s="564"/>
      <c r="E92" s="231">
        <f t="shared" si="4"/>
        <v>5.9204595669465307</v>
      </c>
    </row>
    <row r="93" spans="2:10" s="225" customFormat="1" x14ac:dyDescent="0.25">
      <c r="B93" s="229"/>
      <c r="C93" s="230">
        <f>IF(J34&lt;=50,0,0.45%)</f>
        <v>0</v>
      </c>
      <c r="D93" s="564"/>
      <c r="E93" s="231">
        <f t="shared" si="4"/>
        <v>0</v>
      </c>
    </row>
    <row r="94" spans="2:10" s="225" customFormat="1" x14ac:dyDescent="0.25">
      <c r="B94" s="21"/>
      <c r="C94" s="22"/>
      <c r="D94" s="22"/>
      <c r="E94" s="23"/>
    </row>
    <row r="95" spans="2:10" s="225" customFormat="1" x14ac:dyDescent="0.25">
      <c r="B95" s="21" t="s">
        <v>154</v>
      </c>
      <c r="C95" s="232">
        <f>IF(J34&gt;=11,+G42+G43+G44,0)</f>
        <v>0</v>
      </c>
      <c r="D95" s="233">
        <v>0.08</v>
      </c>
      <c r="E95" s="234">
        <f>D95*C95</f>
        <v>0</v>
      </c>
    </row>
    <row r="96" spans="2:10" s="225" customFormat="1" ht="15.75" thickBot="1" x14ac:dyDescent="0.3">
      <c r="B96" s="38" t="s">
        <v>155</v>
      </c>
      <c r="C96" s="235">
        <f>IF(J34&lt;50,J38,0)</f>
        <v>1076.4471939902783</v>
      </c>
      <c r="D96" s="236">
        <v>1E-3</v>
      </c>
      <c r="E96" s="237">
        <f>D96*C96</f>
        <v>1.0764471939902782</v>
      </c>
    </row>
    <row r="97" spans="2:10" s="225" customFormat="1" ht="15.75" thickBot="1" x14ac:dyDescent="0.3">
      <c r="B97" s="9"/>
      <c r="C97" s="9"/>
      <c r="D97" s="9"/>
      <c r="E97" s="9"/>
    </row>
    <row r="98" spans="2:10" s="225" customFormat="1" ht="15.75" thickBot="1" x14ac:dyDescent="0.3">
      <c r="B98" s="238" t="s">
        <v>156</v>
      </c>
      <c r="C98" s="239"/>
      <c r="D98" s="239"/>
      <c r="E98" s="592">
        <f>SUM(E87:E96)</f>
        <v>16.749518338488731</v>
      </c>
    </row>
    <row r="99" spans="2:10" s="225" customFormat="1" x14ac:dyDescent="0.25">
      <c r="B99" s="9"/>
      <c r="C99" s="9"/>
      <c r="D99" s="9"/>
      <c r="E99" s="9"/>
    </row>
    <row r="100" spans="2:10" s="225" customFormat="1" hidden="1" thickBot="1" x14ac:dyDescent="0.3">
      <c r="B100" s="548" t="s">
        <v>157</v>
      </c>
      <c r="C100" s="549"/>
      <c r="D100" s="549"/>
      <c r="E100" s="550"/>
    </row>
    <row r="101" spans="2:10" s="225" customFormat="1" hidden="1" x14ac:dyDescent="0.25">
      <c r="B101" s="241" t="s">
        <v>158</v>
      </c>
      <c r="C101" s="242">
        <f>E37</f>
        <v>1076.4471939902783</v>
      </c>
      <c r="D101" s="243">
        <v>2.4E-2</v>
      </c>
      <c r="E101" s="244">
        <f>D101*C101</f>
        <v>25.834732655766679</v>
      </c>
    </row>
    <row r="102" spans="2:10" s="225" customFormat="1" hidden="1" x14ac:dyDescent="0.25">
      <c r="B102" s="245" t="s">
        <v>17</v>
      </c>
      <c r="C102" s="242">
        <f>C101</f>
        <v>1076.4471939902783</v>
      </c>
      <c r="D102" s="246">
        <v>7.4999999999999997E-3</v>
      </c>
      <c r="E102" s="247">
        <f t="shared" ref="E102:E103" si="5">D102*C102</f>
        <v>8.0733539549270859</v>
      </c>
    </row>
    <row r="103" spans="2:10" s="225" customFormat="1" hidden="1" x14ac:dyDescent="0.25">
      <c r="B103" s="245" t="s">
        <v>159</v>
      </c>
      <c r="C103" s="242">
        <f>C61+C63</f>
        <v>1079.1383119752541</v>
      </c>
      <c r="D103" s="246">
        <v>-1.7000000000000001E-2</v>
      </c>
      <c r="E103" s="247">
        <f t="shared" si="5"/>
        <v>-18.345351303579321</v>
      </c>
    </row>
    <row r="104" spans="2:10" s="225" customFormat="1" hidden="1" x14ac:dyDescent="0.25">
      <c r="B104" s="196"/>
      <c r="C104" s="248"/>
      <c r="D104" s="249"/>
      <c r="E104" s="250"/>
    </row>
    <row r="105" spans="2:10" s="225" customFormat="1" ht="15.75" hidden="1" thickBot="1" x14ac:dyDescent="0.3">
      <c r="B105" s="251" t="s">
        <v>160</v>
      </c>
      <c r="C105" s="252"/>
      <c r="D105" s="253"/>
      <c r="E105" s="254">
        <f>SUM(E101:E104)</f>
        <v>15.562735307114444</v>
      </c>
    </row>
    <row r="106" spans="2:10" s="225" customFormat="1" ht="12.75" hidden="1" x14ac:dyDescent="0.25"/>
    <row r="107" spans="2:10" s="225" customFormat="1" ht="13.5" hidden="1" thickBot="1" x14ac:dyDescent="0.3"/>
    <row r="108" spans="2:10" s="225" customFormat="1" ht="15.75" hidden="1" thickBot="1" x14ac:dyDescent="0.3">
      <c r="B108" s="548" t="s">
        <v>161</v>
      </c>
      <c r="C108" s="549"/>
      <c r="D108" s="549"/>
      <c r="E108" s="550"/>
      <c r="I108" s="9"/>
      <c r="J108" s="9"/>
    </row>
    <row r="109" spans="2:10" s="225" customFormat="1" ht="15.75" hidden="1" customHeight="1" x14ac:dyDescent="0.25">
      <c r="B109" s="255" t="s">
        <v>162</v>
      </c>
      <c r="C109" s="256"/>
      <c r="D109" s="256"/>
      <c r="E109" s="257">
        <f>-G64</f>
        <v>161.89765797613779</v>
      </c>
      <c r="I109" s="9"/>
      <c r="J109" s="9"/>
    </row>
    <row r="110" spans="2:10" s="225" customFormat="1" ht="15.75" hidden="1" customHeight="1" x14ac:dyDescent="0.25">
      <c r="B110" s="258" t="s">
        <v>163</v>
      </c>
      <c r="C110" s="259"/>
      <c r="D110" s="260">
        <v>1.5</v>
      </c>
      <c r="E110" s="261">
        <f>D110*C110</f>
        <v>0</v>
      </c>
      <c r="I110" s="9"/>
      <c r="J110" s="9"/>
    </row>
    <row r="111" spans="2:10" s="225" customFormat="1" ht="15.75" hidden="1" customHeight="1" x14ac:dyDescent="0.25">
      <c r="B111" s="258" t="s">
        <v>164</v>
      </c>
      <c r="C111" s="262">
        <f>E37</f>
        <v>1076.4471939902783</v>
      </c>
      <c r="D111" s="246">
        <v>1.7999999999999999E-2</v>
      </c>
      <c r="E111" s="261">
        <f>D111*C111</f>
        <v>19.376049491825007</v>
      </c>
      <c r="I111" s="9"/>
      <c r="J111" s="9"/>
    </row>
    <row r="112" spans="2:10" s="225" customFormat="1" ht="15.75" hidden="1" customHeight="1" x14ac:dyDescent="0.25">
      <c r="B112" s="258" t="s">
        <v>165</v>
      </c>
      <c r="C112" s="262">
        <f>C111</f>
        <v>1076.4471939902783</v>
      </c>
      <c r="D112" s="246">
        <v>0.06</v>
      </c>
      <c r="E112" s="261">
        <f>D112*C112</f>
        <v>64.586831639416687</v>
      </c>
      <c r="I112" s="9"/>
      <c r="J112" s="9"/>
    </row>
    <row r="113" spans="2:10" s="225" customFormat="1" ht="15.75" hidden="1" customHeight="1" thickBot="1" x14ac:dyDescent="0.3">
      <c r="B113" s="263" t="s">
        <v>166</v>
      </c>
      <c r="C113" s="264"/>
      <c r="D113" s="264"/>
      <c r="E113" s="265">
        <f>E109+E110+E111+E112</f>
        <v>245.86053910737948</v>
      </c>
      <c r="I113" s="9"/>
      <c r="J113" s="9"/>
    </row>
    <row r="114" spans="2:10" hidden="1" x14ac:dyDescent="0.25"/>
    <row r="115" spans="2:10" hidden="1" x14ac:dyDescent="0.25"/>
    <row r="116" spans="2:10" ht="15.75" hidden="1" thickBot="1" x14ac:dyDescent="0.3">
      <c r="B116" s="266" t="s">
        <v>167</v>
      </c>
      <c r="C116" s="267">
        <f>J40</f>
        <v>0.31950000000000001</v>
      </c>
      <c r="D116" s="268"/>
      <c r="E116" s="268"/>
      <c r="F116" s="268"/>
      <c r="G116" s="268"/>
      <c r="H116" s="268"/>
    </row>
    <row r="117" spans="2:10" hidden="1" x14ac:dyDescent="0.25">
      <c r="B117" s="268"/>
      <c r="C117" s="268"/>
      <c r="D117" s="268"/>
      <c r="E117" s="268"/>
      <c r="F117" s="268"/>
      <c r="G117" s="268"/>
      <c r="H117" s="268"/>
    </row>
    <row r="118" spans="2:10" ht="30" hidden="1" x14ac:dyDescent="0.25">
      <c r="B118" s="3" t="s">
        <v>168</v>
      </c>
      <c r="C118" s="269" t="s">
        <v>169</v>
      </c>
      <c r="D118" s="269" t="s">
        <v>170</v>
      </c>
      <c r="E118" s="270" t="s">
        <v>171</v>
      </c>
      <c r="F118" s="271" t="s">
        <v>172</v>
      </c>
      <c r="G118" s="271" t="s">
        <v>173</v>
      </c>
      <c r="H118" s="271" t="s">
        <v>174</v>
      </c>
    </row>
    <row r="119" spans="2:10" ht="15.75" hidden="1" thickBot="1" x14ac:dyDescent="0.3">
      <c r="B119" s="77" t="s">
        <v>176</v>
      </c>
      <c r="C119" s="273"/>
      <c r="D119" s="274">
        <f>C119</f>
        <v>0</v>
      </c>
      <c r="E119" s="275">
        <v>1603.12</v>
      </c>
      <c r="F119" s="273">
        <f>+E119</f>
        <v>1603.12</v>
      </c>
      <c r="G119" s="276" t="e">
        <f>ROUND((C116/0.6)*((1.6*F119/D119)-1),4)</f>
        <v>#DIV/0!</v>
      </c>
      <c r="H119" s="274" t="e">
        <f>IF(G119&gt;0,G119*D119,0)</f>
        <v>#DIV/0!</v>
      </c>
    </row>
    <row r="120" spans="2:10" hidden="1" x14ac:dyDescent="0.25"/>
    <row r="121" spans="2:10" hidden="1" x14ac:dyDescent="0.25"/>
    <row r="122" spans="2:10" ht="18.75" hidden="1" x14ac:dyDescent="0.25">
      <c r="B122" s="543" t="s">
        <v>177</v>
      </c>
      <c r="C122" s="543"/>
      <c r="D122" s="543"/>
      <c r="E122" s="543"/>
    </row>
    <row r="123" spans="2:10" hidden="1" x14ac:dyDescent="0.25"/>
    <row r="124" spans="2:10" hidden="1" x14ac:dyDescent="0.25">
      <c r="B124" s="278" t="s">
        <v>178</v>
      </c>
      <c r="C124" s="279" t="s">
        <v>179</v>
      </c>
      <c r="D124" s="280" t="s">
        <v>180</v>
      </c>
      <c r="E124" s="280" t="s">
        <v>181</v>
      </c>
      <c r="F124" s="281" t="s">
        <v>182</v>
      </c>
    </row>
    <row r="125" spans="2:10" hidden="1" x14ac:dyDescent="0.25">
      <c r="B125" s="282" t="s">
        <v>183</v>
      </c>
      <c r="C125" s="2"/>
      <c r="D125" s="283">
        <f>C125-25</f>
        <v>-25</v>
      </c>
      <c r="E125" s="283">
        <f>IF(D125&lt;2.8,D125,2.8)</f>
        <v>-25</v>
      </c>
      <c r="F125" s="6">
        <f>IF(D125&gt;2.8,D125-2.8,0)</f>
        <v>0</v>
      </c>
    </row>
    <row r="126" spans="2:10" hidden="1" x14ac:dyDescent="0.25">
      <c r="B126" s="282" t="s">
        <v>184</v>
      </c>
      <c r="C126" s="2"/>
      <c r="D126" s="283">
        <f>C126-25</f>
        <v>-25</v>
      </c>
      <c r="E126" s="283">
        <f t="shared" ref="E126:E128" si="6">IF(D126&lt;2.8,D126,2.8)</f>
        <v>-25</v>
      </c>
      <c r="F126" s="6">
        <f t="shared" ref="F126:F128" si="7">IF(D126&gt;2.8,D126-2.8,0)</f>
        <v>0</v>
      </c>
    </row>
    <row r="127" spans="2:10" hidden="1" x14ac:dyDescent="0.25">
      <c r="B127" s="282" t="s">
        <v>185</v>
      </c>
      <c r="C127" s="2"/>
      <c r="D127" s="283">
        <f t="shared" ref="D127:D128" si="8">C127-25</f>
        <v>-25</v>
      </c>
      <c r="E127" s="283">
        <f t="shared" si="6"/>
        <v>-25</v>
      </c>
      <c r="F127" s="6">
        <f t="shared" si="7"/>
        <v>0</v>
      </c>
    </row>
    <row r="128" spans="2:10" hidden="1" x14ac:dyDescent="0.25">
      <c r="B128" s="282" t="s">
        <v>186</v>
      </c>
      <c r="C128" s="2"/>
      <c r="D128" s="283">
        <f t="shared" si="8"/>
        <v>-25</v>
      </c>
      <c r="E128" s="284">
        <f t="shared" si="6"/>
        <v>-25</v>
      </c>
      <c r="F128" s="285">
        <f t="shared" si="7"/>
        <v>0</v>
      </c>
    </row>
    <row r="129" spans="2:6" ht="15.75" hidden="1" thickBot="1" x14ac:dyDescent="0.3">
      <c r="B129" s="286" t="s">
        <v>187</v>
      </c>
      <c r="C129" s="2"/>
      <c r="D129" s="586" t="s">
        <v>188</v>
      </c>
      <c r="E129" s="587"/>
      <c r="F129" s="588"/>
    </row>
    <row r="130" spans="2:6" ht="15.75" hidden="1" thickBot="1" x14ac:dyDescent="0.3">
      <c r="B130" s="287" t="s">
        <v>189</v>
      </c>
      <c r="C130" s="288"/>
      <c r="D130" s="288">
        <f>SUM(D125:D128)</f>
        <v>-100</v>
      </c>
      <c r="E130" s="288">
        <f>SUM(E125:E128)</f>
        <v>-100</v>
      </c>
      <c r="F130" s="289">
        <f>SUM(F125:F128)</f>
        <v>0</v>
      </c>
    </row>
    <row r="131" spans="2:6" hidden="1" x14ac:dyDescent="0.25"/>
    <row r="132" spans="2:6" ht="18.75" hidden="1" customHeight="1" x14ac:dyDescent="0.25">
      <c r="B132" s="7"/>
      <c r="C132" s="290"/>
      <c r="D132" s="291"/>
      <c r="E132" s="7"/>
      <c r="F132" s="7"/>
    </row>
    <row r="133" spans="2:6" ht="18.75" x14ac:dyDescent="0.25">
      <c r="B133" s="543" t="s">
        <v>9</v>
      </c>
      <c r="C133" s="544"/>
      <c r="D133" s="544"/>
      <c r="E133" s="544"/>
    </row>
    <row r="134" spans="2:6" ht="15.75" thickBot="1" x14ac:dyDescent="0.3"/>
    <row r="135" spans="2:6" x14ac:dyDescent="0.25">
      <c r="B135" s="545" t="s">
        <v>10</v>
      </c>
      <c r="C135" s="546"/>
      <c r="D135" s="546"/>
      <c r="E135" s="547"/>
    </row>
    <row r="136" spans="2:6" x14ac:dyDescent="0.25">
      <c r="B136" s="292" t="s">
        <v>11</v>
      </c>
      <c r="C136" s="293"/>
      <c r="D136" s="293"/>
      <c r="E136" s="307">
        <v>2000</v>
      </c>
    </row>
    <row r="137" spans="2:6" x14ac:dyDescent="0.25">
      <c r="B137" s="292" t="s">
        <v>12</v>
      </c>
      <c r="C137" s="293"/>
      <c r="D137" s="293"/>
      <c r="E137" s="294">
        <v>31</v>
      </c>
    </row>
    <row r="138" spans="2:6" x14ac:dyDescent="0.25">
      <c r="B138" s="292" t="s">
        <v>13</v>
      </c>
      <c r="C138" s="293"/>
      <c r="D138" s="293"/>
      <c r="E138" s="311">
        <f>+E136/E137</f>
        <v>64.516129032258064</v>
      </c>
    </row>
    <row r="139" spans="2:6" ht="15.75" thickBot="1" x14ac:dyDescent="0.3">
      <c r="B139" s="292" t="s">
        <v>14</v>
      </c>
      <c r="C139" s="293"/>
      <c r="D139" s="293"/>
      <c r="E139" s="308">
        <v>19</v>
      </c>
    </row>
    <row r="140" spans="2:6" ht="16.5" thickTop="1" thickBot="1" x14ac:dyDescent="0.3">
      <c r="B140" s="295" t="s">
        <v>15</v>
      </c>
      <c r="C140" s="296"/>
      <c r="D140" s="297"/>
      <c r="E140" s="312">
        <f>E138*E139</f>
        <v>1225.8064516129032</v>
      </c>
    </row>
    <row r="141" spans="2:6" ht="15.75" thickBot="1" x14ac:dyDescent="0.3">
      <c r="B141" s="298"/>
      <c r="C141" s="298"/>
      <c r="D141" s="298"/>
      <c r="E141" s="298"/>
    </row>
    <row r="142" spans="2:6" ht="15.75" thickBot="1" x14ac:dyDescent="0.3">
      <c r="B142" s="548" t="s">
        <v>16</v>
      </c>
      <c r="C142" s="549"/>
      <c r="D142" s="549"/>
      <c r="E142" s="550"/>
    </row>
    <row r="143" spans="2:6" x14ac:dyDescent="0.25">
      <c r="B143" s="299" t="s">
        <v>17</v>
      </c>
      <c r="C143" s="300"/>
      <c r="D143" s="301" t="s">
        <v>18</v>
      </c>
      <c r="E143" s="302" t="s">
        <v>19</v>
      </c>
    </row>
    <row r="144" spans="2:6" x14ac:dyDescent="0.25">
      <c r="B144" s="245" t="s">
        <v>20</v>
      </c>
      <c r="C144" s="309"/>
      <c r="D144" s="310"/>
      <c r="E144" s="313">
        <v>2000</v>
      </c>
    </row>
    <row r="145" spans="2:5" x14ac:dyDescent="0.25">
      <c r="B145" s="245" t="s">
        <v>21</v>
      </c>
      <c r="C145" s="309"/>
      <c r="D145" s="310"/>
      <c r="E145" s="313">
        <v>2000</v>
      </c>
    </row>
    <row r="146" spans="2:5" x14ac:dyDescent="0.25">
      <c r="B146" s="245" t="s">
        <v>22</v>
      </c>
      <c r="C146" s="309"/>
      <c r="D146" s="310"/>
      <c r="E146" s="313">
        <v>2000</v>
      </c>
    </row>
    <row r="147" spans="2:5" x14ac:dyDescent="0.25">
      <c r="B147" s="245" t="s">
        <v>24</v>
      </c>
      <c r="C147" s="303"/>
      <c r="D147" s="303"/>
      <c r="E147" s="313">
        <f>SUM(E144:E146)/91.25*50%</f>
        <v>32.876712328767127</v>
      </c>
    </row>
    <row r="148" spans="2:5" x14ac:dyDescent="0.25">
      <c r="B148" s="245" t="s">
        <v>190</v>
      </c>
      <c r="C148" s="581" t="s">
        <v>366</v>
      </c>
      <c r="D148" s="315"/>
      <c r="E148" s="484">
        <v>16</v>
      </c>
    </row>
    <row r="149" spans="2:5" x14ac:dyDescent="0.25">
      <c r="B149" s="245" t="s">
        <v>25</v>
      </c>
      <c r="C149" s="303"/>
      <c r="D149" s="303"/>
      <c r="E149" s="319">
        <f>E148*E147</f>
        <v>526.02739726027403</v>
      </c>
    </row>
    <row r="150" spans="2:5" x14ac:dyDescent="0.25">
      <c r="B150" s="245" t="s">
        <v>26</v>
      </c>
      <c r="C150" s="303"/>
      <c r="D150" s="303"/>
      <c r="E150" s="247">
        <f>E149*6.7%</f>
        <v>35.243835616438361</v>
      </c>
    </row>
    <row r="151" spans="2:5" ht="15.75" thickBot="1" x14ac:dyDescent="0.3">
      <c r="B151" s="305" t="s">
        <v>27</v>
      </c>
      <c r="C151" s="306"/>
      <c r="D151" s="306"/>
      <c r="E151" s="314">
        <f>E149-E150</f>
        <v>490.7835616438357</v>
      </c>
    </row>
    <row r="152" spans="2:5" ht="15.75" thickBot="1" x14ac:dyDescent="0.3"/>
    <row r="153" spans="2:5" x14ac:dyDescent="0.25">
      <c r="B153" s="545" t="s">
        <v>28</v>
      </c>
      <c r="C153" s="546"/>
      <c r="D153" s="546"/>
      <c r="E153" s="547"/>
    </row>
    <row r="154" spans="2:5" x14ac:dyDescent="0.25">
      <c r="B154" s="292" t="s">
        <v>29</v>
      </c>
      <c r="C154" s="582" t="s">
        <v>367</v>
      </c>
      <c r="D154" s="293"/>
      <c r="E154" s="316">
        <f>E139-7</f>
        <v>12</v>
      </c>
    </row>
    <row r="155" spans="2:5" ht="15.75" thickBot="1" x14ac:dyDescent="0.3">
      <c r="B155" s="292" t="s">
        <v>30</v>
      </c>
      <c r="C155" s="582" t="s">
        <v>368</v>
      </c>
      <c r="D155" s="293"/>
      <c r="E155" s="294">
        <f>E138*0.9</f>
        <v>58.064516129032256</v>
      </c>
    </row>
    <row r="156" spans="2:5" ht="16.5" thickTop="1" thickBot="1" x14ac:dyDescent="0.3">
      <c r="B156" s="292" t="s">
        <v>31</v>
      </c>
      <c r="C156" s="293" t="s">
        <v>369</v>
      </c>
      <c r="D156" s="293"/>
      <c r="E156" s="312">
        <f>E154*E155</f>
        <v>696.77419354838707</v>
      </c>
    </row>
    <row r="157" spans="2:5" ht="16.5" thickTop="1" thickBot="1" x14ac:dyDescent="0.3">
      <c r="B157" s="245" t="s">
        <v>32</v>
      </c>
      <c r="C157" s="293"/>
      <c r="D157" s="293"/>
      <c r="E157" s="317">
        <f>E147</f>
        <v>32.876712328767127</v>
      </c>
    </row>
    <row r="158" spans="2:5" ht="16.5" thickTop="1" thickBot="1" x14ac:dyDescent="0.3">
      <c r="B158" s="295" t="s">
        <v>33</v>
      </c>
      <c r="C158" s="320">
        <f>E154</f>
        <v>12</v>
      </c>
      <c r="D158" s="318">
        <f>E157</f>
        <v>32.876712328767127</v>
      </c>
      <c r="E158" s="312">
        <f>D158*C158</f>
        <v>394.52054794520552</v>
      </c>
    </row>
  </sheetData>
  <mergeCells count="18">
    <mergeCell ref="B153:E153"/>
    <mergeCell ref="B77:B78"/>
    <mergeCell ref="C77:D78"/>
    <mergeCell ref="B85:C85"/>
    <mergeCell ref="D86:D93"/>
    <mergeCell ref="B100:E100"/>
    <mergeCell ref="B108:E108"/>
    <mergeCell ref="B122:E122"/>
    <mergeCell ref="D129:F129"/>
    <mergeCell ref="B133:E133"/>
    <mergeCell ref="B135:E135"/>
    <mergeCell ref="B142:E142"/>
    <mergeCell ref="C17:D17"/>
    <mergeCell ref="F17:G17"/>
    <mergeCell ref="B72:B73"/>
    <mergeCell ref="C72:C73"/>
    <mergeCell ref="E72:E73"/>
    <mergeCell ref="G72:G73"/>
  </mergeCells>
  <phoneticPr fontId="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AF887-A882-4C3F-A782-191983152657}">
  <sheetPr>
    <tabColor rgb="FFFF0000"/>
  </sheetPr>
  <dimension ref="B1:P178"/>
  <sheetViews>
    <sheetView topLeftCell="B160" zoomScale="120" zoomScaleNormal="120" workbookViewId="0">
      <selection activeCell="E176" sqref="E176"/>
    </sheetView>
  </sheetViews>
  <sheetFormatPr baseColWidth="10" defaultRowHeight="15" x14ac:dyDescent="0.25"/>
  <cols>
    <col min="1" max="1" width="20.28515625" style="9" customWidth="1"/>
    <col min="2" max="2" width="63.5703125" style="9" customWidth="1"/>
    <col min="3" max="3" width="15" style="9" bestFit="1" customWidth="1"/>
    <col min="4" max="4" width="17.140625" style="9" bestFit="1" customWidth="1"/>
    <col min="5" max="5" width="25.5703125" style="9" bestFit="1" customWidth="1"/>
    <col min="6" max="6" width="12.5703125" style="9" customWidth="1"/>
    <col min="7" max="7" width="18.28515625" style="9" customWidth="1"/>
    <col min="8" max="8" width="12.5703125" style="9" bestFit="1" customWidth="1"/>
    <col min="9" max="9" width="52.140625" style="9" hidden="1" customWidth="1"/>
    <col min="10" max="10" width="12.42578125" style="9" hidden="1" customWidth="1"/>
    <col min="11" max="11" width="12" style="9" hidden="1" customWidth="1"/>
    <col min="12" max="12" width="11.42578125" style="9"/>
    <col min="13" max="13" width="12.140625" style="9" bestFit="1" customWidth="1"/>
    <col min="14" max="15" width="12" style="9" bestFit="1" customWidth="1"/>
    <col min="16" max="16384" width="11.42578125" style="9"/>
  </cols>
  <sheetData>
    <row r="1" spans="2:11" ht="15.75" thickBot="1" x14ac:dyDescent="0.3">
      <c r="B1" s="10" t="s">
        <v>34</v>
      </c>
      <c r="C1" s="11"/>
      <c r="D1" s="11"/>
      <c r="E1" s="11"/>
      <c r="F1" s="11"/>
      <c r="G1" s="12"/>
    </row>
    <row r="2" spans="2:11" x14ac:dyDescent="0.25">
      <c r="B2" s="14" t="s">
        <v>36</v>
      </c>
      <c r="C2" s="15"/>
      <c r="D2" s="16"/>
      <c r="E2" s="17" t="s">
        <v>37</v>
      </c>
      <c r="F2" s="15"/>
      <c r="G2" s="16"/>
    </row>
    <row r="3" spans="2:11" ht="15.75" thickBot="1" x14ac:dyDescent="0.3">
      <c r="B3" s="18" t="s">
        <v>38</v>
      </c>
      <c r="C3" s="19"/>
      <c r="D3" s="20"/>
      <c r="E3" s="21" t="s">
        <v>38</v>
      </c>
      <c r="F3" s="22"/>
      <c r="G3" s="23"/>
    </row>
    <row r="4" spans="2:11" ht="15.75" hidden="1" thickBot="1" x14ac:dyDescent="0.3">
      <c r="B4" s="18" t="s">
        <v>39</v>
      </c>
      <c r="C4" s="19"/>
      <c r="D4" s="20"/>
      <c r="E4" s="21" t="s">
        <v>40</v>
      </c>
      <c r="F4" s="22"/>
      <c r="G4" s="23"/>
    </row>
    <row r="5" spans="2:11" ht="15.75" hidden="1" thickBot="1" x14ac:dyDescent="0.3">
      <c r="B5" s="18" t="s">
        <v>42</v>
      </c>
      <c r="C5" s="19"/>
      <c r="D5" s="20"/>
      <c r="E5" s="21" t="s">
        <v>43</v>
      </c>
      <c r="F5" s="22"/>
      <c r="G5" s="23"/>
    </row>
    <row r="6" spans="2:11" ht="15.75" hidden="1" thickBot="1" x14ac:dyDescent="0.3">
      <c r="B6" s="18" t="s">
        <v>42</v>
      </c>
      <c r="C6" s="19"/>
      <c r="D6" s="20"/>
      <c r="E6" s="21" t="s">
        <v>45</v>
      </c>
      <c r="F6" s="22"/>
      <c r="G6" s="23"/>
    </row>
    <row r="7" spans="2:11" ht="15.75" hidden="1" thickBot="1" x14ac:dyDescent="0.3">
      <c r="B7" s="18" t="s">
        <v>46</v>
      </c>
      <c r="C7" s="19"/>
      <c r="D7" s="20"/>
      <c r="E7" s="21"/>
      <c r="F7" s="22"/>
      <c r="G7" s="23"/>
    </row>
    <row r="8" spans="2:11" ht="15.75" hidden="1" thickBot="1" x14ac:dyDescent="0.3">
      <c r="B8" s="18" t="s">
        <v>48</v>
      </c>
      <c r="C8" s="19"/>
      <c r="D8" s="20"/>
      <c r="E8" s="21" t="s">
        <v>49</v>
      </c>
      <c r="F8" s="22"/>
      <c r="G8" s="23"/>
      <c r="K8" s="31"/>
    </row>
    <row r="9" spans="2:11" ht="15.75" hidden="1" thickBot="1" x14ac:dyDescent="0.3">
      <c r="B9" s="18" t="s">
        <v>52</v>
      </c>
      <c r="C9" s="19"/>
      <c r="D9" s="20"/>
      <c r="E9" s="21" t="s">
        <v>53</v>
      </c>
      <c r="F9" s="32" t="s">
        <v>54</v>
      </c>
      <c r="G9" s="23"/>
    </row>
    <row r="10" spans="2:11" ht="15.75" hidden="1" thickBot="1" x14ac:dyDescent="0.3">
      <c r="B10" s="18" t="s">
        <v>56</v>
      </c>
      <c r="C10" s="19"/>
      <c r="D10" s="20"/>
      <c r="E10" s="21" t="s">
        <v>57</v>
      </c>
      <c r="F10" s="32"/>
      <c r="G10" s="23"/>
    </row>
    <row r="11" spans="2:11" ht="15.75" hidden="1" thickBot="1" x14ac:dyDescent="0.3">
      <c r="B11" s="18" t="s">
        <v>58</v>
      </c>
      <c r="C11" s="19"/>
      <c r="D11" s="20"/>
      <c r="E11" s="21" t="s">
        <v>59</v>
      </c>
      <c r="F11" s="32"/>
      <c r="G11" s="23"/>
    </row>
    <row r="12" spans="2:11" ht="15.75" hidden="1" thickBot="1" x14ac:dyDescent="0.3">
      <c r="B12" s="18" t="s">
        <v>61</v>
      </c>
      <c r="C12" s="19">
        <v>4</v>
      </c>
      <c r="D12" s="20"/>
      <c r="E12" s="21" t="s">
        <v>62</v>
      </c>
      <c r="F12" s="35"/>
      <c r="G12" s="36"/>
    </row>
    <row r="13" spans="2:11" ht="15.75" hidden="1" thickBot="1" x14ac:dyDescent="0.3">
      <c r="B13" s="18" t="s">
        <v>64</v>
      </c>
      <c r="C13" s="19"/>
      <c r="D13" s="20"/>
      <c r="E13" s="21" t="s">
        <v>65</v>
      </c>
      <c r="F13" s="37"/>
      <c r="G13" s="23"/>
    </row>
    <row r="14" spans="2:11" ht="15.75" hidden="1" thickBot="1" x14ac:dyDescent="0.3">
      <c r="B14" s="18"/>
      <c r="C14" s="19"/>
      <c r="D14" s="20"/>
      <c r="E14" s="21" t="s">
        <v>67</v>
      </c>
      <c r="F14" s="22"/>
      <c r="G14" s="23"/>
    </row>
    <row r="15" spans="2:11" ht="15.75" hidden="1" thickBot="1" x14ac:dyDescent="0.3">
      <c r="B15" s="21"/>
      <c r="C15" s="19"/>
      <c r="D15" s="20"/>
      <c r="E15" s="21"/>
      <c r="F15" s="22"/>
      <c r="G15" s="23"/>
    </row>
    <row r="16" spans="2:11" ht="15.75" hidden="1" thickBot="1" x14ac:dyDescent="0.3">
      <c r="B16" s="38"/>
      <c r="C16" s="39"/>
      <c r="D16" s="40"/>
      <c r="E16" s="38"/>
      <c r="F16" s="41"/>
      <c r="G16" s="42"/>
    </row>
    <row r="17" spans="2:16" ht="15.75" thickBot="1" x14ac:dyDescent="0.3">
      <c r="B17" s="43" t="s">
        <v>71</v>
      </c>
      <c r="C17" s="567"/>
      <c r="D17" s="568"/>
      <c r="E17" s="44" t="s">
        <v>72</v>
      </c>
      <c r="F17" s="567"/>
      <c r="G17" s="569"/>
    </row>
    <row r="18" spans="2:16" ht="20.25" customHeight="1" thickBot="1" x14ac:dyDescent="0.3">
      <c r="B18" s="46" t="s">
        <v>74</v>
      </c>
      <c r="C18" s="47"/>
      <c r="D18" s="47"/>
      <c r="E18" s="47"/>
      <c r="F18" s="47"/>
      <c r="G18" s="48"/>
    </row>
    <row r="19" spans="2:16" ht="24" customHeight="1" thickBot="1" x14ac:dyDescent="0.3">
      <c r="B19" s="50" t="s">
        <v>74</v>
      </c>
      <c r="C19" s="51" t="s">
        <v>76</v>
      </c>
      <c r="D19" s="51" t="s">
        <v>77</v>
      </c>
      <c r="E19" s="52" t="s">
        <v>78</v>
      </c>
      <c r="F19" s="53"/>
      <c r="G19" s="53"/>
    </row>
    <row r="20" spans="2:16" s="54" customFormat="1" ht="15.75" thickBot="1" x14ac:dyDescent="0.3">
      <c r="B20" s="17" t="s">
        <v>11</v>
      </c>
      <c r="C20" s="55"/>
      <c r="D20" s="56"/>
      <c r="E20" s="24">
        <f>J32</f>
        <v>2000</v>
      </c>
      <c r="F20" s="57"/>
      <c r="G20" s="58"/>
      <c r="H20" s="9"/>
      <c r="I20" s="9"/>
      <c r="J20" s="9"/>
      <c r="K20" s="9"/>
      <c r="L20" s="9"/>
      <c r="M20" s="9"/>
      <c r="N20" s="9"/>
      <c r="O20" s="9"/>
      <c r="P20" s="9"/>
    </row>
    <row r="21" spans="2:16" s="54" customFormat="1" ht="15.75" hidden="1" thickBot="1" x14ac:dyDescent="0.3">
      <c r="B21" s="61"/>
      <c r="C21" s="62"/>
      <c r="D21" s="63"/>
      <c r="E21" s="64"/>
      <c r="F21" s="65"/>
      <c r="G21" s="66"/>
      <c r="I21" s="9"/>
      <c r="J21" s="9"/>
      <c r="K21" s="9"/>
      <c r="L21" s="9"/>
      <c r="M21" s="9"/>
      <c r="N21" s="9"/>
      <c r="O21" s="9"/>
      <c r="P21" s="9"/>
    </row>
    <row r="22" spans="2:16" s="54" customFormat="1" ht="15.75" hidden="1" thickBot="1" x14ac:dyDescent="0.3">
      <c r="B22" s="61"/>
      <c r="C22" s="62"/>
      <c r="D22" s="67"/>
      <c r="E22" s="64"/>
      <c r="F22" s="65"/>
      <c r="G22" s="66"/>
      <c r="I22" s="9"/>
      <c r="J22" s="9"/>
      <c r="K22" s="9"/>
      <c r="L22" s="9"/>
      <c r="M22" s="9"/>
      <c r="N22" s="9"/>
      <c r="O22" s="9"/>
      <c r="P22" s="9"/>
    </row>
    <row r="23" spans="2:16" s="54" customFormat="1" ht="27.75" hidden="1" thickBot="1" x14ac:dyDescent="0.3">
      <c r="B23" s="61"/>
      <c r="C23" s="62"/>
      <c r="D23" s="63"/>
      <c r="E23" s="64"/>
      <c r="F23" s="65"/>
      <c r="G23" s="66"/>
      <c r="I23" s="82"/>
      <c r="J23" s="9"/>
      <c r="K23" s="9"/>
      <c r="L23" s="9"/>
      <c r="M23" s="9"/>
      <c r="N23" s="9"/>
      <c r="O23" s="9"/>
      <c r="P23" s="9"/>
    </row>
    <row r="24" spans="2:16" ht="15.75" hidden="1" thickBot="1" x14ac:dyDescent="0.3">
      <c r="B24" s="21" t="s">
        <v>63</v>
      </c>
      <c r="C24" s="22"/>
      <c r="D24" s="69">
        <f>IF($J$33&gt;=151.67,$J$32/151.67*1.25,0)</f>
        <v>16.483154216390851</v>
      </c>
      <c r="E24" s="70">
        <f>D24*C24</f>
        <v>0</v>
      </c>
      <c r="F24" s="71"/>
      <c r="G24" s="72"/>
    </row>
    <row r="25" spans="2:16" ht="16.5" hidden="1" thickBot="1" x14ac:dyDescent="0.3">
      <c r="B25" s="21" t="s">
        <v>66</v>
      </c>
      <c r="C25" s="22"/>
      <c r="D25" s="69">
        <f>IF($J$33&gt;=151.67,$J$32/151.67*1.5,0)</f>
        <v>19.77978505966902</v>
      </c>
      <c r="E25" s="70">
        <f>D25*C25</f>
        <v>0</v>
      </c>
      <c r="F25" s="71"/>
      <c r="G25" s="74"/>
      <c r="K25" s="76"/>
    </row>
    <row r="26" spans="2:16" ht="15.75" hidden="1" thickBot="1" x14ac:dyDescent="0.3">
      <c r="B26" s="21" t="s">
        <v>68</v>
      </c>
      <c r="C26" s="22"/>
      <c r="D26" s="22">
        <f>IF($J$33&lt;151.67,$E$20/151.67*1.1,0)</f>
        <v>0</v>
      </c>
      <c r="E26" s="70">
        <f t="shared" ref="E26:E27" si="0">D26*C26</f>
        <v>0</v>
      </c>
      <c r="F26" s="71"/>
      <c r="G26" s="74"/>
    </row>
    <row r="27" spans="2:16" ht="15.75" hidden="1" thickBot="1" x14ac:dyDescent="0.3">
      <c r="B27" s="21" t="s">
        <v>69</v>
      </c>
      <c r="C27" s="22"/>
      <c r="D27" s="22">
        <f>IF($J$33&lt;151.67,$E$20/151.67*1.1,0)</f>
        <v>0</v>
      </c>
      <c r="E27" s="70">
        <f t="shared" si="0"/>
        <v>0</v>
      </c>
      <c r="F27" s="71"/>
      <c r="G27" s="74"/>
    </row>
    <row r="28" spans="2:16" ht="15.75" hidden="1" thickBot="1" x14ac:dyDescent="0.3">
      <c r="B28" s="21"/>
      <c r="C28" s="22"/>
      <c r="D28" s="22"/>
      <c r="E28" s="70"/>
      <c r="F28" s="71"/>
      <c r="G28" s="74"/>
    </row>
    <row r="29" spans="2:16" ht="15.75" hidden="1" thickBot="1" x14ac:dyDescent="0.3">
      <c r="B29" s="21"/>
      <c r="C29" s="79"/>
      <c r="D29" s="69"/>
      <c r="E29" s="70"/>
      <c r="F29" s="80"/>
      <c r="G29" s="81"/>
    </row>
    <row r="30" spans="2:16" ht="23.25" hidden="1" thickBot="1" x14ac:dyDescent="0.3">
      <c r="B30" s="21"/>
      <c r="C30" s="79"/>
      <c r="D30" s="22"/>
      <c r="E30" s="70"/>
      <c r="F30" s="80"/>
      <c r="G30" s="81"/>
      <c r="I30" s="13" t="s">
        <v>35</v>
      </c>
    </row>
    <row r="31" spans="2:16" ht="15.75" hidden="1" thickBot="1" x14ac:dyDescent="0.3">
      <c r="B31" s="21"/>
      <c r="C31" s="83"/>
      <c r="D31" s="84"/>
      <c r="E31" s="85"/>
      <c r="F31" s="86"/>
      <c r="G31" s="87"/>
    </row>
    <row r="32" spans="2:16" ht="15.75" thickBot="1" x14ac:dyDescent="0.3">
      <c r="B32" s="88" t="s">
        <v>90</v>
      </c>
      <c r="C32" s="593">
        <f>+E139</f>
        <v>19</v>
      </c>
      <c r="D32" s="594">
        <f>+E138</f>
        <v>64.516129032258064</v>
      </c>
      <c r="E32" s="85">
        <f>+-D32*C32</f>
        <v>-1225.8064516129032</v>
      </c>
      <c r="F32" s="92"/>
      <c r="G32" s="93"/>
      <c r="I32" s="17" t="s">
        <v>11</v>
      </c>
      <c r="J32" s="24">
        <v>2000</v>
      </c>
    </row>
    <row r="33" spans="2:10" x14ac:dyDescent="0.25">
      <c r="B33" s="94" t="s">
        <v>91</v>
      </c>
      <c r="C33" s="593">
        <f>+C158</f>
        <v>12</v>
      </c>
      <c r="D33" s="262">
        <f>+E147</f>
        <v>32.876712328767127</v>
      </c>
      <c r="E33" s="85">
        <f>+-D33*C33</f>
        <v>-394.52054794520552</v>
      </c>
      <c r="F33" s="98"/>
      <c r="G33" s="99"/>
      <c r="I33" s="21" t="s">
        <v>41</v>
      </c>
      <c r="J33" s="25">
        <v>151.66999999999999</v>
      </c>
    </row>
    <row r="34" spans="2:10" ht="15.75" thickBot="1" x14ac:dyDescent="0.3">
      <c r="B34" s="88" t="s">
        <v>28</v>
      </c>
      <c r="C34" s="593">
        <f>+C33</f>
        <v>12</v>
      </c>
      <c r="D34" s="262">
        <f>+D32*0.9</f>
        <v>58.064516129032256</v>
      </c>
      <c r="E34" s="85">
        <f>+D34*C34</f>
        <v>696.77419354838707</v>
      </c>
      <c r="F34" s="98"/>
      <c r="G34" s="99"/>
      <c r="I34" s="26" t="s">
        <v>8</v>
      </c>
      <c r="J34" s="27">
        <v>1</v>
      </c>
    </row>
    <row r="35" spans="2:10" ht="15.75" hidden="1" thickBot="1" x14ac:dyDescent="0.3">
      <c r="B35" s="94"/>
      <c r="C35" s="95"/>
      <c r="D35" s="96"/>
      <c r="E35" s="97"/>
      <c r="F35" s="98"/>
      <c r="G35" s="99"/>
      <c r="I35" s="21" t="s">
        <v>47</v>
      </c>
      <c r="J35" s="584">
        <v>5.1499999999999997E-2</v>
      </c>
    </row>
    <row r="36" spans="2:10" ht="15.75" hidden="1" thickBot="1" x14ac:dyDescent="0.3">
      <c r="B36" s="100" t="s">
        <v>92</v>
      </c>
      <c r="C36" s="95">
        <f>J18</f>
        <v>0</v>
      </c>
      <c r="D36" s="96">
        <f>J17</f>
        <v>0</v>
      </c>
      <c r="E36" s="101">
        <f>C36*D36</f>
        <v>0</v>
      </c>
      <c r="F36" s="98"/>
      <c r="G36" s="99"/>
      <c r="I36" s="21" t="s">
        <v>55</v>
      </c>
      <c r="J36" s="33">
        <v>10.57</v>
      </c>
    </row>
    <row r="37" spans="2:10" ht="16.5" thickTop="1" thickBot="1" x14ac:dyDescent="0.3">
      <c r="B37" s="102" t="s">
        <v>93</v>
      </c>
      <c r="C37" s="103"/>
      <c r="D37" s="104"/>
      <c r="E37" s="105">
        <f>SUM(E20:E36)</f>
        <v>1076.4471939902783</v>
      </c>
      <c r="F37" s="98"/>
      <c r="G37" s="99"/>
      <c r="I37" s="4" t="s">
        <v>0</v>
      </c>
      <c r="J37" s="583">
        <v>35</v>
      </c>
    </row>
    <row r="38" spans="2:10" ht="15.75" thickBot="1" x14ac:dyDescent="0.3">
      <c r="B38" s="106"/>
      <c r="C38" s="107"/>
      <c r="D38" s="108"/>
      <c r="E38" s="108"/>
      <c r="F38" s="109"/>
      <c r="G38" s="110"/>
      <c r="I38" s="26" t="s">
        <v>73</v>
      </c>
      <c r="J38" s="358">
        <f>E37</f>
        <v>1076.4471939902783</v>
      </c>
    </row>
    <row r="39" spans="2:10" ht="28.5" x14ac:dyDescent="0.25">
      <c r="B39" s="111" t="s">
        <v>94</v>
      </c>
      <c r="C39" s="112" t="s">
        <v>95</v>
      </c>
      <c r="D39" s="112" t="s">
        <v>96</v>
      </c>
      <c r="E39" s="112" t="s">
        <v>97</v>
      </c>
      <c r="F39" s="112" t="s">
        <v>96</v>
      </c>
      <c r="G39" s="113" t="s">
        <v>98</v>
      </c>
      <c r="I39" s="26" t="s">
        <v>75</v>
      </c>
      <c r="J39" s="45"/>
    </row>
    <row r="40" spans="2:10" x14ac:dyDescent="0.25">
      <c r="B40" s="114" t="s">
        <v>99</v>
      </c>
      <c r="C40" s="115"/>
      <c r="D40" s="116"/>
      <c r="E40" s="116"/>
      <c r="F40" s="117"/>
      <c r="G40" s="118"/>
      <c r="I40" s="21" t="s">
        <v>79</v>
      </c>
      <c r="J40" s="580">
        <v>0.31950000000000001</v>
      </c>
    </row>
    <row r="41" spans="2:10" x14ac:dyDescent="0.25">
      <c r="B41" s="119" t="s">
        <v>100</v>
      </c>
      <c r="C41" s="95">
        <f>$E$37</f>
        <v>1076.4471939902783</v>
      </c>
      <c r="D41" s="120"/>
      <c r="E41" s="121"/>
      <c r="F41" s="122">
        <f>IF(E37&lt;=2.5*J36*151.6667,7%,13%)</f>
        <v>7.0000000000000007E-2</v>
      </c>
      <c r="G41" s="123">
        <f>F41*C41</f>
        <v>75.351303579319492</v>
      </c>
      <c r="I41" s="59" t="s">
        <v>80</v>
      </c>
      <c r="J41" s="590">
        <v>5.1499999999999997E-2</v>
      </c>
    </row>
    <row r="42" spans="2:10" ht="15.75" thickBot="1" x14ac:dyDescent="0.3">
      <c r="B42" s="119" t="s">
        <v>101</v>
      </c>
      <c r="C42" s="95">
        <f>$J$38</f>
        <v>1076.4471939902783</v>
      </c>
      <c r="D42" s="124"/>
      <c r="E42" s="125"/>
      <c r="F42" s="126">
        <f>J16</f>
        <v>0</v>
      </c>
      <c r="G42" s="123">
        <f>F42*C42</f>
        <v>0</v>
      </c>
      <c r="I42" s="38" t="s">
        <v>83</v>
      </c>
      <c r="J42" s="589">
        <v>0.02</v>
      </c>
    </row>
    <row r="43" spans="2:10" x14ac:dyDescent="0.25">
      <c r="B43" s="119"/>
      <c r="C43" s="95"/>
      <c r="D43" s="124"/>
      <c r="E43" s="125"/>
      <c r="F43" s="126"/>
      <c r="G43" s="123"/>
    </row>
    <row r="44" spans="2:10" x14ac:dyDescent="0.25">
      <c r="B44" s="119" t="s">
        <v>103</v>
      </c>
      <c r="C44" s="95">
        <f>E37</f>
        <v>1076.4471939902783</v>
      </c>
      <c r="D44" s="124"/>
      <c r="E44" s="125"/>
      <c r="F44" s="126">
        <f>J42</f>
        <v>0.02</v>
      </c>
      <c r="G44" s="123">
        <f>F44*C44</f>
        <v>21.528943879805567</v>
      </c>
    </row>
    <row r="45" spans="2:10" x14ac:dyDescent="0.25">
      <c r="B45" s="127" t="s">
        <v>104</v>
      </c>
      <c r="C45" s="95">
        <f>J38+J39</f>
        <v>1076.4471939902783</v>
      </c>
      <c r="E45" s="95"/>
      <c r="F45" s="128">
        <f>J35</f>
        <v>5.1499999999999997E-2</v>
      </c>
      <c r="G45" s="123">
        <f>F45*C45</f>
        <v>55.437030490499325</v>
      </c>
    </row>
    <row r="46" spans="2:10" x14ac:dyDescent="0.25">
      <c r="B46" s="114" t="s">
        <v>105</v>
      </c>
      <c r="C46" s="115"/>
      <c r="D46" s="116"/>
      <c r="E46" s="116"/>
      <c r="F46" s="117"/>
      <c r="G46" s="118"/>
    </row>
    <row r="47" spans="2:10" x14ac:dyDescent="0.25">
      <c r="B47" s="119" t="s">
        <v>106</v>
      </c>
      <c r="C47" s="95">
        <f>$J$38</f>
        <v>1076.4471939902783</v>
      </c>
      <c r="D47" s="124">
        <v>6.9000000000000006E-2</v>
      </c>
      <c r="E47" s="125">
        <f>D47*C47</f>
        <v>74.274856385329201</v>
      </c>
      <c r="F47" s="126">
        <v>8.5500000000000007E-2</v>
      </c>
      <c r="G47" s="123">
        <f>F47*C47</f>
        <v>92.036235086168801</v>
      </c>
    </row>
    <row r="48" spans="2:10" x14ac:dyDescent="0.25">
      <c r="B48" s="119" t="s">
        <v>107</v>
      </c>
      <c r="C48" s="95">
        <f>$E$37</f>
        <v>1076.4471939902783</v>
      </c>
      <c r="D48" s="124">
        <v>4.0000000000000001E-3</v>
      </c>
      <c r="E48" s="125">
        <f t="shared" ref="E48:E51" si="1">D48*C48</f>
        <v>4.3057887759611129</v>
      </c>
      <c r="F48" s="126">
        <v>1.9E-2</v>
      </c>
      <c r="G48" s="123">
        <f t="shared" ref="G48:G51" si="2">F48*C48</f>
        <v>20.452496685815287</v>
      </c>
    </row>
    <row r="49" spans="2:7" x14ac:dyDescent="0.25">
      <c r="B49" s="119" t="s">
        <v>108</v>
      </c>
      <c r="C49" s="95">
        <f>$J$38</f>
        <v>1076.4471939902783</v>
      </c>
      <c r="D49" s="124">
        <v>4.0099999999999997E-2</v>
      </c>
      <c r="E49" s="125">
        <f t="shared" si="1"/>
        <v>43.165532479010153</v>
      </c>
      <c r="F49" s="126">
        <v>6.0100000000000001E-2</v>
      </c>
      <c r="G49" s="123">
        <f t="shared" si="2"/>
        <v>64.69447635881572</v>
      </c>
    </row>
    <row r="50" spans="2:7" hidden="1" x14ac:dyDescent="0.25">
      <c r="B50" s="119" t="s">
        <v>109</v>
      </c>
      <c r="C50" s="95">
        <f>+J39</f>
        <v>0</v>
      </c>
      <c r="D50" s="124">
        <v>9.7199999999999995E-2</v>
      </c>
      <c r="E50" s="125">
        <f t="shared" si="1"/>
        <v>0</v>
      </c>
      <c r="F50" s="126">
        <v>0.1457</v>
      </c>
      <c r="G50" s="123">
        <f t="shared" si="2"/>
        <v>0</v>
      </c>
    </row>
    <row r="51" spans="2:7" hidden="1" x14ac:dyDescent="0.25">
      <c r="B51" s="119" t="s">
        <v>110</v>
      </c>
      <c r="C51" s="95"/>
      <c r="D51" s="124">
        <v>1.4E-3</v>
      </c>
      <c r="E51" s="125">
        <f t="shared" si="1"/>
        <v>0</v>
      </c>
      <c r="F51" s="126">
        <v>2.0999999999999999E-3</v>
      </c>
      <c r="G51" s="123">
        <f t="shared" si="2"/>
        <v>0</v>
      </c>
    </row>
    <row r="52" spans="2:7" hidden="1" x14ac:dyDescent="0.25">
      <c r="B52" s="119" t="s">
        <v>111</v>
      </c>
      <c r="C52" s="95"/>
      <c r="D52" s="124"/>
      <c r="E52" s="125"/>
      <c r="F52" s="126"/>
      <c r="G52" s="123"/>
    </row>
    <row r="53" spans="2:7" x14ac:dyDescent="0.25">
      <c r="B53" s="114" t="s">
        <v>112</v>
      </c>
      <c r="C53" s="95">
        <f>$E$37</f>
        <v>1076.4471939902783</v>
      </c>
      <c r="D53" s="129"/>
      <c r="E53" s="95"/>
      <c r="F53" s="126">
        <v>3.4500000000000003E-2</v>
      </c>
      <c r="G53" s="123">
        <f>F53*C53</f>
        <v>37.137428192664601</v>
      </c>
    </row>
    <row r="54" spans="2:7" x14ac:dyDescent="0.25">
      <c r="B54" s="114" t="s">
        <v>113</v>
      </c>
      <c r="C54" s="95"/>
      <c r="D54" s="129"/>
      <c r="E54" s="95"/>
      <c r="F54" s="131"/>
      <c r="G54" s="123"/>
    </row>
    <row r="55" spans="2:7" x14ac:dyDescent="0.25">
      <c r="B55" s="119" t="s">
        <v>114</v>
      </c>
      <c r="C55" s="95">
        <f>E37</f>
        <v>1076.4471939902783</v>
      </c>
      <c r="D55" s="129"/>
      <c r="E55" s="95"/>
      <c r="F55" s="132">
        <v>4.2000000000000003E-2</v>
      </c>
      <c r="G55" s="123">
        <f t="shared" ref="G55" si="3">F55*C55</f>
        <v>45.210782147591686</v>
      </c>
    </row>
    <row r="56" spans="2:7" hidden="1" x14ac:dyDescent="0.25">
      <c r="B56" s="119" t="s">
        <v>115</v>
      </c>
      <c r="C56" s="95"/>
      <c r="D56" s="133">
        <v>2.4000000000000001E-4</v>
      </c>
      <c r="E56" s="134">
        <f>D56*C56</f>
        <v>0</v>
      </c>
      <c r="F56" s="131">
        <v>3.6000000000000002E-4</v>
      </c>
      <c r="G56" s="135">
        <f>C56*F56</f>
        <v>0</v>
      </c>
    </row>
    <row r="57" spans="2:7" x14ac:dyDescent="0.25">
      <c r="B57" s="114" t="s">
        <v>116</v>
      </c>
      <c r="C57" s="95"/>
      <c r="D57" s="129"/>
      <c r="E57" s="95"/>
      <c r="F57" s="131"/>
      <c r="G57" s="123">
        <f>E98</f>
        <v>16.749518338488731</v>
      </c>
    </row>
    <row r="58" spans="2:7" hidden="1" x14ac:dyDescent="0.25">
      <c r="B58" s="127"/>
      <c r="C58" s="95"/>
      <c r="D58" s="95"/>
      <c r="E58" s="95"/>
      <c r="F58" s="95"/>
      <c r="G58" s="136"/>
    </row>
    <row r="59" spans="2:7" ht="25.5" hidden="1" x14ac:dyDescent="0.25">
      <c r="B59" s="137" t="s">
        <v>117</v>
      </c>
      <c r="C59" s="95"/>
      <c r="D59" s="95"/>
      <c r="E59" s="95"/>
      <c r="F59" s="95"/>
      <c r="G59" s="136"/>
    </row>
    <row r="60" spans="2:7" hidden="1" x14ac:dyDescent="0.25">
      <c r="B60" s="127"/>
      <c r="C60" s="95"/>
      <c r="D60" s="133"/>
      <c r="E60" s="95"/>
      <c r="F60" s="138"/>
      <c r="G60" s="123"/>
    </row>
    <row r="61" spans="2:7" x14ac:dyDescent="0.25">
      <c r="B61" s="127" t="s">
        <v>118</v>
      </c>
      <c r="C61" s="95">
        <f>(E37-E24-E25-E26-E27)*0.9825+G42+G43+G44</f>
        <v>1079.1383119752541</v>
      </c>
      <c r="D61" s="124">
        <v>6.8000000000000005E-2</v>
      </c>
      <c r="E61" s="125">
        <f>D61*C61</f>
        <v>73.381405214317283</v>
      </c>
      <c r="F61" s="126"/>
      <c r="G61" s="123"/>
    </row>
    <row r="62" spans="2:7" x14ac:dyDescent="0.25">
      <c r="B62" s="127" t="s">
        <v>119</v>
      </c>
      <c r="C62" s="95">
        <f>C61</f>
        <v>1079.1383119752541</v>
      </c>
      <c r="D62" s="124">
        <v>2.9000000000000001E-2</v>
      </c>
      <c r="E62" s="125">
        <f>D62*C62</f>
        <v>31.295011047282369</v>
      </c>
      <c r="F62" s="126"/>
      <c r="G62" s="123"/>
    </row>
    <row r="63" spans="2:7" x14ac:dyDescent="0.25">
      <c r="B63" s="139"/>
      <c r="C63" s="95"/>
      <c r="D63" s="124"/>
      <c r="E63" s="125"/>
      <c r="F63" s="126"/>
      <c r="G63" s="123"/>
    </row>
    <row r="64" spans="2:7" ht="23.25" customHeight="1" thickBot="1" x14ac:dyDescent="0.3">
      <c r="B64" s="139" t="s">
        <v>121</v>
      </c>
      <c r="C64" s="124"/>
      <c r="D64" s="124"/>
      <c r="E64" s="125"/>
      <c r="F64" s="126"/>
      <c r="G64" s="445">
        <f>-'REGUL MALADIE'!H9</f>
        <v>-161.89765797613779</v>
      </c>
    </row>
    <row r="65" spans="2:10" ht="15.75" thickBot="1" x14ac:dyDescent="0.3">
      <c r="B65" s="147" t="s">
        <v>124</v>
      </c>
      <c r="C65" s="148"/>
      <c r="D65" s="149"/>
      <c r="E65" s="150">
        <f>SUM(E41:E64)</f>
        <v>226.42259390190011</v>
      </c>
      <c r="F65" s="151"/>
      <c r="G65" s="152">
        <f>SUM(G41:G64)</f>
        <v>266.70055678303135</v>
      </c>
    </row>
    <row r="66" spans="2:10" ht="15.75" customHeight="1" x14ac:dyDescent="0.25">
      <c r="B66" s="163"/>
      <c r="C66" s="385"/>
      <c r="D66" s="159"/>
      <c r="E66" s="164"/>
      <c r="F66" s="161"/>
      <c r="G66" s="162"/>
      <c r="I66" s="463" t="s">
        <v>93</v>
      </c>
      <c r="J66" s="464">
        <f>E37</f>
        <v>1076.4471939902783</v>
      </c>
    </row>
    <row r="67" spans="2:10" x14ac:dyDescent="0.25">
      <c r="B67" s="476"/>
      <c r="C67" s="477"/>
      <c r="D67" s="478"/>
      <c r="E67" s="479"/>
      <c r="F67" s="168"/>
      <c r="G67" s="162"/>
      <c r="I67" s="465" t="s">
        <v>15</v>
      </c>
      <c r="J67" s="466">
        <f>-E65</f>
        <v>-226.42259390190011</v>
      </c>
    </row>
    <row r="68" spans="2:10" x14ac:dyDescent="0.25">
      <c r="B68" s="169" t="s">
        <v>270</v>
      </c>
      <c r="C68" s="125"/>
      <c r="D68" s="159"/>
      <c r="E68" s="170"/>
      <c r="F68" s="161"/>
      <c r="G68" s="162"/>
      <c r="I68" s="465" t="s">
        <v>271</v>
      </c>
      <c r="J68" s="466">
        <f>E62</f>
        <v>31.295011047282369</v>
      </c>
    </row>
    <row r="69" spans="2:10" ht="15.75" thickBot="1" x14ac:dyDescent="0.3">
      <c r="B69" s="141"/>
      <c r="C69" s="144"/>
      <c r="D69" s="171"/>
      <c r="E69" s="172"/>
      <c r="F69" s="173"/>
      <c r="G69" s="146"/>
      <c r="I69" s="465" t="s">
        <v>2</v>
      </c>
      <c r="J69" s="466">
        <f>G44</f>
        <v>21.528943879805567</v>
      </c>
    </row>
    <row r="70" spans="2:10" ht="15.75" thickBot="1" x14ac:dyDescent="0.3">
      <c r="B70" s="174" t="s">
        <v>130</v>
      </c>
      <c r="C70" s="148"/>
      <c r="D70" s="149"/>
      <c r="E70" s="150"/>
      <c r="F70" s="151"/>
      <c r="G70" s="175">
        <f>E37-E65+E66+E67+E68+E69</f>
        <v>850.02460008837818</v>
      </c>
      <c r="H70" s="356"/>
      <c r="I70" s="465" t="s">
        <v>272</v>
      </c>
      <c r="J70" s="466">
        <f>SUM(J66:J69)</f>
        <v>902.8485550154661</v>
      </c>
    </row>
    <row r="71" spans="2:10" ht="28.5" x14ac:dyDescent="0.25">
      <c r="B71" s="176" t="s">
        <v>131</v>
      </c>
      <c r="C71" s="177"/>
      <c r="D71" s="178"/>
      <c r="E71" s="179"/>
      <c r="F71" s="180"/>
      <c r="G71" s="181"/>
      <c r="I71" s="465"/>
      <c r="J71" s="467"/>
    </row>
    <row r="72" spans="2:10" x14ac:dyDescent="0.25">
      <c r="B72" s="570" t="s">
        <v>132</v>
      </c>
      <c r="C72" s="572" t="s">
        <v>133</v>
      </c>
      <c r="D72" s="182" t="s">
        <v>96</v>
      </c>
      <c r="E72" s="574"/>
      <c r="F72" s="183"/>
      <c r="G72" s="576" t="s">
        <v>134</v>
      </c>
      <c r="I72" s="465" t="s">
        <v>231</v>
      </c>
      <c r="J72" s="466">
        <f>'BULLETIN SANS SUBROGATION (2)'!E149</f>
        <v>526.02739726027403</v>
      </c>
    </row>
    <row r="73" spans="2:10" ht="15.75" thickBot="1" x14ac:dyDescent="0.3">
      <c r="B73" s="571"/>
      <c r="C73" s="573"/>
      <c r="D73" s="184" t="s">
        <v>135</v>
      </c>
      <c r="E73" s="575"/>
      <c r="F73" s="185"/>
      <c r="G73" s="577"/>
      <c r="I73" s="465" t="s">
        <v>274</v>
      </c>
      <c r="J73" s="466">
        <f>J72*3.8%</f>
        <v>19.989041095890414</v>
      </c>
    </row>
    <row r="74" spans="2:10" ht="15.75" thickBot="1" x14ac:dyDescent="0.3">
      <c r="B74" s="174" t="s">
        <v>136</v>
      </c>
      <c r="C74" s="186">
        <f>+D76</f>
        <v>902.8485550154661</v>
      </c>
      <c r="D74" s="382">
        <f>J41</f>
        <v>5.1499999999999997E-2</v>
      </c>
      <c r="E74" s="187"/>
      <c r="F74" s="188"/>
      <c r="G74" s="189">
        <f>D74*C74</f>
        <v>46.496700583296501</v>
      </c>
      <c r="I74" s="470" t="s">
        <v>356</v>
      </c>
      <c r="J74" s="471">
        <f>(J72-J73)</f>
        <v>506.03835616438363</v>
      </c>
    </row>
    <row r="75" spans="2:10" x14ac:dyDescent="0.25">
      <c r="B75" s="190"/>
      <c r="C75" s="191"/>
      <c r="D75" s="192"/>
      <c r="E75" s="193" t="s">
        <v>137</v>
      </c>
      <c r="F75" s="194"/>
      <c r="G75" s="195">
        <f>G70-G74</f>
        <v>803.52789950508168</v>
      </c>
      <c r="I75" s="465"/>
      <c r="J75" s="467"/>
    </row>
    <row r="76" spans="2:10" ht="15.75" thickBot="1" x14ac:dyDescent="0.3">
      <c r="B76" s="196" t="s">
        <v>371</v>
      </c>
      <c r="C76" s="197"/>
      <c r="D76" s="591">
        <f>+E37+G44+E62-E65</f>
        <v>902.8485550154661</v>
      </c>
      <c r="E76" s="199"/>
      <c r="F76" s="200"/>
      <c r="G76" s="201"/>
      <c r="I76" s="468" t="s">
        <v>273</v>
      </c>
      <c r="J76" s="469">
        <f>J74+J70</f>
        <v>1408.8869111798497</v>
      </c>
    </row>
    <row r="77" spans="2:10" ht="15.75" hidden="1" thickTop="1" x14ac:dyDescent="0.25">
      <c r="B77" s="555" t="s">
        <v>140</v>
      </c>
      <c r="C77" s="557"/>
      <c r="D77" s="558"/>
      <c r="E77" s="202"/>
      <c r="F77" s="203"/>
      <c r="G77" s="201"/>
    </row>
    <row r="78" spans="2:10" hidden="1" x14ac:dyDescent="0.25">
      <c r="B78" s="556"/>
      <c r="C78" s="559"/>
      <c r="D78" s="560"/>
      <c r="E78" s="204"/>
      <c r="F78" s="205"/>
      <c r="G78" s="206"/>
    </row>
    <row r="79" spans="2:10" hidden="1" x14ac:dyDescent="0.25">
      <c r="B79" s="207"/>
      <c r="C79" s="208" t="s">
        <v>143</v>
      </c>
      <c r="D79" s="209" t="s">
        <v>144</v>
      </c>
      <c r="E79" s="210"/>
      <c r="F79" s="211"/>
      <c r="G79" s="212"/>
      <c r="I79" s="225"/>
      <c r="J79" s="225"/>
    </row>
    <row r="80" spans="2:10" hidden="1" x14ac:dyDescent="0.25">
      <c r="B80" s="213" t="s">
        <v>145</v>
      </c>
      <c r="C80" s="214">
        <f>E37</f>
        <v>1076.4471939902783</v>
      </c>
      <c r="D80" s="215"/>
      <c r="E80" s="216"/>
      <c r="F80" s="199"/>
      <c r="G80" s="217"/>
      <c r="I80" s="225"/>
      <c r="J80" s="225"/>
    </row>
    <row r="81" spans="2:10" ht="15.75" hidden="1" thickBot="1" x14ac:dyDescent="0.3">
      <c r="B81" s="218" t="s">
        <v>146</v>
      </c>
      <c r="C81" s="219">
        <f>E37-E24-E25+G44+E63+E62-E65</f>
        <v>902.8485550154661</v>
      </c>
      <c r="D81" s="220"/>
      <c r="E81" s="216"/>
      <c r="F81" s="199"/>
      <c r="G81" s="217"/>
      <c r="I81" s="225"/>
      <c r="J81" s="225"/>
    </row>
    <row r="82" spans="2:10" ht="15.75" hidden="1" thickBot="1" x14ac:dyDescent="0.3">
      <c r="B82" s="221" t="s">
        <v>147</v>
      </c>
      <c r="C82" s="222"/>
      <c r="D82" s="222"/>
      <c r="E82" s="223"/>
      <c r="F82" s="223"/>
      <c r="G82" s="224"/>
      <c r="I82" s="225"/>
      <c r="J82" s="225"/>
    </row>
    <row r="83" spans="2:10" x14ac:dyDescent="0.25">
      <c r="I83" s="225"/>
      <c r="J83" s="225"/>
    </row>
    <row r="84" spans="2:10" x14ac:dyDescent="0.25">
      <c r="I84" s="225"/>
      <c r="J84" s="225"/>
    </row>
    <row r="85" spans="2:10" s="225" customFormat="1" ht="15.75" thickBot="1" x14ac:dyDescent="0.3">
      <c r="B85" s="561" t="s">
        <v>116</v>
      </c>
      <c r="C85" s="562"/>
      <c r="D85" s="9"/>
      <c r="E85" s="9"/>
    </row>
    <row r="86" spans="2:10" s="225" customFormat="1" x14ac:dyDescent="0.25">
      <c r="B86" s="226"/>
      <c r="C86" s="227"/>
      <c r="D86" s="563">
        <f>+E37</f>
        <v>1076.4471939902783</v>
      </c>
      <c r="E86" s="228"/>
    </row>
    <row r="87" spans="2:10" s="225" customFormat="1" x14ac:dyDescent="0.25">
      <c r="B87" s="229" t="s">
        <v>148</v>
      </c>
      <c r="C87" s="230">
        <f>IF(J34&gt;=11,#REF!,0)</f>
        <v>0</v>
      </c>
      <c r="D87" s="564"/>
      <c r="E87" s="231">
        <f>C87*$D$86</f>
        <v>0</v>
      </c>
    </row>
    <row r="88" spans="2:10" s="225" customFormat="1" x14ac:dyDescent="0.25">
      <c r="B88" s="229" t="s">
        <v>149</v>
      </c>
      <c r="C88" s="230">
        <f>IF(J34&lt;50,0%,0.5%)</f>
        <v>0</v>
      </c>
      <c r="D88" s="564"/>
      <c r="E88" s="231">
        <f t="shared" ref="E88:E93" si="4">C88*$D$86</f>
        <v>0</v>
      </c>
    </row>
    <row r="89" spans="2:10" s="225" customFormat="1" x14ac:dyDescent="0.25">
      <c r="B89" s="229" t="s">
        <v>150</v>
      </c>
      <c r="C89" s="230">
        <v>1.6000000000000001E-4</v>
      </c>
      <c r="D89" s="564"/>
      <c r="E89" s="231">
        <f t="shared" si="4"/>
        <v>0.17223155103844454</v>
      </c>
    </row>
    <row r="90" spans="2:10" s="225" customFormat="1" x14ac:dyDescent="0.25">
      <c r="B90" s="229" t="s">
        <v>151</v>
      </c>
      <c r="C90" s="230">
        <v>3.0000000000000001E-3</v>
      </c>
      <c r="D90" s="564"/>
      <c r="E90" s="231">
        <f t="shared" si="4"/>
        <v>3.2293415819708349</v>
      </c>
    </row>
    <row r="91" spans="2:10" s="225" customFormat="1" x14ac:dyDescent="0.25">
      <c r="B91" s="229" t="s">
        <v>152</v>
      </c>
      <c r="C91" s="230">
        <v>5.8999999999999999E-3</v>
      </c>
      <c r="D91" s="564"/>
      <c r="E91" s="231">
        <f t="shared" si="4"/>
        <v>6.3510384445426418</v>
      </c>
    </row>
    <row r="92" spans="2:10" s="225" customFormat="1" x14ac:dyDescent="0.25">
      <c r="B92" s="229" t="s">
        <v>153</v>
      </c>
      <c r="C92" s="230">
        <f>IF(J34&lt;11,0.55%,1%)</f>
        <v>5.5000000000000005E-3</v>
      </c>
      <c r="D92" s="564"/>
      <c r="E92" s="231">
        <f t="shared" si="4"/>
        <v>5.9204595669465307</v>
      </c>
    </row>
    <row r="93" spans="2:10" s="225" customFormat="1" x14ac:dyDescent="0.25">
      <c r="B93" s="229"/>
      <c r="C93" s="230">
        <f>IF(J34&lt;=50,0,0.45%)</f>
        <v>0</v>
      </c>
      <c r="D93" s="564"/>
      <c r="E93" s="231">
        <f t="shared" si="4"/>
        <v>0</v>
      </c>
    </row>
    <row r="94" spans="2:10" s="225" customFormat="1" x14ac:dyDescent="0.25">
      <c r="B94" s="21"/>
      <c r="C94" s="22"/>
      <c r="D94" s="22"/>
      <c r="E94" s="23"/>
    </row>
    <row r="95" spans="2:10" s="225" customFormat="1" x14ac:dyDescent="0.25">
      <c r="B95" s="21" t="s">
        <v>154</v>
      </c>
      <c r="C95" s="232">
        <f>IF(J34&gt;=11,+G42+G43+G44,0)</f>
        <v>0</v>
      </c>
      <c r="D95" s="233">
        <v>0.08</v>
      </c>
      <c r="E95" s="234">
        <f>D95*C95</f>
        <v>0</v>
      </c>
    </row>
    <row r="96" spans="2:10" s="225" customFormat="1" ht="15.75" thickBot="1" x14ac:dyDescent="0.3">
      <c r="B96" s="38" t="s">
        <v>155</v>
      </c>
      <c r="C96" s="235">
        <f>IF(J34&lt;50,J38,0)</f>
        <v>1076.4471939902783</v>
      </c>
      <c r="D96" s="236">
        <v>1E-3</v>
      </c>
      <c r="E96" s="237">
        <f>D96*C96</f>
        <v>1.0764471939902782</v>
      </c>
    </row>
    <row r="97" spans="2:10" s="225" customFormat="1" ht="15.75" thickBot="1" x14ac:dyDescent="0.3">
      <c r="B97" s="9"/>
      <c r="C97" s="9"/>
      <c r="D97" s="9"/>
      <c r="E97" s="9"/>
    </row>
    <row r="98" spans="2:10" s="225" customFormat="1" ht="15.75" thickBot="1" x14ac:dyDescent="0.3">
      <c r="B98" s="238" t="s">
        <v>156</v>
      </c>
      <c r="C98" s="239"/>
      <c r="D98" s="239"/>
      <c r="E98" s="592">
        <f>SUM(E87:E96)</f>
        <v>16.749518338488731</v>
      </c>
    </row>
    <row r="99" spans="2:10" s="225" customFormat="1" x14ac:dyDescent="0.25">
      <c r="B99" s="9"/>
      <c r="C99" s="9"/>
      <c r="D99" s="9"/>
      <c r="E99" s="9"/>
    </row>
    <row r="100" spans="2:10" s="225" customFormat="1" hidden="1" thickBot="1" x14ac:dyDescent="0.3">
      <c r="B100" s="548" t="s">
        <v>157</v>
      </c>
      <c r="C100" s="549"/>
      <c r="D100" s="549"/>
      <c r="E100" s="550"/>
    </row>
    <row r="101" spans="2:10" s="225" customFormat="1" hidden="1" x14ac:dyDescent="0.25">
      <c r="B101" s="241" t="s">
        <v>158</v>
      </c>
      <c r="C101" s="242">
        <f>E37</f>
        <v>1076.4471939902783</v>
      </c>
      <c r="D101" s="243">
        <v>2.4E-2</v>
      </c>
      <c r="E101" s="244">
        <f>D101*C101</f>
        <v>25.834732655766679</v>
      </c>
    </row>
    <row r="102" spans="2:10" s="225" customFormat="1" hidden="1" x14ac:dyDescent="0.25">
      <c r="B102" s="245" t="s">
        <v>17</v>
      </c>
      <c r="C102" s="242">
        <f>C101</f>
        <v>1076.4471939902783</v>
      </c>
      <c r="D102" s="246">
        <v>7.4999999999999997E-3</v>
      </c>
      <c r="E102" s="247">
        <f t="shared" ref="E102:E103" si="5">D102*C102</f>
        <v>8.0733539549270859</v>
      </c>
    </row>
    <row r="103" spans="2:10" s="225" customFormat="1" hidden="1" x14ac:dyDescent="0.25">
      <c r="B103" s="245" t="s">
        <v>159</v>
      </c>
      <c r="C103" s="242">
        <f>C61+C63</f>
        <v>1079.1383119752541</v>
      </c>
      <c r="D103" s="246">
        <v>-1.7000000000000001E-2</v>
      </c>
      <c r="E103" s="247">
        <f t="shared" si="5"/>
        <v>-18.345351303579321</v>
      </c>
    </row>
    <row r="104" spans="2:10" s="225" customFormat="1" hidden="1" x14ac:dyDescent="0.25">
      <c r="B104" s="196"/>
      <c r="C104" s="248"/>
      <c r="D104" s="249"/>
      <c r="E104" s="250"/>
    </row>
    <row r="105" spans="2:10" s="225" customFormat="1" ht="15.75" hidden="1" thickBot="1" x14ac:dyDescent="0.3">
      <c r="B105" s="251" t="s">
        <v>160</v>
      </c>
      <c r="C105" s="252"/>
      <c r="D105" s="253"/>
      <c r="E105" s="254">
        <f>SUM(E101:E104)</f>
        <v>15.562735307114444</v>
      </c>
    </row>
    <row r="106" spans="2:10" s="225" customFormat="1" ht="12.75" hidden="1" x14ac:dyDescent="0.25"/>
    <row r="107" spans="2:10" s="225" customFormat="1" ht="12.75" hidden="1" x14ac:dyDescent="0.25"/>
    <row r="108" spans="2:10" s="225" customFormat="1" ht="15.75" hidden="1" thickBot="1" x14ac:dyDescent="0.3">
      <c r="B108" s="548" t="s">
        <v>161</v>
      </c>
      <c r="C108" s="549"/>
      <c r="D108" s="549"/>
      <c r="E108" s="550"/>
      <c r="I108" s="9"/>
      <c r="J108" s="9"/>
    </row>
    <row r="109" spans="2:10" s="225" customFormat="1" ht="15.75" hidden="1" customHeight="1" x14ac:dyDescent="0.25">
      <c r="B109" s="255" t="s">
        <v>162</v>
      </c>
      <c r="C109" s="256"/>
      <c r="D109" s="256"/>
      <c r="E109" s="257">
        <f>-G64</f>
        <v>161.89765797613779</v>
      </c>
      <c r="I109" s="9"/>
      <c r="J109" s="9"/>
    </row>
    <row r="110" spans="2:10" s="225" customFormat="1" ht="15.75" hidden="1" customHeight="1" x14ac:dyDescent="0.25">
      <c r="B110" s="258" t="s">
        <v>163</v>
      </c>
      <c r="C110" s="259"/>
      <c r="D110" s="260">
        <v>1.5</v>
      </c>
      <c r="E110" s="261">
        <f>D110*C110</f>
        <v>0</v>
      </c>
      <c r="I110" s="9"/>
      <c r="J110" s="9"/>
    </row>
    <row r="111" spans="2:10" s="225" customFormat="1" ht="15.75" hidden="1" customHeight="1" x14ac:dyDescent="0.25">
      <c r="B111" s="258" t="s">
        <v>164</v>
      </c>
      <c r="C111" s="262">
        <f>E37</f>
        <v>1076.4471939902783</v>
      </c>
      <c r="D111" s="246">
        <v>1.7999999999999999E-2</v>
      </c>
      <c r="E111" s="261">
        <f>D111*C111</f>
        <v>19.376049491825007</v>
      </c>
      <c r="I111" s="9"/>
      <c r="J111" s="9"/>
    </row>
    <row r="112" spans="2:10" s="225" customFormat="1" ht="15.75" hidden="1" customHeight="1" x14ac:dyDescent="0.25">
      <c r="B112" s="258" t="s">
        <v>165</v>
      </c>
      <c r="C112" s="262">
        <f>C111</f>
        <v>1076.4471939902783</v>
      </c>
      <c r="D112" s="246">
        <v>0.06</v>
      </c>
      <c r="E112" s="261">
        <f>D112*C112</f>
        <v>64.586831639416687</v>
      </c>
      <c r="I112" s="9"/>
      <c r="J112" s="9"/>
    </row>
    <row r="113" spans="2:10" s="225" customFormat="1" ht="15.75" hidden="1" customHeight="1" thickBot="1" x14ac:dyDescent="0.3">
      <c r="B113" s="263" t="s">
        <v>166</v>
      </c>
      <c r="C113" s="264"/>
      <c r="D113" s="264"/>
      <c r="E113" s="265">
        <f>E109+E110+E111+E112</f>
        <v>245.86053910737948</v>
      </c>
      <c r="I113" s="9"/>
      <c r="J113" s="9"/>
    </row>
    <row r="114" spans="2:10" hidden="1" x14ac:dyDescent="0.25"/>
    <row r="115" spans="2:10" hidden="1" x14ac:dyDescent="0.25"/>
    <row r="116" spans="2:10" ht="15.75" hidden="1" thickBot="1" x14ac:dyDescent="0.3">
      <c r="B116" s="266" t="s">
        <v>167</v>
      </c>
      <c r="C116" s="267">
        <f>J40</f>
        <v>0.31950000000000001</v>
      </c>
      <c r="D116" s="493"/>
      <c r="E116" s="493"/>
      <c r="F116" s="493"/>
      <c r="G116" s="493"/>
      <c r="H116" s="493"/>
    </row>
    <row r="117" spans="2:10" hidden="1" x14ac:dyDescent="0.25">
      <c r="B117" s="493"/>
      <c r="C117" s="493"/>
      <c r="D117" s="493"/>
      <c r="E117" s="493"/>
      <c r="F117" s="493"/>
      <c r="G117" s="493"/>
      <c r="H117" s="493"/>
    </row>
    <row r="118" spans="2:10" ht="30" hidden="1" x14ac:dyDescent="0.25">
      <c r="B118" s="3" t="s">
        <v>168</v>
      </c>
      <c r="C118" s="269" t="s">
        <v>169</v>
      </c>
      <c r="D118" s="269" t="s">
        <v>170</v>
      </c>
      <c r="E118" s="270" t="s">
        <v>171</v>
      </c>
      <c r="F118" s="271" t="s">
        <v>172</v>
      </c>
      <c r="G118" s="271" t="s">
        <v>173</v>
      </c>
      <c r="H118" s="271" t="s">
        <v>174</v>
      </c>
    </row>
    <row r="119" spans="2:10" ht="15.75" hidden="1" thickBot="1" x14ac:dyDescent="0.3">
      <c r="B119" s="77" t="s">
        <v>176</v>
      </c>
      <c r="C119" s="273"/>
      <c r="D119" s="274">
        <f>C119</f>
        <v>0</v>
      </c>
      <c r="E119" s="275">
        <v>1603.12</v>
      </c>
      <c r="F119" s="273">
        <f>+E119</f>
        <v>1603.12</v>
      </c>
      <c r="G119" s="276" t="e">
        <f>ROUND((C116/0.6)*((1.6*F119/D119)-1),4)</f>
        <v>#DIV/0!</v>
      </c>
      <c r="H119" s="274" t="e">
        <f>IF(G119&gt;0,G119*D119,0)</f>
        <v>#DIV/0!</v>
      </c>
    </row>
    <row r="120" spans="2:10" hidden="1" x14ac:dyDescent="0.25"/>
    <row r="121" spans="2:10" hidden="1" x14ac:dyDescent="0.25"/>
    <row r="122" spans="2:10" ht="18.75" hidden="1" x14ac:dyDescent="0.25">
      <c r="B122" s="543" t="s">
        <v>177</v>
      </c>
      <c r="C122" s="543"/>
      <c r="D122" s="543"/>
      <c r="E122" s="543"/>
    </row>
    <row r="123" spans="2:10" hidden="1" x14ac:dyDescent="0.25"/>
    <row r="124" spans="2:10" hidden="1" x14ac:dyDescent="0.25">
      <c r="B124" s="278" t="s">
        <v>178</v>
      </c>
      <c r="C124" s="279" t="s">
        <v>179</v>
      </c>
      <c r="D124" s="280" t="s">
        <v>180</v>
      </c>
      <c r="E124" s="280" t="s">
        <v>181</v>
      </c>
      <c r="F124" s="281" t="s">
        <v>182</v>
      </c>
    </row>
    <row r="125" spans="2:10" hidden="1" x14ac:dyDescent="0.25">
      <c r="B125" s="282" t="s">
        <v>183</v>
      </c>
      <c r="C125" s="2"/>
      <c r="D125" s="283">
        <f>C125-25</f>
        <v>-25</v>
      </c>
      <c r="E125" s="283">
        <f>IF(D125&lt;2.8,D125,2.8)</f>
        <v>-25</v>
      </c>
      <c r="F125" s="6">
        <f>IF(D125&gt;2.8,D125-2.8,0)</f>
        <v>0</v>
      </c>
    </row>
    <row r="126" spans="2:10" hidden="1" x14ac:dyDescent="0.25">
      <c r="B126" s="282" t="s">
        <v>184</v>
      </c>
      <c r="C126" s="2"/>
      <c r="D126" s="283">
        <f>C126-25</f>
        <v>-25</v>
      </c>
      <c r="E126" s="283">
        <f t="shared" ref="E126:E128" si="6">IF(D126&lt;2.8,D126,2.8)</f>
        <v>-25</v>
      </c>
      <c r="F126" s="6">
        <f t="shared" ref="F126:F128" si="7">IF(D126&gt;2.8,D126-2.8,0)</f>
        <v>0</v>
      </c>
    </row>
    <row r="127" spans="2:10" hidden="1" x14ac:dyDescent="0.25">
      <c r="B127" s="282" t="s">
        <v>185</v>
      </c>
      <c r="C127" s="2"/>
      <c r="D127" s="283">
        <f t="shared" ref="D127:D128" si="8">C127-25</f>
        <v>-25</v>
      </c>
      <c r="E127" s="283">
        <f t="shared" si="6"/>
        <v>-25</v>
      </c>
      <c r="F127" s="6">
        <f t="shared" si="7"/>
        <v>0</v>
      </c>
    </row>
    <row r="128" spans="2:10" hidden="1" x14ac:dyDescent="0.25">
      <c r="B128" s="282" t="s">
        <v>186</v>
      </c>
      <c r="C128" s="2"/>
      <c r="D128" s="283">
        <f t="shared" si="8"/>
        <v>-25</v>
      </c>
      <c r="E128" s="284">
        <f t="shared" si="6"/>
        <v>-25</v>
      </c>
      <c r="F128" s="285">
        <f t="shared" si="7"/>
        <v>0</v>
      </c>
    </row>
    <row r="129" spans="2:6" ht="15.75" hidden="1" thickBot="1" x14ac:dyDescent="0.3">
      <c r="B129" s="286" t="s">
        <v>187</v>
      </c>
      <c r="C129" s="2"/>
      <c r="D129" s="586" t="s">
        <v>188</v>
      </c>
      <c r="E129" s="587"/>
      <c r="F129" s="588"/>
    </row>
    <row r="130" spans="2:6" ht="15.75" hidden="1" thickBot="1" x14ac:dyDescent="0.3">
      <c r="B130" s="287" t="s">
        <v>189</v>
      </c>
      <c r="C130" s="288"/>
      <c r="D130" s="288">
        <f>SUM(D125:D128)</f>
        <v>-100</v>
      </c>
      <c r="E130" s="288">
        <f>SUM(E125:E128)</f>
        <v>-100</v>
      </c>
      <c r="F130" s="289">
        <f>SUM(F125:F128)</f>
        <v>0</v>
      </c>
    </row>
    <row r="131" spans="2:6" hidden="1" x14ac:dyDescent="0.25"/>
    <row r="132" spans="2:6" ht="18.75" hidden="1" customHeight="1" x14ac:dyDescent="0.25">
      <c r="B132" s="7"/>
      <c r="C132" s="290"/>
      <c r="D132" s="291"/>
      <c r="E132" s="7"/>
      <c r="F132" s="7"/>
    </row>
    <row r="133" spans="2:6" ht="18.75" x14ac:dyDescent="0.25">
      <c r="B133" s="543" t="s">
        <v>9</v>
      </c>
      <c r="C133" s="544"/>
      <c r="D133" s="544"/>
      <c r="E133" s="544"/>
    </row>
    <row r="134" spans="2:6" ht="15.75" thickBot="1" x14ac:dyDescent="0.3"/>
    <row r="135" spans="2:6" x14ac:dyDescent="0.25">
      <c r="B135" s="545" t="s">
        <v>10</v>
      </c>
      <c r="C135" s="546"/>
      <c r="D135" s="546"/>
      <c r="E135" s="547"/>
    </row>
    <row r="136" spans="2:6" x14ac:dyDescent="0.25">
      <c r="B136" s="292" t="s">
        <v>11</v>
      </c>
      <c r="C136" s="293"/>
      <c r="D136" s="293"/>
      <c r="E136" s="307">
        <v>2000</v>
      </c>
    </row>
    <row r="137" spans="2:6" x14ac:dyDescent="0.25">
      <c r="B137" s="292" t="s">
        <v>12</v>
      </c>
      <c r="C137" s="293"/>
      <c r="D137" s="293"/>
      <c r="E137" s="294">
        <v>31</v>
      </c>
    </row>
    <row r="138" spans="2:6" x14ac:dyDescent="0.25">
      <c r="B138" s="292" t="s">
        <v>13</v>
      </c>
      <c r="C138" s="293"/>
      <c r="D138" s="293"/>
      <c r="E138" s="311">
        <f>+E136/E137</f>
        <v>64.516129032258064</v>
      </c>
    </row>
    <row r="139" spans="2:6" ht="15.75" thickBot="1" x14ac:dyDescent="0.3">
      <c r="B139" s="292" t="s">
        <v>14</v>
      </c>
      <c r="C139" s="293"/>
      <c r="D139" s="293"/>
      <c r="E139" s="308">
        <v>19</v>
      </c>
    </row>
    <row r="140" spans="2:6" ht="16.5" thickTop="1" thickBot="1" x14ac:dyDescent="0.3">
      <c r="B140" s="295" t="s">
        <v>15</v>
      </c>
      <c r="C140" s="296"/>
      <c r="D140" s="297"/>
      <c r="E140" s="312">
        <f>E138*E139</f>
        <v>1225.8064516129032</v>
      </c>
    </row>
    <row r="141" spans="2:6" ht="15.75" thickBot="1" x14ac:dyDescent="0.3">
      <c r="B141" s="298"/>
      <c r="C141" s="298"/>
      <c r="D141" s="298"/>
      <c r="E141" s="298"/>
    </row>
    <row r="142" spans="2:6" ht="15.75" thickBot="1" x14ac:dyDescent="0.3">
      <c r="B142" s="548" t="s">
        <v>16</v>
      </c>
      <c r="C142" s="549"/>
      <c r="D142" s="549"/>
      <c r="E142" s="550"/>
    </row>
    <row r="143" spans="2:6" x14ac:dyDescent="0.25">
      <c r="B143" s="299" t="s">
        <v>17</v>
      </c>
      <c r="C143" s="300"/>
      <c r="D143" s="301" t="s">
        <v>18</v>
      </c>
      <c r="E143" s="302" t="s">
        <v>19</v>
      </c>
    </row>
    <row r="144" spans="2:6" x14ac:dyDescent="0.25">
      <c r="B144" s="245" t="s">
        <v>20</v>
      </c>
      <c r="C144" s="309"/>
      <c r="D144" s="310"/>
      <c r="E144" s="313">
        <v>2000</v>
      </c>
    </row>
    <row r="145" spans="2:5" x14ac:dyDescent="0.25">
      <c r="B145" s="245" t="s">
        <v>21</v>
      </c>
      <c r="C145" s="309"/>
      <c r="D145" s="310"/>
      <c r="E145" s="313">
        <v>2000</v>
      </c>
    </row>
    <row r="146" spans="2:5" x14ac:dyDescent="0.25">
      <c r="B146" s="245" t="s">
        <v>22</v>
      </c>
      <c r="C146" s="309"/>
      <c r="D146" s="310"/>
      <c r="E146" s="313">
        <v>2000</v>
      </c>
    </row>
    <row r="147" spans="2:5" x14ac:dyDescent="0.25">
      <c r="B147" s="245" t="s">
        <v>24</v>
      </c>
      <c r="C147" s="303"/>
      <c r="D147" s="303"/>
      <c r="E147" s="313">
        <f>SUM(E144:E146)/91.25*50%</f>
        <v>32.876712328767127</v>
      </c>
    </row>
    <row r="148" spans="2:5" x14ac:dyDescent="0.25">
      <c r="B148" s="245" t="s">
        <v>190</v>
      </c>
      <c r="C148" s="581" t="s">
        <v>366</v>
      </c>
      <c r="D148" s="315"/>
      <c r="E148" s="484">
        <v>16</v>
      </c>
    </row>
    <row r="149" spans="2:5" x14ac:dyDescent="0.25">
      <c r="B149" s="245" t="s">
        <v>25</v>
      </c>
      <c r="C149" s="303"/>
      <c r="D149" s="303"/>
      <c r="E149" s="319">
        <f>E148*E147</f>
        <v>526.02739726027403</v>
      </c>
    </row>
    <row r="150" spans="2:5" x14ac:dyDescent="0.25">
      <c r="B150" s="245" t="s">
        <v>26</v>
      </c>
      <c r="C150" s="303"/>
      <c r="D150" s="303"/>
      <c r="E150" s="247">
        <f>E149*6.7%</f>
        <v>35.243835616438361</v>
      </c>
    </row>
    <row r="151" spans="2:5" ht="15.75" thickBot="1" x14ac:dyDescent="0.3">
      <c r="B151" s="305" t="s">
        <v>27</v>
      </c>
      <c r="C151" s="306"/>
      <c r="D151" s="306"/>
      <c r="E151" s="314">
        <f>E149-E150</f>
        <v>490.7835616438357</v>
      </c>
    </row>
    <row r="152" spans="2:5" ht="15.75" thickBot="1" x14ac:dyDescent="0.3"/>
    <row r="153" spans="2:5" x14ac:dyDescent="0.25">
      <c r="B153" s="545" t="s">
        <v>28</v>
      </c>
      <c r="C153" s="546"/>
      <c r="D153" s="546"/>
      <c r="E153" s="547"/>
    </row>
    <row r="154" spans="2:5" x14ac:dyDescent="0.25">
      <c r="B154" s="292" t="s">
        <v>29</v>
      </c>
      <c r="C154" s="582" t="s">
        <v>367</v>
      </c>
      <c r="D154" s="293"/>
      <c r="E154" s="316">
        <f>E139-7</f>
        <v>12</v>
      </c>
    </row>
    <row r="155" spans="2:5" ht="15.75" thickBot="1" x14ac:dyDescent="0.3">
      <c r="B155" s="292" t="s">
        <v>30</v>
      </c>
      <c r="C155" s="582" t="s">
        <v>368</v>
      </c>
      <c r="D155" s="293"/>
      <c r="E155" s="294">
        <f>E138*0.9</f>
        <v>58.064516129032256</v>
      </c>
    </row>
    <row r="156" spans="2:5" ht="16.5" thickTop="1" thickBot="1" x14ac:dyDescent="0.3">
      <c r="B156" s="292" t="s">
        <v>31</v>
      </c>
      <c r="C156" s="293" t="s">
        <v>369</v>
      </c>
      <c r="D156" s="293"/>
      <c r="E156" s="312">
        <f>E154*E155</f>
        <v>696.77419354838707</v>
      </c>
    </row>
    <row r="157" spans="2:5" ht="16.5" thickTop="1" thickBot="1" x14ac:dyDescent="0.3">
      <c r="B157" s="245" t="s">
        <v>32</v>
      </c>
      <c r="C157" s="293"/>
      <c r="D157" s="293"/>
      <c r="E157" s="317">
        <f>E147</f>
        <v>32.876712328767127</v>
      </c>
    </row>
    <row r="158" spans="2:5" ht="16.5" thickTop="1" thickBot="1" x14ac:dyDescent="0.3">
      <c r="B158" s="295" t="s">
        <v>33</v>
      </c>
      <c r="C158" s="320">
        <f>E154</f>
        <v>12</v>
      </c>
      <c r="D158" s="318">
        <f>E157</f>
        <v>32.876712328767127</v>
      </c>
      <c r="E158" s="312">
        <f>D158*C158</f>
        <v>394.52054794520552</v>
      </c>
    </row>
    <row r="161" spans="2:5" ht="19.5" thickBot="1" x14ac:dyDescent="0.3">
      <c r="B161" s="597" t="s">
        <v>372</v>
      </c>
    </row>
    <row r="162" spans="2:5" ht="15.75" thickBot="1" x14ac:dyDescent="0.3">
      <c r="B162" s="598" t="s">
        <v>373</v>
      </c>
      <c r="C162" s="239"/>
      <c r="D162" s="239"/>
      <c r="E162" s="600">
        <f>G75</f>
        <v>803.52789950508168</v>
      </c>
    </row>
    <row r="164" spans="2:5" ht="15.75" thickBot="1" x14ac:dyDescent="0.3">
      <c r="B164" s="31" t="s">
        <v>374</v>
      </c>
    </row>
    <row r="165" spans="2:5" x14ac:dyDescent="0.25">
      <c r="B165" s="360" t="s">
        <v>25</v>
      </c>
      <c r="C165" s="15"/>
      <c r="D165" s="15"/>
      <c r="E165" s="599">
        <f>E149</f>
        <v>526.02739726027403</v>
      </c>
    </row>
    <row r="166" spans="2:5" x14ac:dyDescent="0.25">
      <c r="B166" s="601" t="s">
        <v>26</v>
      </c>
      <c r="C166" s="22"/>
      <c r="D166" s="22"/>
      <c r="E166" s="358">
        <f>-E150</f>
        <v>-35.243835616438361</v>
      </c>
    </row>
    <row r="167" spans="2:5" x14ac:dyDescent="0.25">
      <c r="B167" s="601" t="s">
        <v>375</v>
      </c>
      <c r="C167" s="22"/>
      <c r="D167" s="22"/>
      <c r="E167" s="358">
        <f>E166+E165</f>
        <v>490.7835616438357</v>
      </c>
    </row>
    <row r="168" spans="2:5" x14ac:dyDescent="0.25">
      <c r="B168" s="601" t="s">
        <v>376</v>
      </c>
      <c r="C168" s="22" t="s">
        <v>377</v>
      </c>
      <c r="D168" s="22"/>
      <c r="E168" s="358">
        <f>E165*2.9%</f>
        <v>15.254794520547946</v>
      </c>
    </row>
    <row r="169" spans="2:5" x14ac:dyDescent="0.25">
      <c r="B169" s="601" t="s">
        <v>378</v>
      </c>
      <c r="C169" s="22"/>
      <c r="D169" s="22"/>
      <c r="E169" s="358">
        <f>E167+E168</f>
        <v>506.03835616438363</v>
      </c>
    </row>
    <row r="170" spans="2:5" ht="15.75" thickBot="1" x14ac:dyDescent="0.3">
      <c r="B170" s="601" t="s">
        <v>256</v>
      </c>
      <c r="C170" s="22" t="s">
        <v>379</v>
      </c>
      <c r="D170" s="22"/>
      <c r="E170" s="358">
        <f>E169*5.15%</f>
        <v>26.06097534246576</v>
      </c>
    </row>
    <row r="171" spans="2:5" ht="15.75" thickBot="1" x14ac:dyDescent="0.3">
      <c r="B171" s="602" t="s">
        <v>380</v>
      </c>
      <c r="C171" s="41" t="s">
        <v>381</v>
      </c>
      <c r="D171" s="41"/>
      <c r="E171" s="600">
        <f>E167-E170</f>
        <v>464.72258630136992</v>
      </c>
    </row>
    <row r="173" spans="2:5" ht="15.75" thickBot="1" x14ac:dyDescent="0.3">
      <c r="B173" s="595" t="s">
        <v>384</v>
      </c>
    </row>
    <row r="174" spans="2:5" x14ac:dyDescent="0.25">
      <c r="B174" s="17" t="s">
        <v>373</v>
      </c>
      <c r="C174" s="15"/>
      <c r="D174" s="15"/>
      <c r="E174" s="603">
        <f>E162</f>
        <v>803.52789950508168</v>
      </c>
    </row>
    <row r="175" spans="2:5" ht="15.75" thickBot="1" x14ac:dyDescent="0.3">
      <c r="B175" s="21" t="s">
        <v>382</v>
      </c>
      <c r="C175" s="22"/>
      <c r="D175" s="22"/>
      <c r="E175" s="605">
        <f>E171</f>
        <v>464.72258630136992</v>
      </c>
    </row>
    <row r="176" spans="2:5" ht="16.5" thickTop="1" thickBot="1" x14ac:dyDescent="0.3">
      <c r="B176" s="38" t="s">
        <v>383</v>
      </c>
      <c r="C176" s="41"/>
      <c r="D176" s="39"/>
      <c r="E176" s="596">
        <f>SUM(E174:E175)</f>
        <v>1268.2504858064517</v>
      </c>
    </row>
    <row r="177" spans="2:5" ht="15.75" thickBot="1" x14ac:dyDescent="0.3"/>
    <row r="178" spans="2:5" ht="16.5" thickTop="1" thickBot="1" x14ac:dyDescent="0.3">
      <c r="B178" s="604" t="s">
        <v>385</v>
      </c>
      <c r="C178" s="239"/>
      <c r="D178" s="239"/>
      <c r="E178" s="596">
        <f>'BULLETIN AVEC SUBROGATION'!G75</f>
        <v>1268.2504858064517</v>
      </c>
    </row>
  </sheetData>
  <mergeCells count="18">
    <mergeCell ref="B122:E122"/>
    <mergeCell ref="D129:F129"/>
    <mergeCell ref="B133:E133"/>
    <mergeCell ref="B135:E135"/>
    <mergeCell ref="B142:E142"/>
    <mergeCell ref="B153:E153"/>
    <mergeCell ref="B77:B78"/>
    <mergeCell ref="C77:D78"/>
    <mergeCell ref="B85:C85"/>
    <mergeCell ref="D86:D93"/>
    <mergeCell ref="B100:E100"/>
    <mergeCell ref="B108:E108"/>
    <mergeCell ref="C17:D17"/>
    <mergeCell ref="F17:G17"/>
    <mergeCell ref="B72:B73"/>
    <mergeCell ref="C72:C73"/>
    <mergeCell ref="E72:E73"/>
    <mergeCell ref="G72:G7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Calcul maladie BP1</vt:lpstr>
      <vt:lpstr>CALCULS MARTINEZ</vt:lpstr>
      <vt:lpstr>REGUL MARTINEZ</vt:lpstr>
      <vt:lpstr>Bulletin MARTINEZ</vt:lpstr>
      <vt:lpstr>REGUL DE OLIVEIRA</vt:lpstr>
      <vt:lpstr>Bulletin DE OLIVEIRA</vt:lpstr>
      <vt:lpstr>REGUL MALADIE</vt:lpstr>
      <vt:lpstr>BULLETIN AVEC SUBROGATION</vt:lpstr>
      <vt:lpstr>BULLETIN SANS SUBROGATION (2)</vt:lpstr>
      <vt:lpstr>REGUL ACCIDENT DU TRAVAIL</vt:lpstr>
      <vt:lpstr>BULLETIN ACCIDENT DU TRAVAIL</vt:lpstr>
      <vt:lpstr>Bulletin MALLAURY</vt:lpstr>
      <vt:lpstr>REGUL BONNELLE</vt:lpstr>
      <vt:lpstr>Bulletin BONNELLE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ARKHOS</dc:creator>
  <cp:lastModifiedBy>ARKHOS</cp:lastModifiedBy>
  <dcterms:created xsi:type="dcterms:W3CDTF">2019-05-13T15:16:04Z</dcterms:created>
  <dcterms:modified xsi:type="dcterms:W3CDTF">2022-08-10T16:23:19Z</dcterms:modified>
</cp:coreProperties>
</file>