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BUREAU 2\FOAD YT\PAIE\HEURES SUPP STRUCTURELLES ET ABSENCES\"/>
    </mc:Choice>
  </mc:AlternateContent>
  <xr:revisionPtr revIDLastSave="0" documentId="8_{269A529B-2BC3-4966-8E01-E9780E0BAA93}" xr6:coauthVersionLast="47" xr6:coauthVersionMax="47" xr10:uidLastSave="{00000000-0000-0000-0000-000000000000}"/>
  <bookViews>
    <workbookView xWindow="-120" yWindow="-120" windowWidth="24240" windowHeight="13140" firstSheet="2" activeTab="5" xr2:uid="{2CDD76BD-2964-405C-B9B8-D38D49F646F8}"/>
  </bookViews>
  <sheets>
    <sheet name="Bulletin non-cadre" sheetId="7" state="hidden" r:id="rId1"/>
    <sheet name=" bulletin simplif non-cadre" sheetId="8" state="hidden" r:id="rId2"/>
    <sheet name="DONNEES DES CAS" sheetId="18" r:id="rId3"/>
    <sheet name="CALCULS PREALABLES" sheetId="29" r:id="rId4"/>
    <sheet name="ETAT DES COTIS APP1" sheetId="22" r:id="rId5"/>
    <sheet name="Bulletin clarifié APP1" sheetId="21" r:id="rId6"/>
    <sheet name=" bulletin cadre" sheetId="2" state="hidden" r:id="rId7"/>
    <sheet name="bulletin cadre simplifié" sheetId="3" state="hidden" r:id="rId8"/>
    <sheet name="Décomposition non-cadre" sheetId="9" state="hidden" r:id="rId9"/>
    <sheet name="Décomposition cadre" sheetId="10" state="hidden" r:id="rId10"/>
    <sheet name="temps partiel" sheetId="14" state="hidden" r:id="rId11"/>
    <sheet name="temps complet" sheetId="16" state="hidden" r:id="rId12"/>
    <sheet name=" enonce NC" sheetId="6" state="hidden" r:id="rId13"/>
  </sheets>
  <externalReferences>
    <externalReference r:id="rId14"/>
    <externalReference r:id="rId15"/>
  </externalReferences>
  <definedNames>
    <definedName name="_Toc409093540" localSheetId="6">' bulletin cadre'!$A$5</definedName>
    <definedName name="_Toc409093540" localSheetId="1">' bulletin simplif non-cadre'!$A$1</definedName>
    <definedName name="_Toc409093540" localSheetId="12">' enonce NC'!$A$1</definedName>
    <definedName name="_Toc409093540" localSheetId="0">'Bulletin non-cadre'!$A$5</definedName>
    <definedName name="_Toc409093540" localSheetId="9">'Décomposition cadre'!#REF!</definedName>
    <definedName name="_Toc409093540" localSheetId="8">'Décomposition non-cadre'!#REF!</definedName>
    <definedName name="_Toc409093540" localSheetId="2">'DONNEES DES CAS'!#REF!</definedName>
    <definedName name="_Toc409093540" localSheetId="4">'ETAT DES COTIS APP1'!$A$1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21" l="1"/>
  <c r="C64" i="21" s="1"/>
  <c r="E64" i="21" s="1"/>
  <c r="D20" i="21"/>
  <c r="G64" i="21"/>
  <c r="C62" i="21"/>
  <c r="D22" i="21"/>
  <c r="E22" i="21" s="1"/>
  <c r="C63" i="21" l="1"/>
  <c r="E69" i="21" l="1"/>
  <c r="E71" i="21"/>
  <c r="B34" i="22"/>
  <c r="F31" i="22"/>
  <c r="D31" i="22"/>
  <c r="B31" i="22"/>
  <c r="B26" i="22"/>
  <c r="B28" i="22"/>
  <c r="D28" i="22" s="1"/>
  <c r="G44" i="21"/>
  <c r="F7" i="22"/>
  <c r="B5" i="22"/>
  <c r="B14" i="22" s="1"/>
  <c r="B35" i="29"/>
  <c r="B33" i="29"/>
  <c r="B22" i="29"/>
  <c r="B21" i="29"/>
  <c r="E5" i="29"/>
  <c r="F28" i="22" l="1"/>
  <c r="B29" i="22"/>
  <c r="B11" i="22"/>
  <c r="B13" i="22" s="1"/>
  <c r="B9" i="22"/>
  <c r="B23" i="29"/>
  <c r="B28" i="29" s="1"/>
  <c r="D29" i="22" l="1"/>
  <c r="F29" i="22"/>
  <c r="B30" i="29"/>
  <c r="D137" i="21" l="1"/>
  <c r="E25" i="21" l="1"/>
  <c r="E24" i="21" l="1"/>
  <c r="E37" i="21" l="1"/>
  <c r="C48" i="21" s="1"/>
  <c r="E80" i="21"/>
  <c r="G80" i="21" s="1"/>
  <c r="B19" i="22"/>
  <c r="B30" i="22" s="1"/>
  <c r="M17" i="22"/>
  <c r="J17" i="22"/>
  <c r="I17" i="22"/>
  <c r="J15" i="22"/>
  <c r="J14" i="22"/>
  <c r="J10" i="22"/>
  <c r="J11" i="22"/>
  <c r="I3" i="22"/>
  <c r="M10" i="22" s="1"/>
  <c r="C55" i="21" l="1"/>
  <c r="C54" i="21"/>
  <c r="D30" i="22"/>
  <c r="F30" i="22"/>
  <c r="K17" i="22"/>
  <c r="C124" i="21"/>
  <c r="C138" i="21" s="1"/>
  <c r="C150" i="21"/>
  <c r="C43" i="21"/>
  <c r="E43" i="21" s="1"/>
  <c r="E136" i="21"/>
  <c r="C42" i="21"/>
  <c r="G42" i="21" s="1"/>
  <c r="D18" i="22"/>
  <c r="E63" i="21"/>
  <c r="C153" i="21" s="1"/>
  <c r="E48" i="21"/>
  <c r="C49" i="21"/>
  <c r="C46" i="21"/>
  <c r="G46" i="21" s="1"/>
  <c r="F5" i="22"/>
  <c r="M9" i="22" s="1"/>
  <c r="B6" i="22"/>
  <c r="D32" i="22"/>
  <c r="I10" i="22"/>
  <c r="K10" i="22" s="1"/>
  <c r="M34" i="22"/>
  <c r="I39" i="22"/>
  <c r="I11" i="22"/>
  <c r="K11" i="22" s="1"/>
  <c r="I40" i="22"/>
  <c r="E49" i="21" l="1"/>
  <c r="C50" i="21"/>
  <c r="G56" i="21"/>
  <c r="E56" i="21"/>
  <c r="E52" i="21"/>
  <c r="E51" i="21"/>
  <c r="E137" i="21"/>
  <c r="G43" i="21"/>
  <c r="C152" i="21" s="1"/>
  <c r="C130" i="21"/>
  <c r="C125" i="21"/>
  <c r="E125" i="21" s="1"/>
  <c r="E124" i="21"/>
  <c r="E50" i="21"/>
  <c r="E144" i="21"/>
  <c r="G55" i="21"/>
  <c r="G54" i="21"/>
  <c r="D6" i="22"/>
  <c r="F6" i="22"/>
  <c r="B15" i="22" s="1"/>
  <c r="B8" i="22"/>
  <c r="E126" i="21" l="1"/>
  <c r="G76" i="21" s="1"/>
  <c r="E138" i="21"/>
  <c r="M11" i="22"/>
  <c r="E130" i="21"/>
  <c r="C131" i="21"/>
  <c r="E131" i="21" s="1"/>
  <c r="D8" i="22"/>
  <c r="F8" i="22"/>
  <c r="I14" i="22"/>
  <c r="K14" i="22" s="1"/>
  <c r="E61" i="21"/>
  <c r="C140" i="21"/>
  <c r="E132" i="21" l="1"/>
  <c r="G83" i="21" s="1"/>
  <c r="I15" i="22"/>
  <c r="K15" i="22" s="1"/>
  <c r="D9" i="22"/>
  <c r="F9" i="22"/>
  <c r="M15" i="22" s="1"/>
  <c r="E140" i="21"/>
  <c r="C141" i="21"/>
  <c r="M14" i="22"/>
  <c r="E142" i="21" l="1"/>
  <c r="C139" i="21"/>
  <c r="E139" i="21" s="1"/>
  <c r="E141" i="21"/>
  <c r="C106" i="21"/>
  <c r="E106" i="21" s="1"/>
  <c r="C114" i="21"/>
  <c r="C115" i="21" s="1"/>
  <c r="E115" i="21" s="1"/>
  <c r="C113" i="21"/>
  <c r="E113" i="21" s="1"/>
  <c r="E112" i="21"/>
  <c r="C104" i="21"/>
  <c r="C105" i="21" s="1"/>
  <c r="E105" i="21" s="1"/>
  <c r="C99" i="21"/>
  <c r="E99" i="21" s="1"/>
  <c r="C98" i="21"/>
  <c r="E98" i="21" s="1"/>
  <c r="C96" i="21"/>
  <c r="C95" i="21"/>
  <c r="C91" i="21"/>
  <c r="C90" i="21"/>
  <c r="D89" i="21"/>
  <c r="K72" i="21"/>
  <c r="K71" i="21"/>
  <c r="F52" i="21"/>
  <c r="G52" i="21" s="1"/>
  <c r="F51" i="21"/>
  <c r="G51" i="21" s="1"/>
  <c r="F50" i="21"/>
  <c r="G50" i="21" s="1"/>
  <c r="F49" i="21"/>
  <c r="G49" i="21" s="1"/>
  <c r="F48" i="21"/>
  <c r="G48" i="21" s="1"/>
  <c r="K17" i="21"/>
  <c r="E96" i="21" l="1"/>
  <c r="K73" i="21"/>
  <c r="E146" i="21"/>
  <c r="G57" i="21" s="1"/>
  <c r="I21" i="22"/>
  <c r="F11" i="22"/>
  <c r="M21" i="22" s="1"/>
  <c r="E104" i="21"/>
  <c r="E108" i="21" s="1"/>
  <c r="E114" i="21"/>
  <c r="E116" i="21" s="1"/>
  <c r="E91" i="21"/>
  <c r="E92" i="21"/>
  <c r="E95" i="21"/>
  <c r="E90" i="21"/>
  <c r="E93" i="21"/>
  <c r="E94" i="21"/>
  <c r="G66" i="21" l="1"/>
  <c r="G84" i="21" s="1"/>
  <c r="F12" i="22"/>
  <c r="B16" i="22"/>
  <c r="D15" i="22"/>
  <c r="I25" i="22"/>
  <c r="E101" i="21"/>
  <c r="E62" i="21" l="1"/>
  <c r="C123" i="21"/>
  <c r="E123" i="21" s="1"/>
  <c r="F14" i="22"/>
  <c r="M12" i="22" s="1"/>
  <c r="F13" i="22"/>
  <c r="I38" i="22"/>
  <c r="I41" i="22" s="1"/>
  <c r="K7" i="22" s="1"/>
  <c r="K25" i="22"/>
  <c r="I26" i="22"/>
  <c r="K26" i="22" s="1"/>
  <c r="B17" i="22"/>
  <c r="D16" i="22"/>
  <c r="K15" i="18"/>
  <c r="E66" i="21" l="1"/>
  <c r="C154" i="21"/>
  <c r="B23" i="22"/>
  <c r="D17" i="22"/>
  <c r="K6" i="22"/>
  <c r="M33" i="22" s="1"/>
  <c r="I34" i="22"/>
  <c r="L36" i="2"/>
  <c r="J20" i="2"/>
  <c r="B33" i="2"/>
  <c r="F33" i="2" s="1"/>
  <c r="F16" i="2"/>
  <c r="I20" i="2"/>
  <c r="F44" i="2"/>
  <c r="B29" i="2"/>
  <c r="B20" i="2"/>
  <c r="B21" i="2"/>
  <c r="B19" i="2"/>
  <c r="J19" i="7"/>
  <c r="I18" i="7"/>
  <c r="I16" i="7"/>
  <c r="F29" i="7"/>
  <c r="B30" i="7"/>
  <c r="F30" i="7" s="1"/>
  <c r="B29" i="7"/>
  <c r="I19" i="7" s="1"/>
  <c r="F25" i="7"/>
  <c r="B18" i="7"/>
  <c r="B19" i="7"/>
  <c r="B17" i="7"/>
  <c r="G75" i="21" l="1"/>
  <c r="E78" i="21"/>
  <c r="C151" i="21"/>
  <c r="F19" i="22"/>
  <c r="L19" i="7"/>
  <c r="D29" i="7"/>
  <c r="K19" i="7"/>
  <c r="D33" i="2"/>
  <c r="D30" i="7"/>
  <c r="C156" i="21" l="1"/>
  <c r="F20" i="22"/>
  <c r="J30" i="2"/>
  <c r="J29" i="2"/>
  <c r="J25" i="2"/>
  <c r="K25" i="2" s="1"/>
  <c r="J26" i="2"/>
  <c r="K26" i="2" s="1"/>
  <c r="K20" i="2"/>
  <c r="J18" i="2"/>
  <c r="K18" i="2" s="1"/>
  <c r="J17" i="2"/>
  <c r="K17" i="2" s="1"/>
  <c r="J16" i="2"/>
  <c r="K16" i="2" s="1"/>
  <c r="J12" i="2"/>
  <c r="K12" i="2" s="1"/>
  <c r="J27" i="7"/>
  <c r="J26" i="7"/>
  <c r="J23" i="7"/>
  <c r="K23" i="7" s="1"/>
  <c r="J18" i="7"/>
  <c r="K18" i="7" s="1"/>
  <c r="J17" i="7"/>
  <c r="K17" i="7" s="1"/>
  <c r="J16" i="7"/>
  <c r="K16" i="7" s="1"/>
  <c r="J13" i="7"/>
  <c r="K13" i="7" s="1"/>
  <c r="J12" i="7"/>
  <c r="K12" i="7" s="1"/>
  <c r="L28" i="7"/>
  <c r="L35" i="7" s="1"/>
  <c r="G78" i="21" l="1"/>
  <c r="C79" i="21"/>
  <c r="E79" i="21" s="1"/>
  <c r="M27" i="22"/>
  <c r="B31" i="2"/>
  <c r="G79" i="21" l="1"/>
  <c r="G82" i="21"/>
  <c r="F38" i="7"/>
  <c r="F37" i="7"/>
  <c r="F31" i="7"/>
  <c r="F28" i="7"/>
  <c r="F27" i="7"/>
  <c r="F24" i="7"/>
  <c r="L23" i="7" s="1"/>
  <c r="F20" i="7"/>
  <c r="F10" i="7"/>
  <c r="L16" i="7" s="1"/>
  <c r="F11" i="7"/>
  <c r="L17" i="7" s="1"/>
  <c r="F13" i="7"/>
  <c r="L22" i="7" s="1"/>
  <c r="F14" i="7"/>
  <c r="F15" i="7"/>
  <c r="F16" i="7"/>
  <c r="L14" i="7" s="1"/>
  <c r="F9" i="7"/>
  <c r="F35" i="2"/>
  <c r="D35" i="2"/>
  <c r="E32" i="7"/>
  <c r="F32" i="7" s="1"/>
  <c r="L12" i="7" s="1"/>
  <c r="B24" i="22" l="1"/>
  <c r="F23" i="22"/>
  <c r="I22" i="22"/>
  <c r="K22" i="22" s="1"/>
  <c r="L13" i="2"/>
  <c r="B33" i="7"/>
  <c r="L13" i="7"/>
  <c r="L24" i="7"/>
  <c r="L18" i="7"/>
  <c r="L11" i="7"/>
  <c r="D48" i="9"/>
  <c r="E28" i="9"/>
  <c r="D28" i="9"/>
  <c r="E21" i="9"/>
  <c r="D21" i="9"/>
  <c r="E18" i="9"/>
  <c r="D18" i="9"/>
  <c r="D53" i="10"/>
  <c r="E25" i="10"/>
  <c r="D25" i="10"/>
  <c r="E19" i="10"/>
  <c r="D19" i="10"/>
  <c r="F24" i="22" l="1"/>
  <c r="M22" i="22" s="1"/>
  <c r="F40" i="7"/>
  <c r="I26" i="7"/>
  <c r="B34" i="7"/>
  <c r="B35" i="7" s="1"/>
  <c r="L31" i="7"/>
  <c r="K35" i="7" s="1"/>
  <c r="I22" i="8"/>
  <c r="K26" i="7" l="1"/>
  <c r="I27" i="7"/>
  <c r="K27" i="7" s="1"/>
  <c r="K31" i="7" s="1"/>
  <c r="K33" i="7" s="1"/>
  <c r="E28" i="8"/>
  <c r="I16" i="8"/>
  <c r="C16" i="8"/>
  <c r="I8" i="8"/>
  <c r="C8" i="8"/>
  <c r="I25" i="3"/>
  <c r="E24" i="3"/>
  <c r="I17" i="3"/>
  <c r="C17" i="3"/>
  <c r="I15" i="3"/>
  <c r="E15" i="3" s="1"/>
  <c r="C15" i="3"/>
  <c r="D15" i="3" s="1"/>
  <c r="I14" i="3"/>
  <c r="C14" i="3"/>
  <c r="I13" i="3"/>
  <c r="E13" i="3" s="1"/>
  <c r="C13" i="3"/>
  <c r="D13" i="3" s="1"/>
  <c r="I11" i="3"/>
  <c r="E10" i="3"/>
  <c r="D10" i="3"/>
  <c r="I9" i="3"/>
  <c r="C9" i="3"/>
  <c r="E8" i="3"/>
  <c r="I7" i="3"/>
  <c r="B3" i="3"/>
  <c r="F43" i="2"/>
  <c r="F25" i="2"/>
  <c r="F24" i="2"/>
  <c r="F22" i="2"/>
  <c r="D21" i="2"/>
  <c r="D20" i="2"/>
  <c r="D19" i="2"/>
  <c r="F17" i="2"/>
  <c r="F15" i="2"/>
  <c r="F10" i="2"/>
  <c r="L16" i="2" s="1"/>
  <c r="D10" i="2"/>
  <c r="B27" i="22" l="1"/>
  <c r="D26" i="22"/>
  <c r="F26" i="22"/>
  <c r="I16" i="22"/>
  <c r="K16" i="22" s="1"/>
  <c r="L25" i="2"/>
  <c r="F36" i="2"/>
  <c r="B9" i="3"/>
  <c r="E9" i="3" s="1"/>
  <c r="B27" i="3" s="1"/>
  <c r="B25" i="3"/>
  <c r="E25" i="3" s="1"/>
  <c r="B14" i="3"/>
  <c r="B17" i="3" s="1"/>
  <c r="E17" i="3" s="1"/>
  <c r="B23" i="3"/>
  <c r="D23" i="3" s="1"/>
  <c r="B22" i="3"/>
  <c r="E22" i="3" s="1"/>
  <c r="F42" i="2"/>
  <c r="B7" i="3"/>
  <c r="B20" i="3" s="1"/>
  <c r="D19" i="7"/>
  <c r="D17" i="7"/>
  <c r="B3" i="8"/>
  <c r="D18" i="7"/>
  <c r="F9" i="2"/>
  <c r="L11" i="2" s="1"/>
  <c r="D9" i="2"/>
  <c r="D28" i="2"/>
  <c r="F28" i="2"/>
  <c r="D24" i="2"/>
  <c r="B11" i="3"/>
  <c r="E11" i="3" s="1"/>
  <c r="F34" i="22" l="1"/>
  <c r="B35" i="22"/>
  <c r="D27" i="22"/>
  <c r="D38" i="22" s="1"/>
  <c r="T66" i="21" s="1"/>
  <c r="F27" i="22"/>
  <c r="M16" i="22" s="1"/>
  <c r="L12" i="2"/>
  <c r="B18" i="2"/>
  <c r="F18" i="2" s="1"/>
  <c r="B37" i="2"/>
  <c r="E14" i="3"/>
  <c r="E23" i="3"/>
  <c r="D27" i="7"/>
  <c r="D9" i="3"/>
  <c r="D17" i="3"/>
  <c r="D14" i="3"/>
  <c r="D22" i="3"/>
  <c r="D7" i="3"/>
  <c r="E7" i="3"/>
  <c r="D10" i="7"/>
  <c r="B21" i="8"/>
  <c r="B22" i="8"/>
  <c r="E22" i="8" s="1"/>
  <c r="B8" i="8"/>
  <c r="E8" i="8" s="1"/>
  <c r="B11" i="8"/>
  <c r="E11" i="8" s="1"/>
  <c r="B7" i="8"/>
  <c r="D31" i="7"/>
  <c r="D9" i="8" s="1"/>
  <c r="D28" i="7"/>
  <c r="D24" i="7"/>
  <c r="E36" i="8"/>
  <c r="E20" i="3"/>
  <c r="D32" i="2"/>
  <c r="F32" i="2"/>
  <c r="D11" i="2"/>
  <c r="F11" i="2"/>
  <c r="L17" i="2" s="1"/>
  <c r="D27" i="3"/>
  <c r="B28" i="3"/>
  <c r="D28" i="3" s="1"/>
  <c r="F27" i="2"/>
  <c r="D27" i="2"/>
  <c r="F36" i="22" l="1"/>
  <c r="F35" i="22"/>
  <c r="I29" i="2"/>
  <c r="K29" i="2" s="1"/>
  <c r="B38" i="2"/>
  <c r="L18" i="2"/>
  <c r="E30" i="3"/>
  <c r="G30" i="3" s="1"/>
  <c r="H30" i="3" s="1"/>
  <c r="D30" i="3"/>
  <c r="D32" i="7"/>
  <c r="E9" i="8"/>
  <c r="E21" i="8"/>
  <c r="D21" i="8"/>
  <c r="B20" i="8"/>
  <c r="E20" i="8" s="1"/>
  <c r="B14" i="8"/>
  <c r="E7" i="8"/>
  <c r="D7" i="8"/>
  <c r="D8" i="8"/>
  <c r="F12" i="2"/>
  <c r="L27" i="2" s="1"/>
  <c r="F29" i="2"/>
  <c r="D29" i="2"/>
  <c r="F34" i="2"/>
  <c r="L26" i="2" s="1"/>
  <c r="D34" i="2"/>
  <c r="M23" i="22" l="1"/>
  <c r="M35" i="22" s="1"/>
  <c r="F38" i="22"/>
  <c r="I30" i="2"/>
  <c r="K30" i="2" s="1"/>
  <c r="K32" i="2" s="1"/>
  <c r="K34" i="2" s="1"/>
  <c r="B39" i="2"/>
  <c r="B25" i="8"/>
  <c r="D25" i="8" s="1"/>
  <c r="D34" i="3"/>
  <c r="D32" i="3"/>
  <c r="D11" i="7"/>
  <c r="B15" i="8"/>
  <c r="E14" i="8"/>
  <c r="D14" i="8"/>
  <c r="F13" i="2"/>
  <c r="L23" i="2" s="1"/>
  <c r="D31" i="2"/>
  <c r="F31" i="2"/>
  <c r="L20" i="2" s="1"/>
  <c r="U38" i="22" l="1"/>
  <c r="F45" i="2"/>
  <c r="L32" i="2"/>
  <c r="K36" i="2" s="1"/>
  <c r="D33" i="7"/>
  <c r="D35" i="7"/>
  <c r="B26" i="8"/>
  <c r="D26" i="8" s="1"/>
  <c r="D15" i="8"/>
  <c r="B16" i="8"/>
  <c r="E15" i="8"/>
  <c r="D34" i="7"/>
  <c r="D40" i="7" l="1"/>
  <c r="D41" i="8"/>
  <c r="E16" i="8"/>
  <c r="E31" i="8" s="1"/>
  <c r="D36" i="8" s="1"/>
  <c r="D16" i="8"/>
  <c r="D31" i="8" s="1"/>
  <c r="D34" i="8" s="1"/>
  <c r="D37" i="2"/>
  <c r="D38" i="2" l="1"/>
  <c r="D39" i="2"/>
  <c r="D45" i="2" s="1"/>
  <c r="B34" i="3" l="1"/>
</calcChain>
</file>

<file path=xl/sharedStrings.xml><?xml version="1.0" encoding="utf-8"?>
<sst xmlns="http://schemas.openxmlformats.org/spreadsheetml/2006/main" count="746" uniqueCount="362">
  <si>
    <t>Bulletin d’un salarié  cadre</t>
  </si>
  <si>
    <t>Salaire brut</t>
  </si>
  <si>
    <t>Bases</t>
  </si>
  <si>
    <t>Salarial</t>
  </si>
  <si>
    <t>Retenues sal</t>
  </si>
  <si>
    <t>Patronal</t>
  </si>
  <si>
    <t>Cot patron.</t>
  </si>
  <si>
    <t>Chomage</t>
  </si>
  <si>
    <t>Retraite</t>
  </si>
  <si>
    <t>C.S.G. non déductible</t>
  </si>
  <si>
    <t>C.S.G. déductible</t>
  </si>
  <si>
    <t>CRDS non déductible</t>
  </si>
  <si>
    <t>Contribution au dialogue social</t>
  </si>
  <si>
    <t>Pénibilité cotisation universelle</t>
  </si>
  <si>
    <t>PÔLE EMPLOI</t>
  </si>
  <si>
    <t>RETRAITE COMPLEMENTAIRE</t>
  </si>
  <si>
    <t>RETRAITE COMPLEMENTAIRE CADRES et DIVERS</t>
  </si>
  <si>
    <t>Mutuelle</t>
  </si>
  <si>
    <t>CRDS sur mutuelle</t>
  </si>
  <si>
    <t>Taxes diverses sur salaires</t>
  </si>
  <si>
    <t>Taxe d'apprentissage</t>
  </si>
  <si>
    <t>Formation continue</t>
  </si>
  <si>
    <t>Total de cotisations</t>
  </si>
  <si>
    <t>SANTE</t>
  </si>
  <si>
    <t>Sécurité sociale - Maladie - Maternité - Invalidité décés</t>
  </si>
  <si>
    <t>Complémentaire incapacité invalidité décés</t>
  </si>
  <si>
    <t>Complémentaire santé</t>
  </si>
  <si>
    <t>Accident du travail - Maladies professionnelles</t>
  </si>
  <si>
    <t>Sécurité sociale plafonnée</t>
  </si>
  <si>
    <t>Sécurité sociale déplafonnée</t>
  </si>
  <si>
    <t>Complémentaire Tranche A</t>
  </si>
  <si>
    <t>Complémentaire GMP</t>
  </si>
  <si>
    <t>Complémentaire Tranche B</t>
  </si>
  <si>
    <t>Complémentaire Tranche C</t>
  </si>
  <si>
    <t>Supplémentaire</t>
  </si>
  <si>
    <t xml:space="preserve">Famille sécurité sociale </t>
  </si>
  <si>
    <t>Famille sécurité sociale</t>
  </si>
  <si>
    <t>Assurance chomage</t>
  </si>
  <si>
    <t>APEC</t>
  </si>
  <si>
    <t>Autres contributions  dues par l'employeur</t>
  </si>
  <si>
    <t>Autres contributions déplafonnées dues par l'employeur</t>
  </si>
  <si>
    <t>Cotisations statutaires ou prévues par la convention collective</t>
  </si>
  <si>
    <t>C.S.G. non imposable à l'impôt sur le revenu</t>
  </si>
  <si>
    <t>C.S.G/CRDS imposable à l'impôt sur le revenu</t>
  </si>
  <si>
    <t>Allègement des cotisations</t>
  </si>
  <si>
    <t>Total de cotisations et contributions</t>
  </si>
  <si>
    <t>Net payé en euros</t>
  </si>
  <si>
    <t>Total versé
par l'employeur</t>
  </si>
  <si>
    <t>Allègement
de cotisations</t>
  </si>
  <si>
    <t>Bulletin d’un salarié non cadre</t>
  </si>
  <si>
    <t>Maladie</t>
  </si>
  <si>
    <t>Vieillesse</t>
  </si>
  <si>
    <t xml:space="preserve">Versement transport </t>
  </si>
  <si>
    <t>Allocations familiales</t>
  </si>
  <si>
    <t>Allocations logement FNAL</t>
  </si>
  <si>
    <t>Contribution de solidarité autonomie</t>
  </si>
  <si>
    <t>Accident du travail</t>
  </si>
  <si>
    <t>Allègement FILLON =</t>
  </si>
  <si>
    <t>Chômage 1</t>
  </si>
  <si>
    <t>AGS</t>
  </si>
  <si>
    <t>NON CADRES</t>
  </si>
  <si>
    <t>AGFF TA</t>
  </si>
  <si>
    <t>Prévoyance</t>
  </si>
  <si>
    <t>C.S.G. non déductible sur prevoyance et mutuelle</t>
  </si>
  <si>
    <t>C.S.G. déductible sur prevoyance et mutuelle</t>
  </si>
  <si>
    <t>CRDS non déductible sur prevoyance et mutuelle</t>
  </si>
  <si>
    <t>DIVERS</t>
  </si>
  <si>
    <t>Formation professionnelle</t>
  </si>
  <si>
    <t>Net à payer :</t>
  </si>
  <si>
    <t>Net imposable</t>
  </si>
  <si>
    <t>RETRAITE COMPLEMENTAIRE ET PREVOYANCES</t>
  </si>
  <si>
    <t>Taux salarial</t>
  </si>
  <si>
    <t>Part salarié</t>
  </si>
  <si>
    <t>Part employeur</t>
  </si>
  <si>
    <t>Complémentaire Tranche 1</t>
  </si>
  <si>
    <t>Complémentaire Tranche 2</t>
  </si>
  <si>
    <t>Autres contributions dues par l'employeur</t>
  </si>
  <si>
    <t>Brut</t>
  </si>
  <si>
    <t>Prévoyances</t>
  </si>
  <si>
    <t>Selon conventions</t>
  </si>
  <si>
    <t>TA</t>
  </si>
  <si>
    <t>Variable</t>
  </si>
  <si>
    <t>Vieillesse sur TA</t>
  </si>
  <si>
    <t>Vieillesse sur brut</t>
  </si>
  <si>
    <t>T1</t>
  </si>
  <si>
    <t>3,45% OU 5,25%</t>
  </si>
  <si>
    <t xml:space="preserve">Chômage </t>
  </si>
  <si>
    <t>TA + TB</t>
  </si>
  <si>
    <t>BRUT</t>
  </si>
  <si>
    <t>TA ou BRUT</t>
  </si>
  <si>
    <t>0,10% OU 0,5%</t>
  </si>
  <si>
    <t>1% OU 1,55%</t>
  </si>
  <si>
    <t>Forfait social</t>
  </si>
  <si>
    <t>Part patronale
 de prévoyance</t>
  </si>
  <si>
    <t>Retraite complémentaire</t>
  </si>
  <si>
    <t>AGFF</t>
  </si>
  <si>
    <t>T2</t>
  </si>
  <si>
    <t>Participation à l'effort de construction construction</t>
  </si>
  <si>
    <t>BRUT *  98,25%
 + part pat de prévoyance</t>
  </si>
  <si>
    <t>CSG</t>
  </si>
  <si>
    <t>CRDS</t>
  </si>
  <si>
    <t>Taux patronal</t>
  </si>
  <si>
    <t>Libellé des cotisations apparaissant sur le bulletin simplifié</t>
  </si>
  <si>
    <t>Cotisations correspondantes</t>
  </si>
  <si>
    <t>Allègement 
de cotisations</t>
  </si>
  <si>
    <t>Décomposition des cotisations apparaissant sur le bulletin de paie d'un salarié non-cadre</t>
  </si>
  <si>
    <t>Bulletin simplifié d’un salarié  cadre</t>
  </si>
  <si>
    <t>Cotisation GMP</t>
  </si>
  <si>
    <t>Retraite cadre AGIRC</t>
  </si>
  <si>
    <t>TB</t>
  </si>
  <si>
    <t>AGFF TB</t>
  </si>
  <si>
    <t>Contribution exceptionnelle temporaire</t>
  </si>
  <si>
    <t>TOTAL SUR BULLETIN</t>
  </si>
  <si>
    <t>Décomposition des cotisations apparaissant sur le bulletin de paie d'un salarié cadre</t>
  </si>
  <si>
    <t>Pas de total, montant uniquement</t>
  </si>
  <si>
    <t>Brut - retenues salariales</t>
  </si>
  <si>
    <t>Brut + patronales</t>
  </si>
  <si>
    <t>Fillon + autres allègements 
+éventuellement réduction de 1,8% sur allocations familiales</t>
  </si>
  <si>
    <t>URSSAF</t>
  </si>
  <si>
    <t>Bulletin simplifié d’un salarié non cadre</t>
  </si>
  <si>
    <t>Pas de taux, montant uniquement</t>
  </si>
  <si>
    <t>NET PAYE EN EUROS</t>
  </si>
  <si>
    <t>Allègement de 
cotisations</t>
  </si>
  <si>
    <t xml:space="preserve">Allègement FILLON </t>
  </si>
  <si>
    <t>ETAT DE COTISATIONS SALARIE NON-CADRE</t>
  </si>
  <si>
    <t>Versement transport</t>
  </si>
  <si>
    <t xml:space="preserve">Contribution de solidarité autonomie </t>
  </si>
  <si>
    <t xml:space="preserve">Chômage 1 </t>
  </si>
  <si>
    <t xml:space="preserve">AGS </t>
  </si>
  <si>
    <t>ETAT DE COTISATIONS SALARIE CADRE</t>
  </si>
  <si>
    <t>Mutuelle sur TA</t>
  </si>
  <si>
    <t xml:space="preserve">CSG déductible sur mutuelle </t>
  </si>
  <si>
    <t xml:space="preserve">CSG non-déductible sur mutuelle </t>
  </si>
  <si>
    <t xml:space="preserve">Retraite complémentaire </t>
  </si>
  <si>
    <t xml:space="preserve">Contribution exceptionnelle temporaire </t>
  </si>
  <si>
    <t>Taxe de construction</t>
  </si>
  <si>
    <t>Prévoyance décés invalidité sur TA</t>
  </si>
  <si>
    <t xml:space="preserve">APEC  </t>
  </si>
  <si>
    <t>Salaire de base</t>
  </si>
  <si>
    <t>TAUX</t>
  </si>
  <si>
    <t>DECOMPOSITION DU SALAIRE BRUT EN TRANCHES</t>
  </si>
  <si>
    <t>Horaire contractuel</t>
  </si>
  <si>
    <t>lundi à jeudi: 7 heures par jour</t>
  </si>
  <si>
    <t>Primes</t>
  </si>
  <si>
    <t>Absences</t>
  </si>
  <si>
    <t>Heures compl</t>
  </si>
  <si>
    <t>6 h à 125%</t>
  </si>
  <si>
    <t>35 h</t>
  </si>
  <si>
    <t>lundi à vendredi : 7 heures par jour</t>
  </si>
  <si>
    <t>21 h</t>
  </si>
  <si>
    <t>105 h</t>
  </si>
  <si>
    <t>Versement transp</t>
  </si>
  <si>
    <t>Allocations logement</t>
  </si>
  <si>
    <t>Formation prof</t>
  </si>
  <si>
    <t>Taxe de constr</t>
  </si>
  <si>
    <t>Allocations famil</t>
  </si>
  <si>
    <t>&gt; 11</t>
  </si>
  <si>
    <t xml:space="preserve"> - de 20</t>
  </si>
  <si>
    <t>&gt; 20</t>
  </si>
  <si>
    <t>&gt;3,5 SMIC</t>
  </si>
  <si>
    <t>VARIABLE</t>
  </si>
  <si>
    <t>TAUX SINON</t>
  </si>
  <si>
    <t>CONDIT</t>
  </si>
  <si>
    <t>1,5% / BRUT</t>
  </si>
  <si>
    <t>0,10% / TA</t>
  </si>
  <si>
    <t>NON CADRES T1</t>
  </si>
  <si>
    <t>AGFF T1</t>
  </si>
  <si>
    <t>NON CADRES T2</t>
  </si>
  <si>
    <t>AGFF T2</t>
  </si>
  <si>
    <t>Taxe construction</t>
  </si>
  <si>
    <t>C.S.G. non déductible de l'impôt sur le revenu</t>
  </si>
  <si>
    <t>C.S.G. déductible de l'impôt sur le revenu</t>
  </si>
  <si>
    <t>Famille</t>
  </si>
  <si>
    <t>Exonération de cotisation employeur</t>
  </si>
  <si>
    <t>NET A PAYER AVANT IMPOT SUR LE REVENU</t>
  </si>
  <si>
    <t>Dont évolution de la rémunération liée à la suppression des cotisations chômage et maladie</t>
  </si>
  <si>
    <t>IMPOT SUR LE REVENU</t>
  </si>
  <si>
    <t>Net payé en euro</t>
  </si>
  <si>
    <t>Allègement de 
cotisations
employeur</t>
  </si>
  <si>
    <t>Total versé par 
l'employeur</t>
  </si>
  <si>
    <t>Net imposable (Facultatif)</t>
  </si>
  <si>
    <t>Statut du salarié</t>
  </si>
  <si>
    <t>Mutuelle salariale</t>
  </si>
  <si>
    <t>Mutuelle patronale</t>
  </si>
  <si>
    <t>Taux accident du travail</t>
  </si>
  <si>
    <t>Effectif</t>
  </si>
  <si>
    <t>LES DONNEES DU CAS</t>
  </si>
  <si>
    <t>Taux de prélèvement à la source</t>
  </si>
  <si>
    <t>Retraite T1</t>
  </si>
  <si>
    <t>CEG T1</t>
  </si>
  <si>
    <t>Gain du à la réduction de cotisation maladie = 3 200 * 0,75%</t>
  </si>
  <si>
    <t>Gain du à l'exonération de cotisation chômage = 3 200 * 2,40%</t>
  </si>
  <si>
    <t>Perte due à l'augmentation de la CSG = (3 208 * 98,25% * 1,70%</t>
  </si>
  <si>
    <t>Exonération, écrètement et allègements</t>
  </si>
  <si>
    <t>Acompte</t>
  </si>
  <si>
    <t>Avantage en nature</t>
  </si>
  <si>
    <t>Saisie sur salaires</t>
  </si>
  <si>
    <t>Titres repas</t>
  </si>
  <si>
    <t>Déplacement</t>
  </si>
  <si>
    <t>dont évolution de la rémunération liée à la suppression des cotisations chômage et maladie</t>
  </si>
  <si>
    <t>Taux</t>
  </si>
  <si>
    <t>Montant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</si>
  <si>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</si>
  <si>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</si>
  <si>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</si>
  <si>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</si>
  <si>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</si>
  <si>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</si>
  <si>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</si>
  <si>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Dans votre intérêt et pour vous aider à faire valoir vos droits, conserver ce bulletin de paie sans limitation de durée</t>
  </si>
  <si>
    <t>BULLETIN DE SALAIRE</t>
  </si>
  <si>
    <t>SAISIE DES VARIABLES</t>
  </si>
  <si>
    <t>Employeur</t>
  </si>
  <si>
    <t>Salarié</t>
  </si>
  <si>
    <t>S1</t>
  </si>
  <si>
    <t>Nom :</t>
  </si>
  <si>
    <t>Adresse  :</t>
  </si>
  <si>
    <t>Prénom :</t>
  </si>
  <si>
    <t>Horaire mensuel</t>
  </si>
  <si>
    <t>Complément :</t>
  </si>
  <si>
    <t>N° de S.S. :</t>
  </si>
  <si>
    <t>Nombre d'heures travaillées durant le mois pour absence</t>
  </si>
  <si>
    <t>Adresse :</t>
  </si>
  <si>
    <t>Code postal :</t>
  </si>
  <si>
    <t>Ville :</t>
  </si>
  <si>
    <t>CP/ Ville</t>
  </si>
  <si>
    <t>Taux de la prime de mobilité</t>
  </si>
  <si>
    <t>N° SIRET :</t>
  </si>
  <si>
    <t>Emploi :</t>
  </si>
  <si>
    <t>SMIC horaire</t>
  </si>
  <si>
    <t>Code NAF(APE) :</t>
  </si>
  <si>
    <t>Contrat :</t>
  </si>
  <si>
    <t>Site d'emploi :</t>
  </si>
  <si>
    <t>Position :</t>
  </si>
  <si>
    <t>Heures d'absences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</si>
  <si>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</si>
  <si>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</si>
  <si>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</si>
  <si>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</si>
  <si>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</si>
  <si>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</si>
  <si>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</si>
  <si>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</si>
  <si>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</si>
  <si>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Statut salarié</t>
  </si>
  <si>
    <t>Période du :</t>
  </si>
  <si>
    <t>Au :</t>
  </si>
  <si>
    <t xml:space="preserve">Tranche 1  </t>
  </si>
  <si>
    <t>Eléments de revenu brut</t>
  </si>
  <si>
    <t>Tranche 2</t>
  </si>
  <si>
    <t>Nombre/Base</t>
  </si>
  <si>
    <t>Taux/Val unitaire</t>
  </si>
  <si>
    <t>Montants</t>
  </si>
  <si>
    <t>Coefficient de réduction de cotisations patronales</t>
  </si>
  <si>
    <t>Taux de prévoyance salariale</t>
  </si>
  <si>
    <t>Taux de prévoyance patronale</t>
  </si>
  <si>
    <t>Indemnité de précarité</t>
  </si>
  <si>
    <t>Retenues pour congés payés</t>
  </si>
  <si>
    <t>Indemnité de congés payés</t>
  </si>
  <si>
    <t>Retenue absence arrêt de travail</t>
  </si>
  <si>
    <t xml:space="preserve">IJSS </t>
  </si>
  <si>
    <t>Maintien de salaire</t>
  </si>
  <si>
    <t>13ème mois</t>
  </si>
  <si>
    <t>Prime d'ancienneté</t>
  </si>
  <si>
    <t>Cotisations et contributions sociales</t>
  </si>
  <si>
    <t>Assiettes</t>
  </si>
  <si>
    <t>Sécurité sociale - Maladie - Maternité - Invalidité décès</t>
  </si>
  <si>
    <t>Complémentaires santé</t>
  </si>
  <si>
    <t>Complémentaire incapacité invalidité décès Tranche 1</t>
  </si>
  <si>
    <t>Complémentaire incapacité invalidité décès Tranche 2</t>
  </si>
  <si>
    <t xml:space="preserve">Accident du travail - Maladies professionnelles </t>
  </si>
  <si>
    <t xml:space="preserve">Sécurité sociale plafonnée 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</si>
  <si>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</si>
  <si>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</si>
  <si>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</si>
  <si>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</si>
  <si>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</si>
  <si>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</si>
  <si>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</si>
  <si>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</si>
  <si>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</si>
  <si>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</si>
  <si>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</si>
  <si>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>versement transport :</t>
  </si>
  <si>
    <t>FNAL : 0,50%</t>
  </si>
  <si>
    <t>Dialogue social : 0,016%</t>
  </si>
  <si>
    <t>Solidarité autonomie : 0,30%</t>
  </si>
  <si>
    <t>Apprentissage : 0,68%</t>
  </si>
  <si>
    <t>Formation</t>
  </si>
  <si>
    <t>Construction : 0,45%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</si>
  <si>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</si>
  <si>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</si>
  <si>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</si>
  <si>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</si>
  <si>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</si>
  <si>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</si>
  <si>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</si>
  <si>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</si>
  <si>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</si>
  <si>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</si>
  <si>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</si>
  <si>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</si>
  <si>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Allègement de cotisation maladie employeur</t>
  </si>
  <si>
    <t xml:space="preserve">Réduction générale de cotisations patronales </t>
  </si>
  <si>
    <t xml:space="preserve">Perte due à l'augmentation de la CSG </t>
  </si>
  <si>
    <t xml:space="preserve">Gain du à la réduction de cotisation maladie </t>
  </si>
  <si>
    <t>Gain du à l'exonération de cotisation chômage</t>
  </si>
  <si>
    <t xml:space="preserve">Allègement de cotisation allocations familiales  </t>
  </si>
  <si>
    <t>Eéduction générale de cotisations patronales</t>
  </si>
  <si>
    <t>FNAL</t>
  </si>
  <si>
    <t>Contribution solidarité</t>
  </si>
  <si>
    <t>Taxe apprentissage</t>
  </si>
  <si>
    <t>Dialogue social</t>
  </si>
  <si>
    <t>Total</t>
  </si>
  <si>
    <t>Versement mobilité</t>
  </si>
  <si>
    <t>SG sur heures supplémentaires</t>
  </si>
  <si>
    <t>Exonération de cotisation sur heures supplémentaires</t>
  </si>
  <si>
    <t>TOTAUX</t>
  </si>
  <si>
    <t>Construction</t>
  </si>
  <si>
    <t>Retenues salariales</t>
  </si>
  <si>
    <t>Part patronale de santé mutuelle</t>
  </si>
  <si>
    <t>Heures supplémentaires</t>
  </si>
  <si>
    <t>Logement de fonction</t>
  </si>
  <si>
    <t>5 salariés</t>
  </si>
  <si>
    <t>Cadre</t>
  </si>
  <si>
    <t>Prise en charge des titres</t>
  </si>
  <si>
    <t>60% par l'employeur</t>
  </si>
  <si>
    <t xml:space="preserve">Valeur nominale des titres </t>
  </si>
  <si>
    <t>MOIS DE JANVIER</t>
  </si>
  <si>
    <t xml:space="preserve">Rémunération mensuelle </t>
  </si>
  <si>
    <t xml:space="preserve">inférieure à 1.714 euros </t>
  </si>
  <si>
    <t>de 1.714 à 2.056,79</t>
  </si>
  <si>
    <t>de 2.056,80 à 2.399,59</t>
  </si>
  <si>
    <t>de 2.399,60 à 3.085,19</t>
  </si>
  <si>
    <t>de 3.085,20 à 3.770,79</t>
  </si>
  <si>
    <t>de 3.770,80 à 4.456,39</t>
  </si>
  <si>
    <t>de 4.456,40 à 5.141,99</t>
  </si>
  <si>
    <t>Grille de l'avantage en nature logement</t>
  </si>
  <si>
    <t>Logement comportant plusieurs pièces</t>
  </si>
  <si>
    <t xml:space="preserve">≥ 1,5 Plafond </t>
  </si>
  <si>
    <t>Nombre de pièces</t>
  </si>
  <si>
    <t>Séjour</t>
  </si>
  <si>
    <t>Chambres</t>
  </si>
  <si>
    <t>Assiette de calcul de l'avantage en nature</t>
  </si>
  <si>
    <t>Avantage en nature par pièce</t>
  </si>
  <si>
    <t>Avantages en nature</t>
  </si>
  <si>
    <t>Tranche A et 1</t>
  </si>
  <si>
    <t>Prime</t>
  </si>
  <si>
    <t>Prime janvier</t>
  </si>
  <si>
    <t>Etablir l'état des cotisations et les bulletins clarifiés du mois de janvier</t>
  </si>
  <si>
    <t>3 chambres, une salle de séjour, une cuisine</t>
  </si>
  <si>
    <t>Tranche B et 2</t>
  </si>
  <si>
    <t>Titres repas pris en charge par le salarié 23 * 9 * 40%</t>
  </si>
  <si>
    <t xml:space="preserve">Prime </t>
  </si>
  <si>
    <t>Retraite T2</t>
  </si>
  <si>
    <t>CEG T2</t>
  </si>
  <si>
    <t>CET</t>
  </si>
  <si>
    <t>23 en janvier</t>
  </si>
  <si>
    <t>Heites supplémentaires exonérées</t>
  </si>
  <si>
    <t>Retenue pour absence en jours</t>
  </si>
  <si>
    <t>CSG sur heures supplémentaires à 9,70 %</t>
  </si>
  <si>
    <t>CSG CRDS non déductible à 2,90%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</si>
</sst>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%"/>
    <numFmt numFmtId="165" formatCode="0.000000%"/>
    <numFmt numFmtId="166" formatCode="#,##0.00\ &quot;€&quot;"/>
    <numFmt numFmtId="167" formatCode="0.0000"/>
    <numFmt numFmtId="168" formatCode="_-* #,##0\ &quot;€&quot;_-;\-* #,##0\ &quot;€&quot;_-;_-* &quot;-&quot;??\ &quot;€&quot;_-;_-@_-"/>
    <numFmt numFmtId="169" formatCode="[$-F800]dddd\,\ mmmm\ dd\,\ yyyy"/>
    <numFmt numFmtId="170" formatCode="0.0%"/>
    <numFmt numFmtId="171" formatCode="_-* #,##0.00\ [$€-40C]_-;\-* #,##0.00\ [$€-40C]_-;_-* &quot;-&quot;??\ [$€-40C]_-;_-@_-"/>
    <numFmt numFmtId="172" formatCode="0.0000%"/>
    <numFmt numFmtId="173" formatCode="0.00000%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1"/>
      <color theme="4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i/>
      <sz val="9"/>
      <color rgb="FF000000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theme="4" tint="-0.24994659260841701"/>
      <name val="Arial"/>
      <family val="2"/>
    </font>
    <font>
      <sz val="11"/>
      <color theme="4" tint="-0.24994659260841701"/>
      <name val="Calibri"/>
      <family val="2"/>
      <scheme val="minor"/>
    </font>
    <font>
      <b/>
      <sz val="11"/>
      <color theme="4"/>
      <name val="Arial"/>
      <family val="2"/>
    </font>
    <font>
      <b/>
      <sz val="9"/>
      <color theme="4"/>
      <name val="Arial"/>
      <family val="2"/>
    </font>
    <font>
      <b/>
      <sz val="8"/>
      <color theme="4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Arial"/>
      <family val="2"/>
    </font>
    <font>
      <strike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8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b/>
      <sz val="22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12"/>
      <name val="Arial"/>
      <family val="2"/>
    </font>
    <font>
      <b/>
      <sz val="10"/>
      <color rgb="FF000000"/>
      <name val="Tahoma"/>
      <family val="2"/>
    </font>
    <font>
      <sz val="8"/>
      <color rgb="FF000000"/>
      <name val="Verdan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rebuchet MS"/>
      <family val="2"/>
    </font>
    <font>
      <b/>
      <i/>
      <sz val="11"/>
      <name val="Times New Roman"/>
      <family val="1"/>
    </font>
    <font>
      <b/>
      <i/>
      <sz val="11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1" fillId="0" borderId="0"/>
  </cellStyleXfs>
  <cellXfs count="820">
    <xf numFmtId="0" fontId="0" fillId="0" borderId="0" xfId="0"/>
    <xf numFmtId="0" fontId="4" fillId="0" borderId="0" xfId="0" applyFont="1" applyAlignment="1">
      <alignment vertical="center"/>
    </xf>
    <xf numFmtId="10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10" fontId="7" fillId="0" borderId="4" xfId="0" applyNumberFormat="1" applyFont="1" applyFill="1" applyBorder="1" applyAlignment="1">
      <alignment horizontal="center" vertical="center"/>
    </xf>
    <xf numFmtId="8" fontId="8" fillId="0" borderId="4" xfId="0" applyNumberFormat="1" applyFont="1" applyFill="1" applyBorder="1" applyAlignment="1">
      <alignment horizontal="right" vertical="center"/>
    </xf>
    <xf numFmtId="164" fontId="8" fillId="2" borderId="4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8" fontId="5" fillId="0" borderId="0" xfId="0" applyNumberFormat="1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8" fontId="7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0" fontId="8" fillId="0" borderId="4" xfId="0" applyNumberFormat="1" applyFont="1" applyFill="1" applyBorder="1" applyAlignment="1">
      <alignment horizontal="center" vertical="center"/>
    </xf>
    <xf numFmtId="8" fontId="9" fillId="0" borderId="10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10" fontId="8" fillId="0" borderId="4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8" fontId="7" fillId="0" borderId="4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8" fontId="5" fillId="0" borderId="4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8" fontId="7" fillId="0" borderId="18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justify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8" fontId="9" fillId="2" borderId="10" xfId="0" applyNumberFormat="1" applyFont="1" applyFill="1" applyBorder="1" applyAlignment="1">
      <alignment horizontal="right" vertical="center"/>
    </xf>
    <xf numFmtId="10" fontId="8" fillId="2" borderId="4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8" fontId="13" fillId="2" borderId="10" xfId="0" applyNumberFormat="1" applyFont="1" applyFill="1" applyBorder="1" applyAlignment="1">
      <alignment horizontal="right" vertical="center"/>
    </xf>
    <xf numFmtId="164" fontId="8" fillId="2" borderId="4" xfId="3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8" fontId="12" fillId="0" borderId="0" xfId="0" applyNumberFormat="1" applyFont="1" applyAlignment="1">
      <alignment vertical="center"/>
    </xf>
    <xf numFmtId="8" fontId="9" fillId="0" borderId="4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10" fontId="9" fillId="0" borderId="4" xfId="0" applyNumberFormat="1" applyFont="1" applyFill="1" applyBorder="1" applyAlignment="1">
      <alignment horizontal="center" vertical="center"/>
    </xf>
    <xf numFmtId="10" fontId="9" fillId="2" borderId="4" xfId="0" applyNumberFormat="1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horizontal="right" vertical="center"/>
    </xf>
    <xf numFmtId="10" fontId="8" fillId="2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8" fontId="7" fillId="0" borderId="10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0" fontId="17" fillId="0" borderId="15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44" fontId="5" fillId="0" borderId="4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8" fontId="5" fillId="0" borderId="13" xfId="0" applyNumberFormat="1" applyFont="1" applyBorder="1" applyAlignment="1">
      <alignment horizontal="justify" vertical="center"/>
    </xf>
    <xf numFmtId="8" fontId="5" fillId="0" borderId="16" xfId="0" applyNumberFormat="1" applyFont="1" applyBorder="1" applyAlignment="1">
      <alignment horizontal="justify" vertical="center"/>
    </xf>
    <xf numFmtId="0" fontId="7" fillId="2" borderId="13" xfId="0" applyFont="1" applyFill="1" applyBorder="1" applyAlignment="1">
      <alignment horizontal="right" vertical="center"/>
    </xf>
    <xf numFmtId="8" fontId="5" fillId="0" borderId="21" xfId="1" applyNumberFormat="1" applyFont="1" applyBorder="1" applyAlignment="1">
      <alignment vertical="center"/>
    </xf>
    <xf numFmtId="7" fontId="9" fillId="2" borderId="10" xfId="0" applyNumberFormat="1" applyFont="1" applyFill="1" applyBorder="1" applyAlignment="1">
      <alignment horizontal="right" vertical="center"/>
    </xf>
    <xf numFmtId="8" fontId="7" fillId="0" borderId="22" xfId="0" applyNumberFormat="1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5" xfId="0" applyFont="1" applyFill="1" applyBorder="1" applyAlignment="1">
      <alignment horizontal="left" vertical="center"/>
    </xf>
    <xf numFmtId="8" fontId="24" fillId="0" borderId="6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8" fontId="23" fillId="0" borderId="4" xfId="0" applyNumberFormat="1" applyFont="1" applyFill="1" applyBorder="1" applyAlignment="1">
      <alignment horizontal="right" vertical="center"/>
    </xf>
    <xf numFmtId="10" fontId="23" fillId="0" borderId="4" xfId="0" applyNumberFormat="1" applyFont="1" applyFill="1" applyBorder="1" applyAlignment="1">
      <alignment horizontal="center" vertical="center"/>
    </xf>
    <xf numFmtId="8" fontId="25" fillId="3" borderId="10" xfId="0" applyNumberFormat="1" applyFont="1" applyFill="1" applyBorder="1" applyAlignment="1">
      <alignment horizontal="right" vertical="center"/>
    </xf>
    <xf numFmtId="0" fontId="26" fillId="0" borderId="3" xfId="0" applyFont="1" applyFill="1" applyBorder="1" applyAlignment="1">
      <alignment horizontal="left" vertical="center"/>
    </xf>
    <xf numFmtId="44" fontId="23" fillId="0" borderId="4" xfId="0" applyNumberFormat="1" applyFont="1" applyFill="1" applyBorder="1" applyAlignment="1">
      <alignment horizontal="right" vertical="center"/>
    </xf>
    <xf numFmtId="8" fontId="25" fillId="0" borderId="10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right" vertical="center"/>
    </xf>
    <xf numFmtId="10" fontId="23" fillId="0" borderId="4" xfId="2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8" fontId="21" fillId="0" borderId="0" xfId="0" applyNumberFormat="1" applyFont="1" applyFill="1" applyAlignment="1">
      <alignment vertical="center"/>
    </xf>
    <xf numFmtId="8" fontId="26" fillId="0" borderId="0" xfId="0" applyNumberFormat="1" applyFont="1" applyFill="1" applyAlignment="1">
      <alignment vertical="center"/>
    </xf>
    <xf numFmtId="10" fontId="26" fillId="0" borderId="4" xfId="2" applyNumberFormat="1" applyFont="1" applyFill="1" applyBorder="1" applyAlignment="1">
      <alignment horizontal="center" vertical="center"/>
    </xf>
    <xf numFmtId="8" fontId="26" fillId="0" borderId="4" xfId="0" applyNumberFormat="1" applyFont="1" applyFill="1" applyBorder="1" applyAlignment="1">
      <alignment horizontal="right" vertical="center"/>
    </xf>
    <xf numFmtId="10" fontId="26" fillId="0" borderId="4" xfId="0" applyNumberFormat="1" applyFont="1" applyFill="1" applyBorder="1" applyAlignment="1">
      <alignment horizontal="center" vertical="center"/>
    </xf>
    <xf numFmtId="164" fontId="23" fillId="0" borderId="4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10" fontId="24" fillId="0" borderId="4" xfId="0" applyNumberFormat="1" applyFont="1" applyFill="1" applyBorder="1" applyAlignment="1">
      <alignment horizontal="center" vertical="center"/>
    </xf>
    <xf numFmtId="7" fontId="25" fillId="0" borderId="10" xfId="0" applyNumberFormat="1" applyFont="1" applyFill="1" applyBorder="1" applyAlignment="1">
      <alignment horizontal="right" vertical="center"/>
    </xf>
    <xf numFmtId="164" fontId="23" fillId="0" borderId="4" xfId="3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right" vertical="center"/>
    </xf>
    <xf numFmtId="8" fontId="24" fillId="0" borderId="4" xfId="0" applyNumberFormat="1" applyFont="1" applyFill="1" applyBorder="1" applyAlignment="1">
      <alignment horizontal="right" vertical="center"/>
    </xf>
    <xf numFmtId="8" fontId="21" fillId="0" borderId="0" xfId="0" applyNumberFormat="1" applyFont="1" applyAlignment="1">
      <alignment vertical="center"/>
    </xf>
    <xf numFmtId="165" fontId="21" fillId="0" borderId="0" xfId="2" applyNumberFormat="1" applyFont="1" applyAlignment="1">
      <alignment vertical="center"/>
    </xf>
    <xf numFmtId="0" fontId="24" fillId="0" borderId="13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8" fontId="28" fillId="0" borderId="4" xfId="0" applyNumberFormat="1" applyFont="1" applyBorder="1" applyAlignment="1">
      <alignment horizontal="center" vertical="center" wrapText="1"/>
    </xf>
    <xf numFmtId="8" fontId="28" fillId="0" borderId="4" xfId="0" applyNumberFormat="1" applyFont="1" applyBorder="1" applyAlignment="1">
      <alignment horizontal="center" vertical="center"/>
    </xf>
    <xf numFmtId="8" fontId="24" fillId="0" borderId="0" xfId="0" applyNumberFormat="1" applyFont="1" applyFill="1" applyBorder="1" applyAlignment="1">
      <alignment horizontal="right" vertical="center"/>
    </xf>
    <xf numFmtId="8" fontId="28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horizontal="justify" vertical="center"/>
    </xf>
    <xf numFmtId="8" fontId="28" fillId="0" borderId="0" xfId="0" applyNumberFormat="1" applyFont="1" applyAlignment="1">
      <alignment horizontal="justify" vertical="center"/>
    </xf>
    <xf numFmtId="8" fontId="25" fillId="5" borderId="10" xfId="0" applyNumberFormat="1" applyFont="1" applyFill="1" applyBorder="1" applyAlignment="1">
      <alignment horizontal="right" vertical="center"/>
    </xf>
    <xf numFmtId="8" fontId="25" fillId="4" borderId="10" xfId="0" applyNumberFormat="1" applyFont="1" applyFill="1" applyBorder="1" applyAlignment="1">
      <alignment horizontal="right" vertical="center"/>
    </xf>
    <xf numFmtId="8" fontId="25" fillId="6" borderId="10" xfId="0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left" vertical="center"/>
    </xf>
    <xf numFmtId="8" fontId="25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horizontal="justify" vertical="center"/>
    </xf>
    <xf numFmtId="0" fontId="31" fillId="0" borderId="0" xfId="0" applyFont="1" applyFill="1" applyBorder="1" applyAlignment="1">
      <alignment vertical="center"/>
    </xf>
    <xf numFmtId="10" fontId="8" fillId="0" borderId="4" xfId="0" applyNumberFormat="1" applyFont="1" applyFill="1" applyBorder="1" applyAlignment="1">
      <alignment horizontal="right" vertical="center"/>
    </xf>
    <xf numFmtId="8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justify" vertical="center"/>
    </xf>
    <xf numFmtId="8" fontId="8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/>
    </xf>
    <xf numFmtId="8" fontId="8" fillId="8" borderId="5" xfId="0" applyNumberFormat="1" applyFont="1" applyFill="1" applyBorder="1" applyAlignment="1">
      <alignment horizontal="center" vertical="center"/>
    </xf>
    <xf numFmtId="10" fontId="8" fillId="8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8" fontId="8" fillId="0" borderId="5" xfId="0" applyNumberFormat="1" applyFont="1" applyFill="1" applyBorder="1" applyAlignment="1">
      <alignment horizontal="right" vertical="center"/>
    </xf>
    <xf numFmtId="10" fontId="8" fillId="0" borderId="5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Continuous" vertical="distributed"/>
    </xf>
    <xf numFmtId="0" fontId="15" fillId="0" borderId="0" xfId="0" applyFont="1" applyAlignment="1">
      <alignment horizontal="centerContinuous" vertical="distributed"/>
    </xf>
    <xf numFmtId="0" fontId="34" fillId="0" borderId="0" xfId="0" applyFont="1" applyAlignment="1">
      <alignment horizontal="centerContinuous" vertical="distributed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10" fontId="8" fillId="0" borderId="4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8" fontId="4" fillId="0" borderId="0" xfId="0" applyNumberFormat="1" applyFont="1" applyFill="1" applyAlignment="1">
      <alignment vertical="center"/>
    </xf>
    <xf numFmtId="164" fontId="8" fillId="0" borderId="4" xfId="3" applyNumberFormat="1" applyFont="1" applyFill="1" applyBorder="1" applyAlignment="1">
      <alignment horizontal="center" vertical="center"/>
    </xf>
    <xf numFmtId="166" fontId="9" fillId="0" borderId="10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7" fontId="9" fillId="0" borderId="1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justify" vertical="center"/>
    </xf>
    <xf numFmtId="44" fontId="8" fillId="0" borderId="10" xfId="1" applyFont="1" applyFill="1" applyBorder="1" applyAlignment="1">
      <alignment horizontal="right" vertical="center"/>
    </xf>
    <xf numFmtId="8" fontId="3" fillId="0" borderId="4" xfId="0" applyNumberFormat="1" applyFont="1" applyFill="1" applyBorder="1" applyAlignment="1">
      <alignment horizontal="center" vertical="center" wrapText="1"/>
    </xf>
    <xf numFmtId="8" fontId="5" fillId="0" borderId="4" xfId="0" applyNumberFormat="1" applyFont="1" applyFill="1" applyBorder="1" applyAlignment="1">
      <alignment horizontal="center" vertical="center"/>
    </xf>
    <xf numFmtId="8" fontId="5" fillId="0" borderId="0" xfId="0" applyNumberFormat="1" applyFont="1" applyFill="1" applyAlignment="1">
      <alignment horizontal="justify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/>
    <xf numFmtId="0" fontId="22" fillId="0" borderId="0" xfId="0" applyFont="1" applyFill="1" applyAlignment="1">
      <alignment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justify" vertical="center"/>
    </xf>
    <xf numFmtId="8" fontId="28" fillId="0" borderId="0" xfId="0" applyNumberFormat="1" applyFont="1" applyFill="1" applyAlignment="1">
      <alignment horizontal="justify" vertical="center"/>
    </xf>
    <xf numFmtId="44" fontId="4" fillId="0" borderId="0" xfId="0" applyNumberFormat="1" applyFont="1" applyFill="1" applyAlignment="1">
      <alignment vertical="center"/>
    </xf>
    <xf numFmtId="0" fontId="4" fillId="0" borderId="0" xfId="0" applyFont="1" applyFill="1"/>
    <xf numFmtId="8" fontId="24" fillId="0" borderId="22" xfId="0" applyNumberFormat="1" applyFont="1" applyFill="1" applyBorder="1" applyAlignment="1">
      <alignment horizontal="right" vertical="center"/>
    </xf>
    <xf numFmtId="8" fontId="28" fillId="0" borderId="3" xfId="0" applyNumberFormat="1" applyFont="1" applyFill="1" applyBorder="1" applyAlignment="1">
      <alignment horizontal="center" vertical="center" wrapText="1"/>
    </xf>
    <xf numFmtId="8" fontId="28" fillId="0" borderId="10" xfId="0" applyNumberFormat="1" applyFont="1" applyFill="1" applyBorder="1" applyAlignment="1">
      <alignment horizontal="center" vertical="center" wrapText="1"/>
    </xf>
    <xf numFmtId="8" fontId="28" fillId="0" borderId="15" xfId="0" applyNumberFormat="1" applyFont="1" applyFill="1" applyBorder="1" applyAlignment="1">
      <alignment horizontal="center" vertical="center"/>
    </xf>
    <xf numFmtId="8" fontId="28" fillId="0" borderId="16" xfId="0" applyNumberFormat="1" applyFont="1" applyFill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center"/>
    </xf>
    <xf numFmtId="10" fontId="7" fillId="3" borderId="5" xfId="0" applyNumberFormat="1" applyFont="1" applyFill="1" applyBorder="1" applyAlignment="1">
      <alignment horizontal="center" vertical="center"/>
    </xf>
    <xf numFmtId="10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8" fontId="5" fillId="3" borderId="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8" fontId="24" fillId="0" borderId="0" xfId="0" applyNumberFormat="1" applyFont="1" applyFill="1" applyBorder="1" applyAlignment="1">
      <alignment horizontal="left" vertical="center"/>
    </xf>
    <xf numFmtId="44" fontId="24" fillId="0" borderId="0" xfId="0" applyNumberFormat="1" applyFont="1" applyFill="1" applyBorder="1" applyAlignment="1">
      <alignment horizontal="left" vertical="center"/>
    </xf>
    <xf numFmtId="44" fontId="28" fillId="0" borderId="0" xfId="0" applyNumberFormat="1" applyFont="1" applyFill="1" applyAlignment="1">
      <alignment horizontal="justify" vertical="center"/>
    </xf>
    <xf numFmtId="8" fontId="13" fillId="0" borderId="10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Fill="1" applyAlignment="1">
      <alignment horizontal="justify" vertical="center"/>
    </xf>
    <xf numFmtId="0" fontId="45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1" fillId="0" borderId="0" xfId="0" applyFont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8" fontId="47" fillId="0" borderId="0" xfId="0" applyNumberFormat="1" applyFont="1" applyFill="1" applyBorder="1" applyAlignment="1">
      <alignment horizontal="right" vertical="center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6" fillId="0" borderId="5" xfId="0" applyFont="1" applyFill="1" applyBorder="1" applyAlignment="1">
      <alignment horizontal="left" vertical="center"/>
    </xf>
    <xf numFmtId="8" fontId="46" fillId="0" borderId="5" xfId="0" applyNumberFormat="1" applyFont="1" applyFill="1" applyBorder="1" applyAlignment="1">
      <alignment horizontal="center" vertical="center"/>
    </xf>
    <xf numFmtId="10" fontId="47" fillId="3" borderId="5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1" fillId="0" borderId="5" xfId="0" applyFont="1" applyBorder="1" applyAlignment="1">
      <alignment vertical="center"/>
    </xf>
    <xf numFmtId="8" fontId="46" fillId="0" borderId="0" xfId="0" applyNumberFormat="1" applyFont="1" applyFill="1" applyBorder="1" applyAlignment="1">
      <alignment horizontal="right" vertical="center"/>
    </xf>
    <xf numFmtId="10" fontId="46" fillId="0" borderId="0" xfId="0" applyNumberFormat="1" applyFont="1" applyFill="1" applyBorder="1" applyAlignment="1">
      <alignment horizontal="center" vertical="center"/>
    </xf>
    <xf numFmtId="8" fontId="51" fillId="0" borderId="0" xfId="0" applyNumberFormat="1" applyFont="1" applyFill="1" applyBorder="1" applyAlignment="1">
      <alignment horizontal="right" vertical="center"/>
    </xf>
    <xf numFmtId="0" fontId="51" fillId="0" borderId="5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44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right" vertical="center"/>
    </xf>
    <xf numFmtId="0" fontId="46" fillId="0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6" fillId="8" borderId="5" xfId="0" applyFont="1" applyFill="1" applyBorder="1" applyAlignment="1">
      <alignment horizontal="left" vertical="center"/>
    </xf>
    <xf numFmtId="8" fontId="46" fillId="8" borderId="5" xfId="0" applyNumberFormat="1" applyFont="1" applyFill="1" applyBorder="1" applyAlignment="1">
      <alignment horizontal="center" vertical="center"/>
    </xf>
    <xf numFmtId="10" fontId="46" fillId="8" borderId="5" xfId="0" applyNumberFormat="1" applyFont="1" applyFill="1" applyBorder="1" applyAlignment="1">
      <alignment horizontal="center" vertical="center"/>
    </xf>
    <xf numFmtId="10" fontId="41" fillId="0" borderId="5" xfId="0" applyNumberFormat="1" applyFont="1" applyBorder="1" applyAlignment="1">
      <alignment horizontal="center" vertical="center"/>
    </xf>
    <xf numFmtId="0" fontId="47" fillId="8" borderId="5" xfId="0" applyFont="1" applyFill="1" applyBorder="1" applyAlignment="1">
      <alignment horizontal="left" vertical="center"/>
    </xf>
    <xf numFmtId="10" fontId="43" fillId="3" borderId="5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vertical="center"/>
    </xf>
    <xf numFmtId="8" fontId="46" fillId="0" borderId="5" xfId="0" applyNumberFormat="1" applyFont="1" applyFill="1" applyBorder="1" applyAlignment="1">
      <alignment horizontal="right" vertical="center"/>
    </xf>
    <xf numFmtId="10" fontId="46" fillId="0" borderId="5" xfId="2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3" fillId="3" borderId="5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10" fontId="46" fillId="0" borderId="5" xfId="0" applyNumberFormat="1" applyFont="1" applyFill="1" applyBorder="1" applyAlignment="1">
      <alignment horizontal="center" vertical="center"/>
    </xf>
    <xf numFmtId="164" fontId="41" fillId="0" borderId="5" xfId="0" applyNumberFormat="1" applyFont="1" applyBorder="1" applyAlignment="1">
      <alignment horizontal="center" vertical="center"/>
    </xf>
    <xf numFmtId="0" fontId="41" fillId="0" borderId="5" xfId="0" applyFont="1" applyBorder="1" applyAlignment="1">
      <alignment vertical="center" wrapText="1"/>
    </xf>
    <xf numFmtId="0" fontId="43" fillId="3" borderId="5" xfId="0" applyFont="1" applyFill="1" applyBorder="1" applyAlignment="1">
      <alignment vertical="center" wrapText="1"/>
    </xf>
    <xf numFmtId="0" fontId="40" fillId="0" borderId="5" xfId="0" applyFont="1" applyBorder="1" applyAlignment="1">
      <alignment horizontal="center" vertical="center"/>
    </xf>
    <xf numFmtId="0" fontId="52" fillId="0" borderId="5" xfId="0" applyFont="1" applyBorder="1" applyAlignment="1">
      <alignment horizontal="justify" vertical="center"/>
    </xf>
    <xf numFmtId="8" fontId="43" fillId="0" borderId="5" xfId="1" applyNumberFormat="1" applyFont="1" applyBorder="1" applyAlignment="1">
      <alignment vertical="center"/>
    </xf>
    <xf numFmtId="0" fontId="43" fillId="0" borderId="5" xfId="0" applyFont="1" applyBorder="1" applyAlignment="1">
      <alignment horizontal="justify" vertical="center"/>
    </xf>
    <xf numFmtId="0" fontId="43" fillId="0" borderId="0" xfId="0" applyFont="1" applyBorder="1" applyAlignment="1">
      <alignment horizontal="justify" vertical="center"/>
    </xf>
    <xf numFmtId="0" fontId="43" fillId="3" borderId="1" xfId="0" applyFont="1" applyFill="1" applyBorder="1" applyAlignment="1">
      <alignment horizontal="justify" vertical="center"/>
    </xf>
    <xf numFmtId="8" fontId="43" fillId="3" borderId="26" xfId="0" applyNumberFormat="1" applyFont="1" applyFill="1" applyBorder="1" applyAlignment="1">
      <alignment horizontal="center" vertical="center" wrapText="1"/>
    </xf>
    <xf numFmtId="44" fontId="23" fillId="0" borderId="4" xfId="1" applyFont="1" applyFill="1" applyBorder="1" applyAlignment="1">
      <alignment horizontal="center" vertical="center"/>
    </xf>
    <xf numFmtId="44" fontId="8" fillId="0" borderId="2" xfId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53" fillId="0" borderId="5" xfId="0" applyFont="1" applyFill="1" applyBorder="1" applyAlignment="1">
      <alignment horizontal="left" vertical="center"/>
    </xf>
    <xf numFmtId="0" fontId="56" fillId="0" borderId="5" xfId="0" applyFont="1" applyFill="1" applyBorder="1" applyAlignment="1">
      <alignment horizontal="left" vertical="center"/>
    </xf>
    <xf numFmtId="8" fontId="57" fillId="0" borderId="5" xfId="0" applyNumberFormat="1" applyFont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8" fontId="23" fillId="7" borderId="4" xfId="0" applyNumberFormat="1" applyFont="1" applyFill="1" applyBorder="1" applyAlignment="1">
      <alignment horizontal="right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right" vertical="center"/>
    </xf>
    <xf numFmtId="8" fontId="25" fillId="7" borderId="10" xfId="0" applyNumberFormat="1" applyFont="1" applyFill="1" applyBorder="1" applyAlignment="1">
      <alignment horizontal="right" vertical="center"/>
    </xf>
    <xf numFmtId="0" fontId="53" fillId="0" borderId="0" xfId="0" applyFont="1" applyFill="1" applyBorder="1" applyAlignment="1">
      <alignment horizontal="left" vertical="center"/>
    </xf>
    <xf numFmtId="8" fontId="8" fillId="0" borderId="0" xfId="0" applyNumberFormat="1" applyFont="1" applyFill="1" applyBorder="1" applyAlignment="1">
      <alignment horizontal="right" vertical="center"/>
    </xf>
    <xf numFmtId="8" fontId="8" fillId="0" borderId="6" xfId="0" applyNumberFormat="1" applyFont="1" applyFill="1" applyBorder="1" applyAlignment="1">
      <alignment horizontal="right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26" xfId="0" applyNumberFormat="1" applyFont="1" applyFill="1" applyBorder="1" applyAlignment="1">
      <alignment horizontal="center" vertical="center" wrapText="1"/>
    </xf>
    <xf numFmtId="10" fontId="8" fillId="3" borderId="5" xfId="0" applyNumberFormat="1" applyFont="1" applyFill="1" applyBorder="1" applyAlignment="1">
      <alignment horizontal="center" vertical="center"/>
    </xf>
    <xf numFmtId="8" fontId="8" fillId="3" borderId="5" xfId="0" applyNumberFormat="1" applyFont="1" applyFill="1" applyBorder="1" applyAlignment="1">
      <alignment horizontal="right" vertical="center"/>
    </xf>
    <xf numFmtId="0" fontId="47" fillId="8" borderId="0" xfId="0" applyFont="1" applyFill="1" applyBorder="1" applyAlignment="1">
      <alignment horizontal="left" vertical="center"/>
    </xf>
    <xf numFmtId="8" fontId="46" fillId="0" borderId="0" xfId="0" applyNumberFormat="1" applyFont="1" applyFill="1" applyBorder="1" applyAlignment="1">
      <alignment horizontal="center" vertical="center"/>
    </xf>
    <xf numFmtId="10" fontId="43" fillId="3" borderId="0" xfId="0" applyNumberFormat="1" applyFont="1" applyFill="1" applyBorder="1" applyAlignment="1">
      <alignment horizontal="center" vertical="center"/>
    </xf>
    <xf numFmtId="0" fontId="33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60" fillId="0" borderId="5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8" fontId="7" fillId="0" borderId="4" xfId="0" applyNumberFormat="1" applyFont="1" applyFill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center" vertical="center"/>
    </xf>
    <xf numFmtId="44" fontId="25" fillId="0" borderId="10" xfId="0" applyNumberFormat="1" applyFont="1" applyFill="1" applyBorder="1" applyAlignment="1">
      <alignment horizontal="right" vertical="center"/>
    </xf>
    <xf numFmtId="10" fontId="23" fillId="7" borderId="4" xfId="0" applyNumberFormat="1" applyFont="1" applyFill="1" applyBorder="1" applyAlignment="1">
      <alignment horizontal="center" vertical="center"/>
    </xf>
    <xf numFmtId="44" fontId="25" fillId="7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Alignment="1">
      <alignment vertical="center"/>
    </xf>
    <xf numFmtId="164" fontId="23" fillId="3" borderId="4" xfId="2" applyNumberFormat="1" applyFont="1" applyFill="1" applyBorder="1" applyAlignment="1">
      <alignment horizontal="center" vertical="center"/>
    </xf>
    <xf numFmtId="10" fontId="23" fillId="3" borderId="4" xfId="2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0" fontId="4" fillId="0" borderId="4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justify" vertical="center"/>
    </xf>
    <xf numFmtId="0" fontId="5" fillId="0" borderId="13" xfId="0" applyFont="1" applyFill="1" applyBorder="1" applyAlignment="1">
      <alignment horizontal="justify" vertical="center"/>
    </xf>
    <xf numFmtId="8" fontId="4" fillId="0" borderId="13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8" fontId="4" fillId="0" borderId="16" xfId="0" applyNumberFormat="1" applyFont="1" applyFill="1" applyBorder="1" applyAlignment="1">
      <alignment vertical="center"/>
    </xf>
    <xf numFmtId="44" fontId="23" fillId="0" borderId="10" xfId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44" fontId="8" fillId="0" borderId="4" xfId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horizontal="right" vertical="center"/>
    </xf>
    <xf numFmtId="44" fontId="8" fillId="0" borderId="10" xfId="1" applyFont="1" applyFill="1" applyBorder="1" applyAlignment="1">
      <alignment horizontal="center" vertical="center"/>
    </xf>
    <xf numFmtId="10" fontId="8" fillId="0" borderId="4" xfId="1" applyNumberFormat="1" applyFont="1" applyFill="1" applyBorder="1" applyAlignment="1">
      <alignment horizontal="right" vertical="center"/>
    </xf>
    <xf numFmtId="44" fontId="8" fillId="0" borderId="4" xfId="1" applyNumberFormat="1" applyFont="1" applyFill="1" applyBorder="1" applyAlignment="1">
      <alignment horizontal="right" vertical="center"/>
    </xf>
    <xf numFmtId="44" fontId="38" fillId="0" borderId="4" xfId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44" fontId="8" fillId="0" borderId="4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44" fontId="8" fillId="0" borderId="10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center"/>
    </xf>
    <xf numFmtId="8" fontId="8" fillId="0" borderId="13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8" fontId="8" fillId="0" borderId="16" xfId="0" applyNumberFormat="1" applyFont="1" applyFill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6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vertical="center"/>
    </xf>
    <xf numFmtId="0" fontId="0" fillId="0" borderId="33" xfId="0" applyBorder="1" applyAlignment="1">
      <alignment vertical="center"/>
    </xf>
    <xf numFmtId="17" fontId="62" fillId="0" borderId="36" xfId="0" applyNumberFormat="1" applyFont="1" applyBorder="1" applyAlignment="1">
      <alignment vertical="center"/>
    </xf>
    <xf numFmtId="168" fontId="0" fillId="0" borderId="37" xfId="1" applyNumberFormat="1" applyFont="1" applyBorder="1" applyAlignment="1">
      <alignment vertical="center"/>
    </xf>
    <xf numFmtId="168" fontId="0" fillId="0" borderId="38" xfId="1" applyNumberFormat="1" applyFont="1" applyBorder="1" applyAlignment="1">
      <alignment vertical="center"/>
    </xf>
    <xf numFmtId="17" fontId="0" fillId="0" borderId="36" xfId="0" applyNumberFormat="1" applyBorder="1" applyAlignment="1">
      <alignment vertical="center"/>
    </xf>
    <xf numFmtId="17" fontId="0" fillId="0" borderId="39" xfId="0" applyNumberFormat="1" applyBorder="1" applyAlignment="1">
      <alignment vertical="center"/>
    </xf>
    <xf numFmtId="168" fontId="0" fillId="0" borderId="40" xfId="1" applyNumberFormat="1" applyFont="1" applyBorder="1" applyAlignment="1">
      <alignment vertical="center"/>
    </xf>
    <xf numFmtId="168" fontId="0" fillId="0" borderId="41" xfId="1" applyNumberFormat="1" applyFont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63" fillId="0" borderId="36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9" fontId="15" fillId="0" borderId="37" xfId="0" applyNumberFormat="1" applyFont="1" applyFill="1" applyBorder="1" applyAlignment="1">
      <alignment horizontal="center" vertical="center"/>
    </xf>
    <xf numFmtId="10" fontId="15" fillId="0" borderId="3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vertical="center"/>
    </xf>
    <xf numFmtId="10" fontId="15" fillId="0" borderId="37" xfId="0" applyNumberFormat="1" applyFont="1" applyFill="1" applyBorder="1" applyAlignment="1">
      <alignment horizontal="center" vertical="center"/>
    </xf>
    <xf numFmtId="0" fontId="63" fillId="0" borderId="39" xfId="0" applyFont="1" applyFill="1" applyBorder="1" applyAlignment="1">
      <alignment horizontal="left" vertical="center"/>
    </xf>
    <xf numFmtId="10" fontId="15" fillId="0" borderId="40" xfId="0" applyNumberFormat="1" applyFont="1" applyFill="1" applyBorder="1" applyAlignment="1">
      <alignment horizontal="center" vertical="center"/>
    </xf>
    <xf numFmtId="10" fontId="15" fillId="0" borderId="41" xfId="0" applyNumberFormat="1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7" xfId="0" quotePrefix="1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10" fontId="8" fillId="8" borderId="4" xfId="0" applyNumberFormat="1" applyFont="1" applyFill="1" applyBorder="1" applyAlignment="1">
      <alignment horizontal="center" vertical="center"/>
    </xf>
    <xf numFmtId="8" fontId="8" fillId="8" borderId="4" xfId="0" applyNumberFormat="1" applyFont="1" applyFill="1" applyBorder="1" applyAlignment="1">
      <alignment horizontal="right" vertical="center"/>
    </xf>
    <xf numFmtId="8" fontId="13" fillId="8" borderId="10" xfId="0" applyNumberFormat="1" applyFont="1" applyFill="1" applyBorder="1" applyAlignment="1">
      <alignment horizontal="right" vertical="center"/>
    </xf>
    <xf numFmtId="8" fontId="9" fillId="8" borderId="10" xfId="0" applyNumberFormat="1" applyFont="1" applyFill="1" applyBorder="1" applyAlignment="1">
      <alignment horizontal="right" vertical="center"/>
    </xf>
    <xf numFmtId="8" fontId="13" fillId="0" borderId="38" xfId="0" applyNumberFormat="1" applyFont="1" applyFill="1" applyBorder="1" applyAlignment="1">
      <alignment horizontal="right" vertical="center"/>
    </xf>
    <xf numFmtId="8" fontId="9" fillId="0" borderId="38" xfId="0" applyNumberFormat="1" applyFont="1" applyFill="1" applyBorder="1" applyAlignment="1">
      <alignment horizontal="right" vertical="center"/>
    </xf>
    <xf numFmtId="0" fontId="9" fillId="0" borderId="38" xfId="0" applyFont="1" applyFill="1" applyBorder="1" applyAlignment="1">
      <alignment horizontal="right" vertical="center"/>
    </xf>
    <xf numFmtId="7" fontId="9" fillId="0" borderId="38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>
      <alignment horizontal="left" vertical="center"/>
    </xf>
    <xf numFmtId="10" fontId="9" fillId="8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36" xfId="0" applyFont="1" applyFill="1" applyBorder="1" applyAlignment="1">
      <alignment vertical="center"/>
    </xf>
    <xf numFmtId="6" fontId="9" fillId="0" borderId="38" xfId="0" applyNumberFormat="1" applyFont="1" applyFill="1" applyBorder="1" applyAlignment="1">
      <alignment vertical="center"/>
    </xf>
    <xf numFmtId="10" fontId="9" fillId="0" borderId="38" xfId="0" applyNumberFormat="1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66" fillId="0" borderId="0" xfId="0" applyFont="1" applyFill="1" applyAlignment="1">
      <alignment vertical="center"/>
    </xf>
    <xf numFmtId="0" fontId="68" fillId="0" borderId="0" xfId="0" applyFont="1" applyAlignment="1">
      <alignment vertical="center"/>
    </xf>
    <xf numFmtId="0" fontId="69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9" fillId="0" borderId="17" xfId="0" applyFont="1" applyFill="1" applyBorder="1" applyAlignment="1">
      <alignment horizontal="left" vertical="center"/>
    </xf>
    <xf numFmtId="8" fontId="13" fillId="0" borderId="18" xfId="0" applyNumberFormat="1" applyFont="1" applyFill="1" applyBorder="1" applyAlignment="1">
      <alignment horizontal="right" vertical="center"/>
    </xf>
    <xf numFmtId="8" fontId="9" fillId="8" borderId="4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horizontal="left" vertical="center"/>
    </xf>
    <xf numFmtId="8" fontId="13" fillId="0" borderId="37" xfId="0" applyNumberFormat="1" applyFont="1" applyFill="1" applyBorder="1" applyAlignment="1">
      <alignment horizontal="center" vertical="center"/>
    </xf>
    <xf numFmtId="8" fontId="13" fillId="0" borderId="38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left" vertical="center"/>
    </xf>
    <xf numFmtId="8" fontId="9" fillId="0" borderId="37" xfId="0" applyNumberFormat="1" applyFont="1" applyFill="1" applyBorder="1" applyAlignment="1">
      <alignment horizontal="right" vertical="center"/>
    </xf>
    <xf numFmtId="10" fontId="9" fillId="0" borderId="37" xfId="0" applyNumberFormat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10" fontId="9" fillId="8" borderId="4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/>
    </xf>
    <xf numFmtId="10" fontId="9" fillId="0" borderId="37" xfId="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64" fontId="9" fillId="8" borderId="4" xfId="3" applyNumberFormat="1" applyFont="1" applyFill="1" applyBorder="1" applyAlignment="1">
      <alignment horizontal="center" vertical="center"/>
    </xf>
    <xf numFmtId="10" fontId="64" fillId="8" borderId="4" xfId="0" applyNumberFormat="1" applyFont="1" applyFill="1" applyBorder="1" applyAlignment="1">
      <alignment horizontal="center" vertical="center"/>
    </xf>
    <xf numFmtId="8" fontId="9" fillId="0" borderId="37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0" fontId="13" fillId="0" borderId="37" xfId="0" applyNumberFormat="1" applyFont="1" applyFill="1" applyBorder="1" applyAlignment="1">
      <alignment horizontal="center" vertical="center"/>
    </xf>
    <xf numFmtId="8" fontId="13" fillId="0" borderId="37" xfId="0" applyNumberFormat="1" applyFont="1" applyFill="1" applyBorder="1" applyAlignment="1">
      <alignment horizontal="right" vertical="center"/>
    </xf>
    <xf numFmtId="0" fontId="9" fillId="0" borderId="37" xfId="0" applyFont="1" applyFill="1" applyBorder="1" applyAlignment="1">
      <alignment vertical="center"/>
    </xf>
    <xf numFmtId="0" fontId="9" fillId="0" borderId="38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13" fillId="0" borderId="37" xfId="0" applyFont="1" applyFill="1" applyBorder="1" applyAlignment="1">
      <alignment horizontal="justify" vertical="center"/>
    </xf>
    <xf numFmtId="0" fontId="72" fillId="0" borderId="39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13" fillId="0" borderId="40" xfId="0" applyFont="1" applyFill="1" applyBorder="1" applyAlignment="1">
      <alignment horizontal="justify" vertical="center"/>
    </xf>
    <xf numFmtId="0" fontId="9" fillId="0" borderId="41" xfId="0" applyFont="1" applyFill="1" applyBorder="1" applyAlignment="1">
      <alignment vertical="center"/>
    </xf>
    <xf numFmtId="10" fontId="9" fillId="8" borderId="4" xfId="0" applyNumberFormat="1" applyFont="1" applyFill="1" applyBorder="1" applyAlignment="1">
      <alignment horizontal="right" vertical="center"/>
    </xf>
    <xf numFmtId="44" fontId="9" fillId="8" borderId="10" xfId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horizontal="justify" vertical="center"/>
    </xf>
    <xf numFmtId="8" fontId="13" fillId="0" borderId="37" xfId="0" applyNumberFormat="1" applyFont="1" applyFill="1" applyBorder="1" applyAlignment="1">
      <alignment horizontal="justify" vertical="center"/>
    </xf>
    <xf numFmtId="8" fontId="73" fillId="0" borderId="37" xfId="0" applyNumberFormat="1" applyFont="1" applyFill="1" applyBorder="1" applyAlignment="1">
      <alignment horizontal="justify" vertical="center"/>
    </xf>
    <xf numFmtId="8" fontId="73" fillId="0" borderId="37" xfId="0" applyNumberFormat="1" applyFont="1" applyFill="1" applyBorder="1" applyAlignment="1">
      <alignment horizontal="justify" vertical="center" wrapText="1"/>
    </xf>
    <xf numFmtId="0" fontId="73" fillId="0" borderId="40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vertical="center"/>
    </xf>
    <xf numFmtId="0" fontId="9" fillId="8" borderId="4" xfId="0" applyFont="1" applyFill="1" applyBorder="1" applyAlignment="1">
      <alignment vertical="center"/>
    </xf>
    <xf numFmtId="10" fontId="9" fillId="8" borderId="4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justify" vertical="center"/>
    </xf>
    <xf numFmtId="0" fontId="9" fillId="8" borderId="3" xfId="0" applyFont="1" applyFill="1" applyBorder="1" applyAlignment="1">
      <alignment horizontal="center" vertical="center"/>
    </xf>
    <xf numFmtId="8" fontId="9" fillId="0" borderId="41" xfId="0" applyNumberFormat="1" applyFont="1" applyFill="1" applyBorder="1" applyAlignment="1">
      <alignment vertical="center"/>
    </xf>
    <xf numFmtId="8" fontId="9" fillId="0" borderId="40" xfId="0" applyNumberFormat="1" applyFont="1" applyFill="1" applyBorder="1" applyAlignment="1">
      <alignment vertical="center"/>
    </xf>
    <xf numFmtId="0" fontId="13" fillId="0" borderId="33" xfId="0" applyFont="1" applyFill="1" applyBorder="1" applyAlignment="1">
      <alignment horizontal="justify" vertical="center"/>
    </xf>
    <xf numFmtId="8" fontId="13" fillId="0" borderId="35" xfId="0" applyNumberFormat="1" applyFont="1" applyFill="1" applyBorder="1" applyAlignment="1">
      <alignment horizontal="right" vertical="center"/>
    </xf>
    <xf numFmtId="8" fontId="13" fillId="0" borderId="4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13" fillId="0" borderId="37" xfId="0" applyFont="1" applyFill="1" applyBorder="1" applyAlignment="1">
      <alignment horizontal="center" vertical="center"/>
    </xf>
    <xf numFmtId="0" fontId="77" fillId="10" borderId="3" xfId="0" applyFont="1" applyFill="1" applyBorder="1" applyAlignment="1">
      <alignment horizontal="left" vertical="center" wrapText="1" readingOrder="1"/>
    </xf>
    <xf numFmtId="0" fontId="13" fillId="0" borderId="4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8" fontId="9" fillId="0" borderId="43" xfId="0" applyNumberFormat="1" applyFont="1" applyFill="1" applyBorder="1" applyAlignment="1">
      <alignment horizontal="right" vertical="center"/>
    </xf>
    <xf numFmtId="8" fontId="9" fillId="0" borderId="43" xfId="0" applyNumberFormat="1" applyFont="1" applyFill="1" applyBorder="1" applyAlignment="1">
      <alignment vertical="center"/>
    </xf>
    <xf numFmtId="8" fontId="9" fillId="0" borderId="44" xfId="0" applyNumberFormat="1" applyFont="1" applyFill="1" applyBorder="1" applyAlignment="1">
      <alignment vertical="center"/>
    </xf>
    <xf numFmtId="8" fontId="73" fillId="0" borderId="43" xfId="0" applyNumberFormat="1" applyFont="1" applyFill="1" applyBorder="1" applyAlignment="1">
      <alignment horizontal="justify" vertical="center"/>
    </xf>
    <xf numFmtId="8" fontId="73" fillId="0" borderId="43" xfId="0" applyNumberFormat="1" applyFont="1" applyFill="1" applyBorder="1" applyAlignment="1">
      <alignment horizontal="justify" vertical="center" wrapText="1"/>
    </xf>
    <xf numFmtId="0" fontId="73" fillId="0" borderId="44" xfId="0" applyFont="1" applyFill="1" applyBorder="1" applyAlignment="1">
      <alignment vertical="center" wrapText="1"/>
    </xf>
    <xf numFmtId="0" fontId="65" fillId="4" borderId="31" xfId="5" applyFont="1" applyFill="1" applyBorder="1" applyAlignment="1">
      <alignment horizontal="centerContinuous" vertical="center"/>
    </xf>
    <xf numFmtId="0" fontId="75" fillId="4" borderId="32" xfId="0" applyFont="1" applyFill="1" applyBorder="1" applyAlignment="1">
      <alignment horizontal="centerContinuous" vertical="center"/>
    </xf>
    <xf numFmtId="0" fontId="75" fillId="4" borderId="6" xfId="0" applyFont="1" applyFill="1" applyBorder="1" applyAlignment="1">
      <alignment horizontal="centerContinuous" vertical="center"/>
    </xf>
    <xf numFmtId="0" fontId="75" fillId="0" borderId="0" xfId="0" applyFont="1" applyAlignment="1">
      <alignment vertical="center"/>
    </xf>
    <xf numFmtId="0" fontId="84" fillId="3" borderId="0" xfId="0" applyFont="1" applyFill="1" applyAlignment="1">
      <alignment horizontal="center" vertical="center"/>
    </xf>
    <xf numFmtId="0" fontId="71" fillId="0" borderId="33" xfId="5" applyFont="1" applyBorder="1" applyAlignment="1">
      <alignment vertical="center"/>
    </xf>
    <xf numFmtId="0" fontId="75" fillId="0" borderId="34" xfId="0" applyFont="1" applyBorder="1" applyAlignment="1">
      <alignment vertical="center"/>
    </xf>
    <xf numFmtId="0" fontId="75" fillId="0" borderId="35" xfId="0" applyFont="1" applyBorder="1" applyAlignment="1">
      <alignment vertical="center"/>
    </xf>
    <xf numFmtId="0" fontId="75" fillId="0" borderId="33" xfId="0" applyFont="1" applyBorder="1" applyAlignment="1">
      <alignment vertical="center"/>
    </xf>
    <xf numFmtId="0" fontId="75" fillId="0" borderId="45" xfId="0" applyFont="1" applyBorder="1" applyAlignment="1">
      <alignment vertical="center"/>
    </xf>
    <xf numFmtId="0" fontId="74" fillId="0" borderId="35" xfId="0" applyFont="1" applyBorder="1" applyAlignment="1">
      <alignment horizontal="center" vertical="center"/>
    </xf>
    <xf numFmtId="14" fontId="81" fillId="0" borderId="36" xfId="5" applyNumberFormat="1" applyBorder="1" applyAlignment="1">
      <alignment vertical="center"/>
    </xf>
    <xf numFmtId="0" fontId="75" fillId="0" borderId="43" xfId="0" applyFont="1" applyBorder="1" applyAlignment="1">
      <alignment vertical="center"/>
    </xf>
    <xf numFmtId="0" fontId="75" fillId="0" borderId="46" xfId="0" applyFont="1" applyBorder="1" applyAlignment="1">
      <alignment vertical="center"/>
    </xf>
    <xf numFmtId="0" fontId="75" fillId="0" borderId="36" xfId="0" applyFont="1" applyBorder="1" applyAlignment="1">
      <alignment vertical="center"/>
    </xf>
    <xf numFmtId="0" fontId="75" fillId="0" borderId="47" xfId="0" applyFont="1" applyBorder="1" applyAlignment="1">
      <alignment vertical="center"/>
    </xf>
    <xf numFmtId="0" fontId="75" fillId="0" borderId="38" xfId="0" applyFont="1" applyBorder="1" applyAlignment="1">
      <alignment vertical="center"/>
    </xf>
    <xf numFmtId="44" fontId="75" fillId="0" borderId="35" xfId="1" applyFont="1" applyBorder="1" applyAlignment="1">
      <alignment vertical="center"/>
    </xf>
    <xf numFmtId="0" fontId="85" fillId="0" borderId="36" xfId="0" applyFont="1" applyBorder="1" applyAlignment="1">
      <alignment vertical="center"/>
    </xf>
    <xf numFmtId="43" fontId="75" fillId="0" borderId="38" xfId="4" applyFont="1" applyBorder="1" applyAlignment="1">
      <alignment vertical="center"/>
    </xf>
    <xf numFmtId="170" fontId="75" fillId="0" borderId="38" xfId="2" applyNumberFormat="1" applyFont="1" applyBorder="1" applyAlignment="1">
      <alignment vertical="center"/>
    </xf>
    <xf numFmtId="0" fontId="78" fillId="0" borderId="36" xfId="0" applyFont="1" applyBorder="1" applyAlignment="1">
      <alignment vertical="center"/>
    </xf>
    <xf numFmtId="10" fontId="78" fillId="0" borderId="38" xfId="0" applyNumberFormat="1" applyFont="1" applyBorder="1" applyAlignment="1">
      <alignment vertical="center"/>
    </xf>
    <xf numFmtId="8" fontId="75" fillId="0" borderId="38" xfId="0" applyNumberFormat="1" applyFont="1" applyBorder="1" applyAlignment="1">
      <alignment vertical="center"/>
    </xf>
    <xf numFmtId="9" fontId="75" fillId="0" borderId="38" xfId="0" applyNumberFormat="1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5" fillId="0" borderId="44" xfId="0" applyFont="1" applyBorder="1" applyAlignment="1">
      <alignment vertical="center"/>
    </xf>
    <xf numFmtId="0" fontId="75" fillId="0" borderId="48" xfId="0" applyFont="1" applyBorder="1" applyAlignment="1">
      <alignment vertical="center"/>
    </xf>
    <xf numFmtId="0" fontId="75" fillId="0" borderId="49" xfId="0" applyFont="1" applyBorder="1" applyAlignment="1">
      <alignment vertical="center"/>
    </xf>
    <xf numFmtId="0" fontId="75" fillId="0" borderId="41" xfId="0" applyFont="1" applyBorder="1" applyAlignment="1">
      <alignment vertical="center"/>
    </xf>
    <xf numFmtId="0" fontId="71" fillId="11" borderId="1" xfId="5" applyFont="1" applyFill="1" applyBorder="1" applyAlignment="1">
      <alignment horizontal="center" vertical="center"/>
    </xf>
    <xf numFmtId="0" fontId="71" fillId="11" borderId="50" xfId="5" applyFont="1" applyFill="1" applyBorder="1" applyAlignment="1">
      <alignment horizontal="center" vertical="center"/>
    </xf>
    <xf numFmtId="0" fontId="71" fillId="11" borderId="51" xfId="5" applyFont="1" applyFill="1" applyBorder="1" applyAlignment="1">
      <alignment horizontal="center" vertical="center"/>
    </xf>
    <xf numFmtId="44" fontId="85" fillId="0" borderId="38" xfId="1" applyFont="1" applyFill="1" applyBorder="1" applyAlignment="1">
      <alignment vertical="center"/>
    </xf>
    <xf numFmtId="44" fontId="85" fillId="0" borderId="38" xfId="0" applyNumberFormat="1" applyFont="1" applyBorder="1" applyAlignment="1">
      <alignment vertical="center"/>
    </xf>
    <xf numFmtId="0" fontId="74" fillId="0" borderId="0" xfId="0" applyFont="1" applyAlignment="1">
      <alignment horizontal="center" vertical="center"/>
    </xf>
    <xf numFmtId="0" fontId="75" fillId="13" borderId="53" xfId="0" applyFont="1" applyFill="1" applyBorder="1" applyAlignment="1">
      <alignment vertical="center"/>
    </xf>
    <xf numFmtId="0" fontId="86" fillId="0" borderId="36" xfId="0" applyFont="1" applyBorder="1" applyAlignment="1">
      <alignment vertical="center"/>
    </xf>
    <xf numFmtId="10" fontId="81" fillId="0" borderId="38" xfId="5" applyNumberFormat="1" applyBorder="1"/>
    <xf numFmtId="0" fontId="78" fillId="0" borderId="0" xfId="0" applyFont="1" applyAlignment="1">
      <alignment vertical="center"/>
    </xf>
    <xf numFmtId="10" fontId="75" fillId="0" borderId="38" xfId="0" applyNumberFormat="1" applyFont="1" applyBorder="1" applyAlignment="1">
      <alignment vertical="center"/>
    </xf>
    <xf numFmtId="0" fontId="75" fillId="0" borderId="37" xfId="0" applyFont="1" applyBorder="1" applyAlignment="1">
      <alignment vertical="center"/>
    </xf>
    <xf numFmtId="10" fontId="75" fillId="0" borderId="41" xfId="0" applyNumberFormat="1" applyFont="1" applyBorder="1" applyAlignment="1">
      <alignment vertical="center"/>
    </xf>
    <xf numFmtId="0" fontId="88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171" fontId="75" fillId="13" borderId="57" xfId="0" applyNumberFormat="1" applyFont="1" applyFill="1" applyBorder="1" applyAlignment="1">
      <alignment vertical="center"/>
    </xf>
    <xf numFmtId="44" fontId="75" fillId="13" borderId="48" xfId="1" applyFont="1" applyFill="1" applyBorder="1" applyAlignment="1">
      <alignment vertical="center"/>
    </xf>
    <xf numFmtId="44" fontId="85" fillId="0" borderId="10" xfId="1" applyFont="1" applyBorder="1" applyAlignment="1">
      <alignment vertical="center"/>
    </xf>
    <xf numFmtId="44" fontId="75" fillId="13" borderId="53" xfId="1" applyFont="1" applyFill="1" applyBorder="1" applyAlignment="1">
      <alignment vertical="center"/>
    </xf>
    <xf numFmtId="0" fontId="75" fillId="0" borderId="13" xfId="0" applyFont="1" applyBorder="1" applyAlignment="1">
      <alignment vertical="center"/>
    </xf>
    <xf numFmtId="10" fontId="75" fillId="0" borderId="0" xfId="2" applyNumberFormat="1" applyFont="1" applyAlignment="1">
      <alignment vertical="center"/>
    </xf>
    <xf numFmtId="0" fontId="91" fillId="10" borderId="33" xfId="0" applyFont="1" applyFill="1" applyBorder="1" applyAlignment="1">
      <alignment vertical="center" wrapText="1"/>
    </xf>
    <xf numFmtId="172" fontId="91" fillId="10" borderId="34" xfId="2" applyNumberFormat="1" applyFont="1" applyFill="1" applyBorder="1" applyAlignment="1">
      <alignment horizontal="right" vertical="center"/>
    </xf>
    <xf numFmtId="8" fontId="92" fillId="10" borderId="35" xfId="0" applyNumberFormat="1" applyFont="1" applyFill="1" applyBorder="1" applyAlignment="1">
      <alignment horizontal="right" vertical="center"/>
    </xf>
    <xf numFmtId="0" fontId="91" fillId="10" borderId="36" xfId="0" applyFont="1" applyFill="1" applyBorder="1" applyAlignment="1">
      <alignment vertical="center" wrapText="1"/>
    </xf>
    <xf numFmtId="172" fontId="91" fillId="10" borderId="37" xfId="2" applyNumberFormat="1" applyFont="1" applyFill="1" applyBorder="1" applyAlignment="1">
      <alignment horizontal="right" vertical="center"/>
    </xf>
    <xf numFmtId="44" fontId="92" fillId="10" borderId="38" xfId="1" applyFont="1" applyFill="1" applyBorder="1" applyAlignment="1">
      <alignment horizontal="right" vertical="center"/>
    </xf>
    <xf numFmtId="171" fontId="75" fillId="0" borderId="37" xfId="0" applyNumberFormat="1" applyFont="1" applyBorder="1" applyAlignment="1">
      <alignment vertical="center"/>
    </xf>
    <xf numFmtId="10" fontId="75" fillId="0" borderId="37" xfId="0" applyNumberFormat="1" applyFont="1" applyBorder="1" applyAlignment="1">
      <alignment vertical="center"/>
    </xf>
    <xf numFmtId="171" fontId="75" fillId="0" borderId="38" xfId="0" applyNumberFormat="1" applyFont="1" applyBorder="1" applyAlignment="1">
      <alignment vertical="center"/>
    </xf>
    <xf numFmtId="171" fontId="75" fillId="0" borderId="40" xfId="0" applyNumberFormat="1" applyFont="1" applyBorder="1" applyAlignment="1">
      <alignment vertical="center"/>
    </xf>
    <xf numFmtId="10" fontId="75" fillId="0" borderId="40" xfId="0" applyNumberFormat="1" applyFont="1" applyBorder="1" applyAlignment="1">
      <alignment vertical="center"/>
    </xf>
    <xf numFmtId="171" fontId="75" fillId="0" borderId="41" xfId="0" applyNumberFormat="1" applyFont="1" applyBorder="1" applyAlignment="1">
      <alignment vertical="center"/>
    </xf>
    <xf numFmtId="0" fontId="75" fillId="0" borderId="1" xfId="0" applyFont="1" applyBorder="1" applyAlignment="1">
      <alignment vertical="center"/>
    </xf>
    <xf numFmtId="0" fontId="75" fillId="0" borderId="50" xfId="0" applyFont="1" applyBorder="1" applyAlignment="1">
      <alignment vertical="center"/>
    </xf>
    <xf numFmtId="44" fontId="79" fillId="3" borderId="26" xfId="0" applyNumberFormat="1" applyFont="1" applyFill="1" applyBorder="1" applyAlignment="1">
      <alignment vertical="center"/>
    </xf>
    <xf numFmtId="0" fontId="75" fillId="0" borderId="7" xfId="0" applyFont="1" applyBorder="1" applyAlignment="1">
      <alignment vertical="center"/>
    </xf>
    <xf numFmtId="44" fontId="75" fillId="0" borderId="4" xfId="0" applyNumberFormat="1" applyFont="1" applyBorder="1" applyAlignment="1">
      <alignment vertical="center"/>
    </xf>
    <xf numFmtId="10" fontId="75" fillId="0" borderId="8" xfId="0" applyNumberFormat="1" applyFont="1" applyBorder="1" applyAlignment="1">
      <alignment vertical="center"/>
    </xf>
    <xf numFmtId="44" fontId="75" fillId="0" borderId="9" xfId="0" applyNumberFormat="1" applyFont="1" applyBorder="1" applyAlignment="1">
      <alignment vertical="center"/>
    </xf>
    <xf numFmtId="0" fontId="75" fillId="0" borderId="3" xfId="0" applyFont="1" applyBorder="1" applyAlignment="1">
      <alignment vertical="center"/>
    </xf>
    <xf numFmtId="10" fontId="75" fillId="0" borderId="4" xfId="0" applyNumberFormat="1" applyFont="1" applyBorder="1" applyAlignment="1">
      <alignment vertical="center"/>
    </xf>
    <xf numFmtId="44" fontId="75" fillId="0" borderId="10" xfId="0" applyNumberFormat="1" applyFont="1" applyBorder="1" applyAlignment="1">
      <alignment vertical="center"/>
    </xf>
    <xf numFmtId="171" fontId="76" fillId="10" borderId="4" xfId="0" applyNumberFormat="1" applyFont="1" applyFill="1" applyBorder="1" applyAlignment="1">
      <alignment horizontal="right" vertical="center" wrapText="1" readingOrder="1"/>
    </xf>
    <xf numFmtId="10" fontId="76" fillId="10" borderId="4" xfId="0" applyNumberFormat="1" applyFont="1" applyFill="1" applyBorder="1" applyAlignment="1">
      <alignment horizontal="right" vertical="center" wrapText="1" readingOrder="1"/>
    </xf>
    <xf numFmtId="8" fontId="76" fillId="10" borderId="4" xfId="0" applyNumberFormat="1" applyFont="1" applyFill="1" applyBorder="1" applyAlignment="1">
      <alignment horizontal="right" vertical="center" wrapText="1" readingOrder="1"/>
    </xf>
    <xf numFmtId="0" fontId="74" fillId="0" borderId="15" xfId="0" applyFont="1" applyBorder="1" applyAlignment="1">
      <alignment vertical="center"/>
    </xf>
    <xf numFmtId="44" fontId="75" fillId="0" borderId="13" xfId="0" applyNumberFormat="1" applyFont="1" applyBorder="1" applyAlignment="1">
      <alignment vertical="center"/>
    </xf>
    <xf numFmtId="173" fontId="75" fillId="0" borderId="13" xfId="0" applyNumberFormat="1" applyFont="1" applyBorder="1" applyAlignment="1">
      <alignment vertical="center"/>
    </xf>
    <xf numFmtId="44" fontId="79" fillId="3" borderId="16" xfId="1" applyFont="1" applyFill="1" applyBorder="1" applyAlignment="1">
      <alignment vertical="center"/>
    </xf>
    <xf numFmtId="0" fontId="85" fillId="0" borderId="0" xfId="0" applyFont="1" applyAlignment="1">
      <alignment vertical="center"/>
    </xf>
    <xf numFmtId="0" fontId="85" fillId="0" borderId="7" xfId="0" applyFont="1" applyBorder="1" applyAlignment="1">
      <alignment vertical="center"/>
    </xf>
    <xf numFmtId="0" fontId="85" fillId="0" borderId="8" xfId="0" applyFont="1" applyBorder="1" applyAlignment="1">
      <alignment vertical="center"/>
    </xf>
    <xf numFmtId="8" fontId="85" fillId="0" borderId="9" xfId="1" applyNumberFormat="1" applyFont="1" applyBorder="1" applyAlignment="1">
      <alignment vertical="center"/>
    </xf>
    <xf numFmtId="0" fontId="85" fillId="0" borderId="3" xfId="0" applyFont="1" applyBorder="1" applyAlignment="1">
      <alignment vertical="center"/>
    </xf>
    <xf numFmtId="43" fontId="85" fillId="0" borderId="4" xfId="0" applyNumberFormat="1" applyFont="1" applyBorder="1" applyAlignment="1">
      <alignment vertical="center"/>
    </xf>
    <xf numFmtId="8" fontId="75" fillId="0" borderId="4" xfId="0" applyNumberFormat="1" applyFont="1" applyBorder="1" applyAlignment="1">
      <alignment vertical="center"/>
    </xf>
    <xf numFmtId="44" fontId="85" fillId="0" borderId="4" xfId="0" applyNumberFormat="1" applyFont="1" applyBorder="1" applyAlignment="1">
      <alignment vertical="center"/>
    </xf>
    <xf numFmtId="0" fontId="86" fillId="0" borderId="15" xfId="0" applyFont="1" applyBorder="1" applyAlignment="1">
      <alignment vertical="center"/>
    </xf>
    <xf numFmtId="0" fontId="85" fillId="0" borderId="13" xfId="0" applyFont="1" applyBorder="1" applyAlignment="1">
      <alignment vertical="center"/>
    </xf>
    <xf numFmtId="44" fontId="93" fillId="3" borderId="16" xfId="1" applyFont="1" applyFill="1" applyBorder="1" applyAlignment="1">
      <alignment vertical="center"/>
    </xf>
    <xf numFmtId="8" fontId="75" fillId="0" borderId="0" xfId="0" applyNumberFormat="1" applyFont="1" applyAlignment="1">
      <alignment vertical="center"/>
    </xf>
    <xf numFmtId="44" fontId="75" fillId="0" borderId="38" xfId="1" applyFont="1" applyBorder="1" applyAlignment="1">
      <alignment vertical="center"/>
    </xf>
    <xf numFmtId="44" fontId="75" fillId="0" borderId="41" xfId="1" applyFont="1" applyBorder="1" applyAlignment="1">
      <alignment vertical="center"/>
    </xf>
    <xf numFmtId="0" fontId="13" fillId="8" borderId="3" xfId="0" applyFont="1" applyFill="1" applyBorder="1" applyAlignment="1">
      <alignment horizontal="left" vertical="center"/>
    </xf>
    <xf numFmtId="0" fontId="75" fillId="0" borderId="37" xfId="0" applyFont="1" applyFill="1" applyBorder="1" applyAlignment="1">
      <alignment vertical="center"/>
    </xf>
    <xf numFmtId="44" fontId="75" fillId="0" borderId="37" xfId="1" applyFont="1" applyFill="1" applyBorder="1" applyAlignment="1">
      <alignment vertical="center"/>
    </xf>
    <xf numFmtId="44" fontId="87" fillId="0" borderId="37" xfId="0" applyNumberFormat="1" applyFont="1" applyFill="1" applyBorder="1" applyAlignment="1">
      <alignment vertical="center"/>
    </xf>
    <xf numFmtId="9" fontId="87" fillId="0" borderId="37" xfId="0" applyNumberFormat="1" applyFont="1" applyFill="1" applyBorder="1" applyAlignment="1">
      <alignment vertical="center"/>
    </xf>
    <xf numFmtId="44" fontId="87" fillId="0" borderId="37" xfId="1" applyFont="1" applyFill="1" applyBorder="1" applyAlignment="1">
      <alignment vertical="center"/>
    </xf>
    <xf numFmtId="0" fontId="75" fillId="0" borderId="37" xfId="0" applyFont="1" applyFill="1" applyBorder="1" applyAlignment="1">
      <alignment horizontal="center" vertical="center"/>
    </xf>
    <xf numFmtId="44" fontId="87" fillId="0" borderId="37" xfId="0" applyNumberFormat="1" applyFont="1" applyFill="1" applyBorder="1" applyAlignment="1">
      <alignment horizontal="center" vertical="center"/>
    </xf>
    <xf numFmtId="0" fontId="94" fillId="10" borderId="3" xfId="0" applyFont="1" applyFill="1" applyBorder="1" applyAlignment="1">
      <alignment horizontal="left" vertical="center" wrapText="1" readingOrder="1"/>
    </xf>
    <xf numFmtId="0" fontId="95" fillId="10" borderId="15" xfId="0" applyFont="1" applyFill="1" applyBorder="1" applyAlignment="1">
      <alignment horizontal="left" vertical="center" wrapText="1" readingOrder="1"/>
    </xf>
    <xf numFmtId="44" fontId="94" fillId="10" borderId="10" xfId="0" applyNumberFormat="1" applyFont="1" applyFill="1" applyBorder="1" applyAlignment="1">
      <alignment horizontal="right" vertical="center" wrapText="1" readingOrder="1"/>
    </xf>
    <xf numFmtId="0" fontId="77" fillId="3" borderId="7" xfId="0" applyFont="1" applyFill="1" applyBorder="1" applyAlignment="1">
      <alignment horizontal="left" vertical="center" wrapText="1" readingOrder="1"/>
    </xf>
    <xf numFmtId="0" fontId="75" fillId="0" borderId="4" xfId="0" applyFont="1" applyBorder="1" applyAlignment="1">
      <alignment vertical="center"/>
    </xf>
    <xf numFmtId="0" fontId="74" fillId="0" borderId="8" xfId="0" applyFont="1" applyBorder="1" applyAlignment="1">
      <alignment horizontal="center" vertical="center"/>
    </xf>
    <xf numFmtId="0" fontId="74" fillId="0" borderId="9" xfId="0" applyFont="1" applyBorder="1" applyAlignment="1">
      <alignment horizontal="center" vertical="center"/>
    </xf>
    <xf numFmtId="0" fontId="9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6" fontId="9" fillId="0" borderId="0" xfId="0" applyNumberFormat="1" applyFont="1" applyFill="1" applyBorder="1" applyAlignment="1">
      <alignment vertical="center"/>
    </xf>
    <xf numFmtId="10" fontId="9" fillId="0" borderId="0" xfId="0" applyNumberFormat="1" applyFont="1" applyFill="1" applyBorder="1" applyAlignment="1">
      <alignment vertical="center"/>
    </xf>
    <xf numFmtId="168" fontId="9" fillId="0" borderId="0" xfId="1" applyNumberFormat="1" applyFont="1" applyFill="1" applyBorder="1" applyAlignment="1">
      <alignment vertical="center"/>
    </xf>
    <xf numFmtId="44" fontId="9" fillId="0" borderId="0" xfId="0" applyNumberFormat="1" applyFont="1" applyFill="1" applyAlignment="1">
      <alignment vertical="center"/>
    </xf>
    <xf numFmtId="44" fontId="9" fillId="8" borderId="4" xfId="0" applyNumberFormat="1" applyFont="1" applyFill="1" applyBorder="1" applyAlignment="1">
      <alignment horizontal="right" vertical="center"/>
    </xf>
    <xf numFmtId="10" fontId="9" fillId="0" borderId="0" xfId="0" applyNumberFormat="1" applyFont="1" applyFill="1" applyAlignment="1">
      <alignment vertical="center"/>
    </xf>
    <xf numFmtId="0" fontId="13" fillId="8" borderId="62" xfId="0" applyFont="1" applyFill="1" applyBorder="1" applyAlignment="1">
      <alignment horizontal="justify" vertical="center"/>
    </xf>
    <xf numFmtId="0" fontId="13" fillId="8" borderId="22" xfId="0" applyFont="1" applyFill="1" applyBorder="1" applyAlignment="1">
      <alignment horizontal="justify" vertical="center"/>
    </xf>
    <xf numFmtId="8" fontId="9" fillId="8" borderId="22" xfId="0" applyNumberFormat="1" applyFont="1" applyFill="1" applyBorder="1" applyAlignment="1">
      <alignment vertical="center"/>
    </xf>
    <xf numFmtId="0" fontId="9" fillId="8" borderId="22" xfId="0" applyFont="1" applyFill="1" applyBorder="1" applyAlignment="1">
      <alignment vertical="center"/>
    </xf>
    <xf numFmtId="8" fontId="9" fillId="8" borderId="23" xfId="0" applyNumberFormat="1" applyFont="1" applyFill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0" fontId="13" fillId="0" borderId="64" xfId="0" applyFont="1" applyFill="1" applyBorder="1" applyAlignment="1">
      <alignment vertical="center"/>
    </xf>
    <xf numFmtId="8" fontId="13" fillId="0" borderId="64" xfId="0" applyNumberFormat="1" applyFont="1" applyFill="1" applyBorder="1" applyAlignment="1">
      <alignment vertical="center"/>
    </xf>
    <xf numFmtId="8" fontId="13" fillId="0" borderId="65" xfId="0" applyNumberFormat="1" applyFont="1" applyFill="1" applyBorder="1" applyAlignment="1">
      <alignment vertical="center"/>
    </xf>
    <xf numFmtId="164" fontId="75" fillId="0" borderId="4" xfId="0" applyNumberFormat="1" applyFont="1" applyBorder="1" applyAlignment="1">
      <alignment vertical="center"/>
    </xf>
    <xf numFmtId="44" fontId="94" fillId="10" borderId="10" xfId="1" applyFont="1" applyFill="1" applyBorder="1" applyAlignment="1">
      <alignment horizontal="right" vertical="center" wrapText="1" readingOrder="1"/>
    </xf>
    <xf numFmtId="9" fontId="75" fillId="0" borderId="4" xfId="0" applyNumberFormat="1" applyFont="1" applyBorder="1" applyAlignment="1">
      <alignment vertical="center"/>
    </xf>
    <xf numFmtId="44" fontId="94" fillId="10" borderId="16" xfId="0" applyNumberFormat="1" applyFont="1" applyFill="1" applyBorder="1" applyAlignment="1">
      <alignment horizontal="right" vertical="center" wrapText="1" readingOrder="1"/>
    </xf>
    <xf numFmtId="44" fontId="75" fillId="0" borderId="0" xfId="0" applyNumberFormat="1" applyFont="1" applyAlignment="1">
      <alignment vertical="center"/>
    </xf>
    <xf numFmtId="10" fontId="75" fillId="0" borderId="0" xfId="0" applyNumberFormat="1" applyFont="1" applyAlignment="1">
      <alignment vertical="center"/>
    </xf>
    <xf numFmtId="0" fontId="9" fillId="0" borderId="52" xfId="0" applyFont="1" applyFill="1" applyBorder="1" applyAlignment="1">
      <alignment vertical="center"/>
    </xf>
    <xf numFmtId="0" fontId="77" fillId="3" borderId="67" xfId="0" applyFont="1" applyFill="1" applyBorder="1" applyAlignment="1">
      <alignment horizontal="left" vertical="center" wrapText="1" readingOrder="1"/>
    </xf>
    <xf numFmtId="44" fontId="75" fillId="0" borderId="35" xfId="0" applyNumberFormat="1" applyFont="1" applyBorder="1" applyAlignment="1">
      <alignment vertical="center"/>
    </xf>
    <xf numFmtId="44" fontId="75" fillId="0" borderId="38" xfId="0" applyNumberFormat="1" applyFont="1" applyBorder="1" applyAlignment="1">
      <alignment vertical="center"/>
    </xf>
    <xf numFmtId="44" fontId="75" fillId="0" borderId="41" xfId="0" applyNumberFormat="1" applyFont="1" applyBorder="1" applyAlignment="1">
      <alignment vertical="center"/>
    </xf>
    <xf numFmtId="44" fontId="75" fillId="0" borderId="0" xfId="0" applyNumberFormat="1" applyFont="1" applyAlignment="1">
      <alignment horizontal="center" vertical="center"/>
    </xf>
    <xf numFmtId="0" fontId="77" fillId="3" borderId="33" xfId="0" applyFont="1" applyFill="1" applyBorder="1" applyAlignment="1">
      <alignment horizontal="left" vertical="center" wrapText="1" readingOrder="1"/>
    </xf>
    <xf numFmtId="44" fontId="78" fillId="0" borderId="38" xfId="1" applyFont="1" applyFill="1" applyBorder="1" applyAlignment="1">
      <alignment horizontal="right" vertical="center"/>
    </xf>
    <xf numFmtId="44" fontId="75" fillId="0" borderId="37" xfId="0" applyNumberFormat="1" applyFont="1" applyBorder="1" applyAlignment="1">
      <alignment vertical="center"/>
    </xf>
    <xf numFmtId="0" fontId="75" fillId="0" borderId="40" xfId="0" applyFont="1" applyBorder="1" applyAlignment="1">
      <alignment vertical="center"/>
    </xf>
    <xf numFmtId="44" fontId="74" fillId="0" borderId="41" xfId="1" applyFont="1" applyBorder="1" applyAlignment="1">
      <alignment vertical="center"/>
    </xf>
    <xf numFmtId="6" fontId="9" fillId="0" borderId="61" xfId="0" applyNumberFormat="1" applyFont="1" applyFill="1" applyBorder="1" applyAlignment="1">
      <alignment vertical="center"/>
    </xf>
    <xf numFmtId="168" fontId="9" fillId="0" borderId="41" xfId="1" applyNumberFormat="1" applyFont="1" applyFill="1" applyBorder="1" applyAlignment="1">
      <alignment horizontal="right" vertical="center"/>
    </xf>
    <xf numFmtId="0" fontId="9" fillId="0" borderId="38" xfId="0" applyFont="1" applyFill="1" applyBorder="1" applyAlignment="1">
      <alignment horizontal="center" vertical="center"/>
    </xf>
    <xf numFmtId="8" fontId="98" fillId="10" borderId="66" xfId="0" applyNumberFormat="1" applyFont="1" applyFill="1" applyBorder="1" applyAlignment="1">
      <alignment horizontal="center" vertical="center" wrapText="1"/>
    </xf>
    <xf numFmtId="0" fontId="100" fillId="0" borderId="0" xfId="0" applyFont="1" applyAlignment="1">
      <alignment vertical="center"/>
    </xf>
    <xf numFmtId="0" fontId="92" fillId="10" borderId="66" xfId="0" applyFont="1" applyFill="1" applyBorder="1" applyAlignment="1">
      <alignment vertical="center" wrapText="1"/>
    </xf>
    <xf numFmtId="44" fontId="0" fillId="0" borderId="0" xfId="1" applyFont="1" applyAlignment="1">
      <alignment vertical="center"/>
    </xf>
    <xf numFmtId="0" fontId="99" fillId="0" borderId="0" xfId="0" applyFont="1" applyAlignment="1">
      <alignment vertical="center"/>
    </xf>
    <xf numFmtId="44" fontId="0" fillId="0" borderId="35" xfId="1" applyFont="1" applyBorder="1" applyAlignment="1">
      <alignment vertical="center"/>
    </xf>
    <xf numFmtId="0" fontId="0" fillId="0" borderId="36" xfId="0" applyBorder="1" applyAlignment="1">
      <alignment vertical="center"/>
    </xf>
    <xf numFmtId="44" fontId="0" fillId="0" borderId="38" xfId="1" applyFont="1" applyBorder="1" applyAlignment="1">
      <alignment vertical="center"/>
    </xf>
    <xf numFmtId="0" fontId="0" fillId="0" borderId="39" xfId="0" applyBorder="1" applyAlignment="1">
      <alignment vertical="center"/>
    </xf>
    <xf numFmtId="44" fontId="0" fillId="0" borderId="41" xfId="1" applyFont="1" applyBorder="1" applyAlignment="1">
      <alignment vertical="center"/>
    </xf>
    <xf numFmtId="0" fontId="0" fillId="0" borderId="1" xfId="0" applyBorder="1" applyAlignment="1">
      <alignment vertical="center"/>
    </xf>
    <xf numFmtId="44" fontId="0" fillId="0" borderId="2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44" fontId="0" fillId="0" borderId="56" xfId="1" applyFont="1" applyBorder="1" applyAlignment="1">
      <alignment vertical="center"/>
    </xf>
    <xf numFmtId="8" fontId="0" fillId="0" borderId="38" xfId="1" applyNumberFormat="1" applyFont="1" applyBorder="1" applyAlignment="1">
      <alignment vertical="center"/>
    </xf>
    <xf numFmtId="0" fontId="0" fillId="0" borderId="52" xfId="0" applyBorder="1" applyAlignment="1">
      <alignment vertical="center"/>
    </xf>
    <xf numFmtId="44" fontId="0" fillId="0" borderId="61" xfId="1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1" xfId="0" applyBorder="1" applyAlignment="1">
      <alignment vertical="center"/>
    </xf>
    <xf numFmtId="0" fontId="9" fillId="8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8" fontId="9" fillId="0" borderId="0" xfId="0" applyNumberFormat="1" applyFont="1" applyFill="1" applyBorder="1" applyAlignment="1">
      <alignment horizontal="right" vertical="center"/>
    </xf>
    <xf numFmtId="10" fontId="13" fillId="0" borderId="0" xfId="0" applyNumberFormat="1" applyFont="1" applyFill="1" applyBorder="1" applyAlignment="1">
      <alignment horizontal="center" vertical="center"/>
    </xf>
    <xf numFmtId="7" fontId="9" fillId="0" borderId="0" xfId="0" applyNumberFormat="1" applyFont="1" applyFill="1" applyBorder="1" applyAlignment="1">
      <alignment horizontal="right" vertical="center"/>
    </xf>
    <xf numFmtId="164" fontId="9" fillId="8" borderId="4" xfId="0" applyNumberFormat="1" applyFont="1" applyFill="1" applyBorder="1" applyAlignment="1">
      <alignment horizontal="center" vertical="center"/>
    </xf>
    <xf numFmtId="44" fontId="102" fillId="10" borderId="10" xfId="0" applyNumberFormat="1" applyFont="1" applyFill="1" applyBorder="1" applyAlignment="1">
      <alignment horizontal="right" vertical="center" wrapText="1" readingOrder="1"/>
    </xf>
    <xf numFmtId="0" fontId="0" fillId="0" borderId="70" xfId="0" applyBorder="1" applyAlignment="1">
      <alignment vertical="center"/>
    </xf>
    <xf numFmtId="44" fontId="0" fillId="0" borderId="71" xfId="0" applyNumberFormat="1" applyBorder="1" applyAlignment="1">
      <alignment vertical="center"/>
    </xf>
    <xf numFmtId="0" fontId="0" fillId="0" borderId="72" xfId="0" applyBorder="1" applyAlignment="1">
      <alignment vertical="center"/>
    </xf>
    <xf numFmtId="44" fontId="0" fillId="0" borderId="73" xfId="0" applyNumberFormat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8" fontId="5" fillId="0" borderId="1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justify" vertical="center"/>
    </xf>
    <xf numFmtId="0" fontId="8" fillId="0" borderId="3" xfId="0" applyFont="1" applyFill="1" applyBorder="1" applyAlignment="1">
      <alignment horizontal="justify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justify" vertical="center"/>
    </xf>
    <xf numFmtId="0" fontId="37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8" fontId="5" fillId="0" borderId="11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justify" vertical="center"/>
    </xf>
    <xf numFmtId="0" fontId="18" fillId="0" borderId="20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96" fillId="0" borderId="33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0" fontId="97" fillId="10" borderId="68" xfId="0" applyFont="1" applyFill="1" applyBorder="1" applyAlignment="1">
      <alignment horizontal="left" vertical="center" wrapText="1"/>
    </xf>
    <xf numFmtId="0" fontId="97" fillId="10" borderId="69" xfId="0" applyFont="1" applyFill="1" applyBorder="1" applyAlignment="1">
      <alignment horizontal="left" vertical="center" wrapText="1"/>
    </xf>
    <xf numFmtId="0" fontId="97" fillId="10" borderId="68" xfId="0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horizontal="justify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justify" vertical="center"/>
    </xf>
    <xf numFmtId="0" fontId="9" fillId="0" borderId="55" xfId="0" applyFont="1" applyFill="1" applyBorder="1" applyAlignment="1">
      <alignment horizontal="justify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79" fillId="3" borderId="19" xfId="0" applyFont="1" applyFill="1" applyBorder="1" applyAlignment="1">
      <alignment horizontal="left" vertical="center" wrapText="1" readingOrder="1"/>
    </xf>
    <xf numFmtId="0" fontId="79" fillId="3" borderId="20" xfId="0" applyFont="1" applyFill="1" applyBorder="1" applyAlignment="1">
      <alignment horizontal="left" vertical="center" wrapText="1" readingOrder="1"/>
    </xf>
    <xf numFmtId="0" fontId="79" fillId="3" borderId="21" xfId="0" applyFont="1" applyFill="1" applyBorder="1" applyAlignment="1">
      <alignment horizontal="left" vertical="center" wrapText="1" readingOrder="1"/>
    </xf>
    <xf numFmtId="14" fontId="71" fillId="12" borderId="50" xfId="5" applyNumberFormat="1" applyFont="1" applyFill="1" applyBorder="1" applyAlignment="1" applyProtection="1">
      <alignment horizontal="center" vertical="center"/>
      <protection locked="0"/>
    </xf>
    <xf numFmtId="0" fontId="1" fillId="0" borderId="50" xfId="0" applyFont="1" applyBorder="1" applyAlignment="1">
      <alignment vertical="center"/>
    </xf>
    <xf numFmtId="0" fontId="90" fillId="3" borderId="14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vertical="center"/>
    </xf>
    <xf numFmtId="44" fontId="91" fillId="10" borderId="34" xfId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35" fillId="0" borderId="0" xfId="0" applyFont="1" applyFill="1" applyAlignment="1">
      <alignment horizontal="justify"/>
    </xf>
    <xf numFmtId="0" fontId="37" fillId="0" borderId="0" xfId="0" applyFont="1" applyFill="1" applyAlignment="1"/>
    <xf numFmtId="0" fontId="14" fillId="0" borderId="0" xfId="0" applyFont="1" applyFill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8" fontId="28" fillId="0" borderId="29" xfId="0" applyNumberFormat="1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justify" vertical="center"/>
    </xf>
    <xf numFmtId="0" fontId="23" fillId="0" borderId="3" xfId="0" applyFont="1" applyFill="1" applyBorder="1" applyAlignment="1">
      <alignment horizontal="justify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8" fontId="28" fillId="0" borderId="11" xfId="0" applyNumberFormat="1" applyFont="1" applyBorder="1" applyAlignment="1">
      <alignment horizontal="center" vertical="center"/>
    </xf>
    <xf numFmtId="0" fontId="53" fillId="0" borderId="17" xfId="0" applyFont="1" applyFill="1" applyBorder="1" applyAlignment="1">
      <alignment horizontal="left" vertical="center"/>
    </xf>
    <xf numFmtId="0" fontId="54" fillId="0" borderId="24" xfId="0" applyFont="1" applyBorder="1" applyAlignment="1">
      <alignment vertical="center"/>
    </xf>
    <xf numFmtId="0" fontId="54" fillId="0" borderId="2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8" fontId="7" fillId="3" borderId="31" xfId="0" applyNumberFormat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58" fillId="9" borderId="5" xfId="0" applyFont="1" applyFill="1" applyBorder="1" applyAlignment="1">
      <alignment vertical="center"/>
    </xf>
    <xf numFmtId="0" fontId="59" fillId="9" borderId="5" xfId="0" applyFont="1" applyFill="1" applyBorder="1" applyAlignment="1">
      <alignment vertical="center"/>
    </xf>
    <xf numFmtId="10" fontId="7" fillId="0" borderId="31" xfId="0" applyNumberFormat="1" applyFont="1" applyFill="1" applyBorder="1" applyAlignment="1">
      <alignment horizontal="center" vertical="center"/>
    </xf>
    <xf numFmtId="10" fontId="7" fillId="0" borderId="6" xfId="0" applyNumberFormat="1" applyFont="1" applyFill="1" applyBorder="1" applyAlignment="1">
      <alignment horizontal="center" vertical="center"/>
    </xf>
    <xf numFmtId="10" fontId="8" fillId="3" borderId="31" xfId="0" applyNumberFormat="1" applyFont="1" applyFill="1" applyBorder="1" applyAlignment="1">
      <alignment horizontal="center" vertical="center"/>
    </xf>
    <xf numFmtId="10" fontId="8" fillId="3" borderId="6" xfId="0" applyNumberFormat="1" applyFont="1" applyFill="1" applyBorder="1" applyAlignment="1">
      <alignment horizontal="center" vertical="center"/>
    </xf>
    <xf numFmtId="0" fontId="55" fillId="7" borderId="5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0" fontId="5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distributed"/>
    </xf>
    <xf numFmtId="0" fontId="40" fillId="0" borderId="0" xfId="0" applyFont="1" applyAlignment="1">
      <alignment vertical="distributed"/>
    </xf>
    <xf numFmtId="0" fontId="56" fillId="0" borderId="17" xfId="0" applyFont="1" applyFill="1" applyBorder="1" applyAlignment="1">
      <alignment horizontal="left" vertical="center"/>
    </xf>
    <xf numFmtId="0" fontId="33" fillId="0" borderId="24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56" fillId="0" borderId="5" xfId="0" applyFont="1" applyFill="1" applyBorder="1" applyAlignment="1">
      <alignment horizontal="left" vertical="center"/>
    </xf>
    <xf numFmtId="0" fontId="33" fillId="0" borderId="5" xfId="0" applyFont="1" applyBorder="1" applyAlignment="1">
      <alignment vertical="center"/>
    </xf>
    <xf numFmtId="0" fontId="46" fillId="8" borderId="17" xfId="0" applyFont="1" applyFill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8" fontId="46" fillId="8" borderId="17" xfId="0" applyNumberFormat="1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10" fontId="47" fillId="3" borderId="17" xfId="0" applyNumberFormat="1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10" fontId="43" fillId="3" borderId="17" xfId="0" applyNumberFormat="1" applyFont="1" applyFill="1" applyBorder="1" applyAlignment="1">
      <alignment horizontal="center" vertical="center"/>
    </xf>
    <xf numFmtId="0" fontId="56" fillId="0" borderId="24" xfId="0" applyFont="1" applyFill="1" applyBorder="1" applyAlignment="1">
      <alignment horizontal="left" vertical="center"/>
    </xf>
    <xf numFmtId="8" fontId="47" fillId="3" borderId="31" xfId="0" applyNumberFormat="1" applyFont="1" applyFill="1" applyBorder="1" applyAlignment="1">
      <alignment horizontal="center" vertical="center"/>
    </xf>
    <xf numFmtId="0" fontId="50" fillId="3" borderId="32" xfId="0" applyFont="1" applyFill="1" applyBorder="1" applyAlignment="1">
      <alignment horizontal="center" vertical="center"/>
    </xf>
    <xf numFmtId="0" fontId="50" fillId="3" borderId="6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9" fillId="7" borderId="5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justify" vertical="center"/>
    </xf>
    <xf numFmtId="0" fontId="47" fillId="0" borderId="0" xfId="0" applyFont="1" applyFill="1" applyBorder="1" applyAlignment="1">
      <alignment horizontal="center" vertical="center"/>
    </xf>
    <xf numFmtId="0" fontId="41" fillId="0" borderId="5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56" fillId="0" borderId="5" xfId="0" applyFont="1" applyBorder="1" applyAlignment="1">
      <alignment horizontal="center" vertical="center"/>
    </xf>
    <xf numFmtId="0" fontId="43" fillId="3" borderId="5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vertical="center" wrapText="1"/>
    </xf>
    <xf numFmtId="10" fontId="43" fillId="3" borderId="5" xfId="0" applyNumberFormat="1" applyFont="1" applyFill="1" applyBorder="1" applyAlignment="1">
      <alignment horizontal="center" vertical="center"/>
    </xf>
    <xf numFmtId="0" fontId="50" fillId="3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1" fillId="0" borderId="17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40" fillId="0" borderId="32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3" borderId="6" xfId="0" applyFont="1" applyFill="1" applyBorder="1" applyAlignment="1">
      <alignment horizontal="center" vertical="center"/>
    </xf>
    <xf numFmtId="0" fontId="75" fillId="0" borderId="74" xfId="0" applyFont="1" applyBorder="1" applyAlignment="1">
      <alignment vertical="center"/>
    </xf>
    <xf numFmtId="44" fontId="75" fillId="13" borderId="75" xfId="1" applyFont="1" applyFill="1" applyBorder="1" applyAlignment="1">
      <alignment vertical="center"/>
    </xf>
    <xf numFmtId="44" fontId="75" fillId="13" borderId="76" xfId="1" applyFont="1" applyFill="1" applyBorder="1" applyAlignment="1">
      <alignment vertical="center"/>
    </xf>
    <xf numFmtId="44" fontId="75" fillId="13" borderId="46" xfId="0" applyNumberFormat="1" applyFont="1" applyFill="1" applyBorder="1" applyAlignment="1">
      <alignment vertical="center"/>
    </xf>
    <xf numFmtId="0" fontId="75" fillId="13" borderId="46" xfId="0" applyFont="1" applyFill="1" applyBorder="1" applyAlignment="1">
      <alignment vertical="center"/>
    </xf>
    <xf numFmtId="171" fontId="75" fillId="13" borderId="46" xfId="0" applyNumberFormat="1" applyFont="1" applyFill="1" applyBorder="1" applyAlignment="1">
      <alignment vertical="center"/>
    </xf>
    <xf numFmtId="44" fontId="76" fillId="10" borderId="77" xfId="0" applyNumberFormat="1" applyFont="1" applyFill="1" applyBorder="1" applyAlignment="1">
      <alignment horizontal="left" vertical="center" wrapText="1" readingOrder="1"/>
    </xf>
    <xf numFmtId="0" fontId="65" fillId="4" borderId="33" xfId="5" applyFont="1" applyFill="1" applyBorder="1" applyAlignment="1">
      <alignment horizontal="centerContinuous" vertical="center"/>
    </xf>
    <xf numFmtId="0" fontId="75" fillId="4" borderId="34" xfId="0" applyFont="1" applyFill="1" applyBorder="1" applyAlignment="1">
      <alignment horizontal="centerContinuous" vertical="center"/>
    </xf>
    <xf numFmtId="0" fontId="75" fillId="4" borderId="35" xfId="0" applyFont="1" applyFill="1" applyBorder="1" applyAlignment="1">
      <alignment horizontal="centerContinuous" vertical="center"/>
    </xf>
    <xf numFmtId="0" fontId="71" fillId="0" borderId="36" xfId="5" applyFont="1" applyBorder="1" applyAlignment="1">
      <alignment horizontal="center" vertical="center"/>
    </xf>
    <xf numFmtId="0" fontId="74" fillId="0" borderId="37" xfId="0" applyFont="1" applyBorder="1" applyAlignment="1">
      <alignment horizontal="center" vertical="center"/>
    </xf>
    <xf numFmtId="0" fontId="74" fillId="0" borderId="38" xfId="0" applyFont="1" applyBorder="1" applyAlignment="1">
      <alignment horizontal="center" vertical="center"/>
    </xf>
    <xf numFmtId="2" fontId="75" fillId="0" borderId="37" xfId="0" applyNumberFormat="1" applyFont="1" applyBorder="1" applyAlignment="1">
      <alignment vertical="center"/>
    </xf>
    <xf numFmtId="166" fontId="75" fillId="0" borderId="37" xfId="0" applyNumberFormat="1" applyFont="1" applyBorder="1" applyAlignment="1">
      <alignment horizontal="right" vertical="center"/>
    </xf>
    <xf numFmtId="44" fontId="78" fillId="0" borderId="37" xfId="1" applyFont="1" applyFill="1" applyBorder="1" applyAlignment="1">
      <alignment vertical="center"/>
    </xf>
    <xf numFmtId="44" fontId="78" fillId="0" borderId="38" xfId="1" applyFont="1" applyFill="1" applyBorder="1" applyAlignment="1">
      <alignment vertical="center"/>
    </xf>
    <xf numFmtId="44" fontId="75" fillId="0" borderId="37" xfId="1" applyFont="1" applyBorder="1" applyAlignment="1">
      <alignment vertical="center"/>
    </xf>
    <xf numFmtId="2" fontId="87" fillId="0" borderId="37" xfId="0" applyNumberFormat="1" applyFont="1" applyFill="1" applyBorder="1" applyAlignment="1">
      <alignment vertical="center"/>
    </xf>
    <xf numFmtId="166" fontId="87" fillId="0" borderId="37" xfId="0" applyNumberFormat="1" applyFont="1" applyFill="1" applyBorder="1" applyAlignment="1">
      <alignment horizontal="right" vertical="center"/>
    </xf>
    <xf numFmtId="44" fontId="87" fillId="0" borderId="38" xfId="1" applyFont="1" applyFill="1" applyBorder="1" applyAlignment="1">
      <alignment vertical="center"/>
    </xf>
    <xf numFmtId="2" fontId="75" fillId="0" borderId="37" xfId="0" applyNumberFormat="1" applyFont="1" applyFill="1" applyBorder="1" applyAlignment="1">
      <alignment vertical="center"/>
    </xf>
    <xf numFmtId="166" fontId="75" fillId="0" borderId="37" xfId="0" applyNumberFormat="1" applyFont="1" applyFill="1" applyBorder="1" applyAlignment="1">
      <alignment horizontal="right" vertical="center"/>
    </xf>
    <xf numFmtId="44" fontId="75" fillId="0" borderId="38" xfId="1" applyFont="1" applyFill="1" applyBorder="1" applyAlignment="1">
      <alignment vertical="center"/>
    </xf>
    <xf numFmtId="44" fontId="78" fillId="0" borderId="37" xfId="1" applyFont="1" applyFill="1" applyBorder="1" applyAlignment="1">
      <alignment horizontal="right" vertical="center" wrapText="1"/>
    </xf>
    <xf numFmtId="9" fontId="85" fillId="0" borderId="37" xfId="0" applyNumberFormat="1" applyFont="1" applyFill="1" applyBorder="1" applyAlignment="1">
      <alignment vertical="center"/>
    </xf>
    <xf numFmtId="44" fontId="85" fillId="0" borderId="37" xfId="1" applyFont="1" applyFill="1" applyBorder="1" applyAlignment="1">
      <alignment vertical="center"/>
    </xf>
    <xf numFmtId="44" fontId="85" fillId="0" borderId="36" xfId="1" applyFont="1" applyBorder="1" applyAlignment="1">
      <alignment vertical="center"/>
    </xf>
    <xf numFmtId="9" fontId="85" fillId="0" borderId="37" xfId="0" quotePrefix="1" applyNumberFormat="1" applyFont="1" applyFill="1" applyBorder="1" applyAlignment="1">
      <alignment horizontal="center" vertical="center"/>
    </xf>
    <xf numFmtId="10" fontId="85" fillId="0" borderId="37" xfId="4" applyNumberFormat="1" applyFont="1" applyFill="1" applyBorder="1" applyAlignment="1">
      <alignment vertical="center"/>
    </xf>
    <xf numFmtId="0" fontId="77" fillId="10" borderId="36" xfId="0" applyFont="1" applyFill="1" applyBorder="1" applyAlignment="1">
      <alignment horizontal="left" vertical="center" wrapText="1" readingOrder="1"/>
    </xf>
    <xf numFmtId="0" fontId="76" fillId="10" borderId="41" xfId="0" applyFont="1" applyFill="1" applyBorder="1" applyAlignment="1">
      <alignment horizontal="left" vertical="center" wrapText="1" readingOrder="1"/>
    </xf>
    <xf numFmtId="0" fontId="74" fillId="0" borderId="37" xfId="0" applyFont="1" applyFill="1" applyBorder="1" applyAlignment="1">
      <alignment vertical="center"/>
    </xf>
    <xf numFmtId="44" fontId="74" fillId="0" borderId="37" xfId="1" applyFont="1" applyFill="1" applyBorder="1" applyAlignment="1">
      <alignment vertical="center"/>
    </xf>
    <xf numFmtId="0" fontId="78" fillId="10" borderId="78" xfId="0" applyFont="1" applyFill="1" applyBorder="1" applyAlignment="1">
      <alignment horizontal="right" vertical="center" wrapText="1"/>
    </xf>
    <xf numFmtId="44" fontId="76" fillId="10" borderId="78" xfId="1" applyFont="1" applyFill="1" applyBorder="1" applyAlignment="1">
      <alignment horizontal="left" vertical="center" wrapText="1" readingOrder="1"/>
    </xf>
    <xf numFmtId="0" fontId="76" fillId="10" borderId="79" xfId="0" applyFont="1" applyFill="1" applyBorder="1" applyAlignment="1">
      <alignment horizontal="left" vertical="center" wrapText="1" readingOrder="1"/>
    </xf>
    <xf numFmtId="44" fontId="76" fillId="10" borderId="80" xfId="0" applyNumberFormat="1" applyFont="1" applyFill="1" applyBorder="1" applyAlignment="1">
      <alignment horizontal="left" vertical="center" wrapText="1" readingOrder="1"/>
    </xf>
    <xf numFmtId="0" fontId="77" fillId="4" borderId="81" xfId="0" applyFont="1" applyFill="1" applyBorder="1" applyAlignment="1">
      <alignment horizontal="left" vertical="center" wrapText="1" readingOrder="1"/>
    </xf>
    <xf numFmtId="0" fontId="77" fillId="4" borderId="82" xfId="0" applyFont="1" applyFill="1" applyBorder="1" applyAlignment="1">
      <alignment horizontal="center" vertical="center" wrapText="1" readingOrder="1"/>
    </xf>
    <xf numFmtId="0" fontId="77" fillId="4" borderId="83" xfId="0" applyFont="1" applyFill="1" applyBorder="1" applyAlignment="1">
      <alignment horizontal="center" vertical="center" wrapText="1" readingOrder="1"/>
    </xf>
    <xf numFmtId="0" fontId="77" fillId="8" borderId="84" xfId="0" applyFont="1" applyFill="1" applyBorder="1" applyAlignment="1">
      <alignment horizontal="left" vertical="center" wrapText="1" readingOrder="1"/>
    </xf>
    <xf numFmtId="0" fontId="78" fillId="8" borderId="85" xfId="0" applyFont="1" applyFill="1" applyBorder="1" applyAlignment="1">
      <alignment horizontal="center" vertical="center" wrapText="1"/>
    </xf>
    <xf numFmtId="0" fontId="77" fillId="8" borderId="85" xfId="0" applyFont="1" applyFill="1" applyBorder="1" applyAlignment="1">
      <alignment horizontal="center" vertical="center" wrapText="1" readingOrder="1"/>
    </xf>
    <xf numFmtId="0" fontId="77" fillId="8" borderId="86" xfId="0" applyFont="1" applyFill="1" applyBorder="1" applyAlignment="1">
      <alignment horizontal="center" vertical="center" wrapText="1" readingOrder="1"/>
    </xf>
    <xf numFmtId="0" fontId="76" fillId="8" borderId="84" xfId="0" applyFont="1" applyFill="1" applyBorder="1" applyAlignment="1">
      <alignment horizontal="left" vertical="center" wrapText="1" readingOrder="1"/>
    </xf>
    <xf numFmtId="44" fontId="78" fillId="8" borderId="85" xfId="1" applyFont="1" applyFill="1" applyBorder="1" applyAlignment="1">
      <alignment horizontal="right" vertical="center" wrapText="1"/>
    </xf>
    <xf numFmtId="0" fontId="78" fillId="8" borderId="85" xfId="0" applyFont="1" applyFill="1" applyBorder="1" applyAlignment="1">
      <alignment vertical="center" wrapText="1"/>
    </xf>
    <xf numFmtId="44" fontId="78" fillId="8" borderId="85" xfId="1" applyFont="1" applyFill="1" applyBorder="1" applyAlignment="1">
      <alignment vertical="center" wrapText="1"/>
    </xf>
    <xf numFmtId="10" fontId="76" fillId="8" borderId="85" xfId="1" applyNumberFormat="1" applyFont="1" applyFill="1" applyBorder="1" applyAlignment="1">
      <alignment horizontal="right" vertical="center" wrapText="1" readingOrder="1"/>
    </xf>
    <xf numFmtId="44" fontId="78" fillId="8" borderId="86" xfId="1" applyFont="1" applyFill="1" applyBorder="1" applyAlignment="1">
      <alignment horizontal="right" vertical="center" wrapText="1"/>
    </xf>
    <xf numFmtId="0" fontId="75" fillId="8" borderId="84" xfId="0" applyFont="1" applyFill="1" applyBorder="1" applyAlignment="1">
      <alignment vertical="center"/>
    </xf>
    <xf numFmtId="10" fontId="75" fillId="8" borderId="85" xfId="0" applyNumberFormat="1" applyFont="1" applyFill="1" applyBorder="1" applyAlignment="1">
      <alignment horizontal="center" vertical="center"/>
    </xf>
    <xf numFmtId="44" fontId="76" fillId="8" borderId="85" xfId="1" applyFont="1" applyFill="1" applyBorder="1" applyAlignment="1">
      <alignment horizontal="right" vertical="center" wrapText="1" readingOrder="1"/>
    </xf>
    <xf numFmtId="10" fontId="76" fillId="8" borderId="85" xfId="0" applyNumberFormat="1" applyFont="1" applyFill="1" applyBorder="1" applyAlignment="1">
      <alignment horizontal="center" vertical="center" wrapText="1" readingOrder="1"/>
    </xf>
    <xf numFmtId="0" fontId="75" fillId="8" borderId="85" xfId="0" applyFont="1" applyFill="1" applyBorder="1" applyAlignment="1">
      <alignment vertical="center"/>
    </xf>
    <xf numFmtId="10" fontId="78" fillId="8" borderId="85" xfId="1" applyNumberFormat="1" applyFont="1" applyFill="1" applyBorder="1" applyAlignment="1">
      <alignment horizontal="right" vertical="center" wrapText="1"/>
    </xf>
    <xf numFmtId="0" fontId="80" fillId="8" borderId="86" xfId="0" applyFont="1" applyFill="1" applyBorder="1" applyAlignment="1">
      <alignment horizontal="center" vertical="center" wrapText="1" readingOrder="1"/>
    </xf>
    <xf numFmtId="0" fontId="76" fillId="8" borderId="85" xfId="0" applyFont="1" applyFill="1" applyBorder="1" applyAlignment="1">
      <alignment horizontal="center" vertical="center" wrapText="1" readingOrder="1"/>
    </xf>
    <xf numFmtId="164" fontId="76" fillId="8" borderId="85" xfId="0" applyNumberFormat="1" applyFont="1" applyFill="1" applyBorder="1" applyAlignment="1">
      <alignment horizontal="center" vertical="center" wrapText="1" readingOrder="1"/>
    </xf>
    <xf numFmtId="164" fontId="78" fillId="8" borderId="85" xfId="1" applyNumberFormat="1" applyFont="1" applyFill="1" applyBorder="1" applyAlignment="1">
      <alignment horizontal="right" vertical="center" wrapText="1"/>
    </xf>
    <xf numFmtId="44" fontId="78" fillId="8" borderId="86" xfId="1" applyNumberFormat="1" applyFont="1" applyFill="1" applyBorder="1" applyAlignment="1">
      <alignment horizontal="right" vertical="center" wrapText="1"/>
    </xf>
    <xf numFmtId="8" fontId="78" fillId="8" borderId="86" xfId="1" applyNumberFormat="1" applyFont="1" applyFill="1" applyBorder="1" applyAlignment="1">
      <alignment horizontal="right" vertical="center" wrapText="1"/>
    </xf>
    <xf numFmtId="0" fontId="89" fillId="8" borderId="84" xfId="0" applyFont="1" applyFill="1" applyBorder="1" applyAlignment="1">
      <alignment horizontal="left" vertical="center" wrapText="1" readingOrder="1"/>
    </xf>
    <xf numFmtId="0" fontId="77" fillId="10" borderId="84" xfId="0" applyFont="1" applyFill="1" applyBorder="1" applyAlignment="1">
      <alignment horizontal="left" vertical="center" wrapText="1" readingOrder="1"/>
    </xf>
    <xf numFmtId="10" fontId="76" fillId="10" borderId="85" xfId="0" applyNumberFormat="1" applyFont="1" applyFill="1" applyBorder="1" applyAlignment="1">
      <alignment horizontal="center" vertical="center" wrapText="1" readingOrder="1"/>
    </xf>
    <xf numFmtId="44" fontId="78" fillId="10" borderId="86" xfId="1" applyFont="1" applyFill="1" applyBorder="1" applyAlignment="1">
      <alignment horizontal="right" vertical="center" wrapText="1"/>
    </xf>
    <xf numFmtId="0" fontId="89" fillId="10" borderId="84" xfId="0" applyFont="1" applyFill="1" applyBorder="1" applyAlignment="1">
      <alignment horizontal="left" vertical="center" wrapText="1" readingOrder="1"/>
    </xf>
    <xf numFmtId="44" fontId="78" fillId="10" borderId="85" xfId="1" applyFont="1" applyFill="1" applyBorder="1" applyAlignment="1">
      <alignment horizontal="right" vertical="center" wrapText="1"/>
    </xf>
    <xf numFmtId="44" fontId="76" fillId="10" borderId="85" xfId="1" applyFont="1" applyFill="1" applyBorder="1" applyAlignment="1">
      <alignment horizontal="right" vertical="center" wrapText="1" readingOrder="1"/>
    </xf>
    <xf numFmtId="0" fontId="74" fillId="0" borderId="84" xfId="0" applyFont="1" applyBorder="1" applyAlignment="1">
      <alignment vertical="center"/>
    </xf>
    <xf numFmtId="44" fontId="75" fillId="0" borderId="85" xfId="0" applyNumberFormat="1" applyFont="1" applyBorder="1" applyAlignment="1">
      <alignment vertical="center"/>
    </xf>
    <xf numFmtId="10" fontId="75" fillId="0" borderId="85" xfId="0" applyNumberFormat="1" applyFont="1" applyBorder="1" applyAlignment="1">
      <alignment vertical="center"/>
    </xf>
    <xf numFmtId="0" fontId="75" fillId="0" borderId="85" xfId="0" applyFont="1" applyBorder="1" applyAlignment="1">
      <alignment vertical="center"/>
    </xf>
    <xf numFmtId="8" fontId="75" fillId="0" borderId="86" xfId="0" applyNumberFormat="1" applyFont="1" applyBorder="1" applyAlignment="1">
      <alignment vertical="center"/>
    </xf>
    <xf numFmtId="0" fontId="75" fillId="0" borderId="86" xfId="0" applyFont="1" applyBorder="1" applyAlignment="1">
      <alignment vertical="center"/>
    </xf>
    <xf numFmtId="0" fontId="77" fillId="10" borderId="85" xfId="0" applyFont="1" applyFill="1" applyBorder="1" applyAlignment="1">
      <alignment horizontal="center" vertical="center" wrapText="1" readingOrder="1"/>
    </xf>
    <xf numFmtId="44" fontId="77" fillId="10" borderId="85" xfId="1" applyFont="1" applyFill="1" applyBorder="1" applyAlignment="1">
      <alignment horizontal="right" vertical="center" wrapText="1" readingOrder="1"/>
    </xf>
    <xf numFmtId="44" fontId="77" fillId="10" borderId="86" xfId="1" applyFont="1" applyFill="1" applyBorder="1" applyAlignment="1">
      <alignment horizontal="right" vertical="center" wrapText="1" readingOrder="1"/>
    </xf>
    <xf numFmtId="0" fontId="76" fillId="10" borderId="84" xfId="0" applyFont="1" applyFill="1" applyBorder="1" applyAlignment="1">
      <alignment horizontal="left" vertical="center" wrapText="1" readingOrder="1"/>
    </xf>
    <xf numFmtId="0" fontId="79" fillId="0" borderId="84" xfId="0" applyFont="1" applyFill="1" applyBorder="1" applyAlignment="1">
      <alignment horizontal="left" vertical="center" wrapText="1" readingOrder="1"/>
    </xf>
    <xf numFmtId="44" fontId="76" fillId="0" borderId="85" xfId="1" applyFont="1" applyFill="1" applyBorder="1" applyAlignment="1">
      <alignment horizontal="right" vertical="center" wrapText="1" readingOrder="1"/>
    </xf>
    <xf numFmtId="0" fontId="77" fillId="0" borderId="85" xfId="0" applyFont="1" applyFill="1" applyBorder="1" applyAlignment="1">
      <alignment horizontal="center" vertical="center" wrapText="1" readingOrder="1"/>
    </xf>
    <xf numFmtId="44" fontId="77" fillId="0" borderId="85" xfId="1" applyFont="1" applyFill="1" applyBorder="1" applyAlignment="1">
      <alignment horizontal="right" vertical="center" wrapText="1" readingOrder="1"/>
    </xf>
    <xf numFmtId="44" fontId="80" fillId="0" borderId="86" xfId="1" applyFont="1" applyFill="1" applyBorder="1" applyAlignment="1">
      <alignment horizontal="right" vertical="center" wrapText="1"/>
    </xf>
    <xf numFmtId="0" fontId="77" fillId="0" borderId="84" xfId="0" applyFont="1" applyFill="1" applyBorder="1" applyAlignment="1">
      <alignment horizontal="left" vertical="center" wrapText="1" readingOrder="1"/>
    </xf>
    <xf numFmtId="44" fontId="77" fillId="0" borderId="85" xfId="1" applyFont="1" applyFill="1" applyBorder="1" applyAlignment="1">
      <alignment horizontal="center" vertical="center" wrapText="1" readingOrder="1"/>
    </xf>
    <xf numFmtId="44" fontId="78" fillId="0" borderId="86" xfId="1" applyNumberFormat="1" applyFont="1" applyFill="1" applyBorder="1" applyAlignment="1">
      <alignment horizontal="right" vertical="center" wrapText="1"/>
    </xf>
    <xf numFmtId="44" fontId="77" fillId="0" borderId="84" xfId="1" applyFont="1" applyFill="1" applyBorder="1" applyAlignment="1">
      <alignment horizontal="center" vertical="center" wrapText="1" readingOrder="1"/>
    </xf>
    <xf numFmtId="0" fontId="77" fillId="0" borderId="85" xfId="0" applyFont="1" applyFill="1" applyBorder="1" applyAlignment="1">
      <alignment horizontal="center" vertical="center" readingOrder="1"/>
    </xf>
    <xf numFmtId="44" fontId="77" fillId="0" borderId="86" xfId="1" applyFont="1" applyFill="1" applyBorder="1" applyAlignment="1">
      <alignment horizontal="center" vertical="center" wrapText="1" readingOrder="1"/>
    </xf>
    <xf numFmtId="0" fontId="76" fillId="0" borderId="84" xfId="0" applyFont="1" applyFill="1" applyBorder="1" applyAlignment="1">
      <alignment horizontal="left" vertical="center" wrapText="1" readingOrder="1"/>
    </xf>
    <xf numFmtId="0" fontId="76" fillId="0" borderId="85" xfId="0" applyFont="1" applyFill="1" applyBorder="1" applyAlignment="1">
      <alignment horizontal="center" vertical="center" wrapText="1" readingOrder="1"/>
    </xf>
    <xf numFmtId="44" fontId="77" fillId="0" borderId="85" xfId="0" applyNumberFormat="1" applyFont="1" applyFill="1" applyBorder="1" applyAlignment="1">
      <alignment horizontal="center" vertical="center" wrapText="1" readingOrder="1"/>
    </xf>
    <xf numFmtId="44" fontId="78" fillId="0" borderId="86" xfId="0" applyNumberFormat="1" applyFont="1" applyFill="1" applyBorder="1" applyAlignment="1">
      <alignment horizontal="center" vertical="center" wrapText="1"/>
    </xf>
    <xf numFmtId="44" fontId="76" fillId="0" borderId="85" xfId="0" applyNumberFormat="1" applyFont="1" applyFill="1" applyBorder="1" applyAlignment="1">
      <alignment horizontal="center" vertical="center" wrapText="1" readingOrder="1"/>
    </xf>
    <xf numFmtId="10" fontId="77" fillId="0" borderId="85" xfId="0" applyNumberFormat="1" applyFont="1" applyFill="1" applyBorder="1" applyAlignment="1">
      <alignment horizontal="center" vertical="center" wrapText="1" readingOrder="1"/>
    </xf>
    <xf numFmtId="0" fontId="77" fillId="0" borderId="86" xfId="0" applyFont="1" applyFill="1" applyBorder="1" applyAlignment="1">
      <alignment horizontal="center" vertical="center" wrapText="1" readingOrder="1"/>
    </xf>
    <xf numFmtId="0" fontId="74" fillId="0" borderId="85" xfId="0" applyFont="1" applyFill="1" applyBorder="1" applyAlignment="1">
      <alignment horizontal="center" vertical="center" wrapText="1" readingOrder="1"/>
    </xf>
    <xf numFmtId="0" fontId="82" fillId="0" borderId="87" xfId="5" applyFont="1" applyBorder="1" applyAlignment="1">
      <alignment horizontal="center" vertical="center"/>
    </xf>
    <xf numFmtId="0" fontId="83" fillId="0" borderId="88" xfId="5" applyFont="1" applyBorder="1" applyAlignment="1">
      <alignment horizontal="center" vertical="center"/>
    </xf>
    <xf numFmtId="44" fontId="80" fillId="10" borderId="89" xfId="0" applyNumberFormat="1" applyFont="1" applyFill="1" applyBorder="1" applyAlignment="1">
      <alignment horizontal="center" vertical="center" wrapText="1"/>
    </xf>
    <xf numFmtId="44" fontId="79" fillId="10" borderId="85" xfId="1" applyFont="1" applyFill="1" applyBorder="1" applyAlignment="1">
      <alignment horizontal="right" vertical="center" wrapText="1" readingOrder="1"/>
    </xf>
    <xf numFmtId="169" fontId="75" fillId="0" borderId="0" xfId="0" applyNumberFormat="1" applyFont="1" applyAlignment="1">
      <alignment vertical="center"/>
    </xf>
    <xf numFmtId="0" fontId="103" fillId="10" borderId="40" xfId="0" applyFont="1" applyFill="1" applyBorder="1" applyAlignment="1">
      <alignment horizontal="right" vertical="center" wrapText="1"/>
    </xf>
    <xf numFmtId="44" fontId="104" fillId="10" borderId="40" xfId="1" applyFont="1" applyFill="1" applyBorder="1" applyAlignment="1">
      <alignment horizontal="left" vertical="center" wrapText="1" readingOrder="1"/>
    </xf>
  </cellXfs>
  <cellStyles count="6">
    <cellStyle name="Milliers" xfId="4" builtinId="3"/>
    <cellStyle name="Monétaire" xfId="1" builtinId="4"/>
    <cellStyle name="Normal" xfId="0" builtinId="0"/>
    <cellStyle name="Normal_Fiche de paie TEPA plus 20 salariés" xfId="5" xr:uid="{43545D83-F17E-4FE1-9EBB-7C1A4249E748}"/>
    <cellStyle name="Pourcentage" xfId="2" builtinId="5"/>
    <cellStyle name="Pourcentage 2" xfId="3" xr:uid="{35D2925A-5508-455D-8EB3-B4AF499CF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264583</xdr:colOff>
      <xdr:row>0</xdr:row>
      <xdr:rowOff>127000</xdr:rowOff>
    </xdr:from>
    <xdr:to>
      <xdr:col>6</xdr:col>
      <xdr:colOff>10584</xdr:colOff>
      <xdr:row>3</xdr:row>
      <xdr:rowOff>63500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7C3F272-E9B5-4A9C-95C9-B95611C120BF}"/>
            </a:ext>
          </a:extLst>
        </xdr:cNvPr>
        <xdr:cNvSpPr txBox="1"/>
      </xdr:nvSpPr>
      <xdr:spPr>
        <a:xfrm>
          <a:off x="264583" y="127000"/>
          <a:ext cx="6519334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Salaire brut 4 000 €</a:t>
          </a:r>
        </a:p>
        <a:p>
          <a:r>
            <a:rPr lang="fr-FR" sz="1100" b="1"/>
            <a:t>Effectif : 7 salariés</a:t>
          </a:r>
        </a:p>
        <a:p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232834</xdr:colOff>
      <xdr:row>3</xdr:row>
      <xdr:rowOff>95250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7D652B5-8013-4DF7-A006-3A1B0AE6E0CB}"/>
            </a:ext>
          </a:extLst>
        </xdr:cNvPr>
        <xdr:cNvSpPr txBox="1"/>
      </xdr:nvSpPr>
      <xdr:spPr>
        <a:xfrm>
          <a:off x="0" y="0"/>
          <a:ext cx="6519334" cy="53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Salaire brut 7 000 €</a:t>
          </a:r>
        </a:p>
        <a:p>
          <a:r>
            <a:rPr lang="fr-FR" sz="1100" b="1"/>
            <a:t>Effectif : 60 salariés</a:t>
          </a:r>
        </a:p>
        <a:p>
          <a:endParaRPr lang="fr-F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81491</xdr:colOff>
      <xdr:row>9</xdr:row>
      <xdr:rowOff>41091</xdr:rowOff>
    </xdr:from>
    <xdr:to>
      <xdr:col>3</xdr:col>
      <xdr:colOff>867832</xdr:colOff>
      <xdr:row>13</xdr:row>
      <xdr:rowOff>84666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86BBD64-43EA-41BD-B3FA-71CD58EDEB37}"/>
            </a:ext>
          </a:extLst>
        </xdr:cNvPr>
        <xdr:cNvSpPr txBox="1"/>
      </xdr:nvSpPr>
      <xdr:spPr>
        <a:xfrm>
          <a:off x="81491" y="1965141"/>
          <a:ext cx="4520141" cy="80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accent1"/>
              </a:solidFill>
            </a:rPr>
            <a:t>Calculez les salaires bruts mensuels et décomposez les montants en tranches A et B selon la nouvelle règlementation</a:t>
          </a:r>
        </a:p>
        <a:p>
          <a:endParaRPr lang="fr-FR" sz="1400" b="1">
            <a:solidFill>
              <a:schemeClr val="accent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183967</xdr:rowOff>
    </xdr:from>
    <xdr:to>
      <xdr:col>3</xdr:col>
      <xdr:colOff>354542</xdr:colOff>
      <xdr:row>17</xdr:row>
      <xdr:rowOff>15875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8B73BB8-BF3A-4739-9474-A4AB1F29B7B4}"/>
            </a:ext>
          </a:extLst>
        </xdr:cNvPr>
        <xdr:cNvSpPr txBox="1"/>
      </xdr:nvSpPr>
      <xdr:spPr>
        <a:xfrm>
          <a:off x="0" y="1877300"/>
          <a:ext cx="3487209" cy="15464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solidFill>
                <a:schemeClr val="accent1"/>
              </a:solidFill>
            </a:rPr>
            <a:t>Calculez les salaires bruts mensuels et décomposez les montants en tranches A et B selon la nouvelle règlementation</a:t>
          </a:r>
        </a:p>
        <a:p>
          <a:r>
            <a:rPr lang="fr-FR" sz="1200" b="1">
              <a:solidFill>
                <a:schemeClr val="accent1"/>
              </a:solidFill>
            </a:rPr>
            <a:t>Si</a:t>
          </a:r>
          <a:r>
            <a:rPr lang="fr-FR" sz="1200" b="1" baseline="0">
              <a:solidFill>
                <a:schemeClr val="accent1"/>
              </a:solidFill>
            </a:rPr>
            <a:t> l'entreprise désire bénéficier de la mesure de tolérance et ainsi reporter l'application des nouvelles mesures au 01/07/2018, comment se calculeraient les plafonds mensuels ?</a:t>
          </a:r>
          <a:endParaRPr lang="fr-FR" sz="1200" b="1">
            <a:solidFill>
              <a:schemeClr val="accent1"/>
            </a:solidFill>
          </a:endParaRPr>
        </a:p>
        <a:p>
          <a:endParaRPr lang="fr-FR" sz="1200" b="1">
            <a:solidFill>
              <a:schemeClr val="accent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VIDEO%208%20Le%20salaire%20et%20les%20charges%20sociales%20EXEMPL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CM1V8%20EXERCICE%20ENONCE%20ET%20CORRIG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12 Grille de cotisations"/>
      <sheetName val=" bulletin non-cadre"/>
      <sheetName val=" bulletin simplif non-cadre"/>
    </sheetNames>
    <sheetDataSet>
      <sheetData sheetId="0">
        <row r="9">
          <cell r="D9">
            <v>0.12889999999999999</v>
          </cell>
        </row>
        <row r="10">
          <cell r="C10">
            <v>4.0000000000000001E-3</v>
          </cell>
          <cell r="D10">
            <v>1.9E-2</v>
          </cell>
        </row>
        <row r="22">
          <cell r="C22">
            <v>6.9000000000000006E-2</v>
          </cell>
          <cell r="D22">
            <v>8.5500000000000007E-2</v>
          </cell>
        </row>
      </sheetData>
      <sheetData sheetId="1">
        <row r="39">
          <cell r="D39">
            <v>1819.8308750000001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12 Grille de cotisations"/>
      <sheetName val=" enonce exercice"/>
      <sheetName val="corrigé exercice"/>
      <sheetName val=" bulletin simplif non-cadre"/>
    </sheetNames>
    <sheetDataSet>
      <sheetData sheetId="0"/>
      <sheetData sheetId="1"/>
      <sheetData sheetId="2">
        <row r="13">
          <cell r="E13">
            <v>2.5000000000000001E-2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9616-B213-43C0-98D0-7D9BA0525B45}">
  <dimension ref="A4:Q46"/>
  <sheetViews>
    <sheetView topLeftCell="A13" zoomScale="90" zoomScaleNormal="90" workbookViewId="0">
      <selection activeCell="L19" sqref="L19"/>
    </sheetView>
  </sheetViews>
  <sheetFormatPr baseColWidth="10" defaultRowHeight="18" customHeight="1" x14ac:dyDescent="0.25"/>
  <cols>
    <col min="1" max="1" width="55.7109375" style="16" bestFit="1" customWidth="1"/>
    <col min="2" max="2" width="9.28515625" style="16" bestFit="1" customWidth="1"/>
    <col min="3" max="3" width="7.140625" style="16" bestFit="1" customWidth="1"/>
    <col min="4" max="4" width="11.5703125" style="16" bestFit="1" customWidth="1"/>
    <col min="5" max="5" width="7.85546875" style="16" customWidth="1"/>
    <col min="6" max="6" width="9.85546875" style="16" bestFit="1" customWidth="1"/>
    <col min="7" max="7" width="2.42578125" style="16" customWidth="1"/>
    <col min="8" max="8" width="46.28515625" style="16" customWidth="1"/>
    <col min="9" max="9" width="12" style="16" customWidth="1"/>
    <col min="10" max="10" width="11.42578125" style="16" customWidth="1"/>
    <col min="11" max="11" width="13.42578125" style="16" customWidth="1"/>
    <col min="12" max="12" width="14.5703125" style="16" customWidth="1"/>
    <col min="13" max="13" width="11.42578125" style="16"/>
    <col min="14" max="14" width="26.85546875" style="16" bestFit="1" customWidth="1"/>
    <col min="15" max="15" width="14.28515625" style="16" bestFit="1" customWidth="1"/>
    <col min="16" max="16" width="15" style="16" bestFit="1" customWidth="1"/>
    <col min="17" max="17" width="18" style="16" bestFit="1" customWidth="1"/>
    <col min="18" max="16384" width="11.42578125" style="16"/>
  </cols>
  <sheetData>
    <row r="4" spans="1:17" ht="18" customHeight="1" x14ac:dyDescent="0.25">
      <c r="I4" s="278"/>
    </row>
    <row r="5" spans="1:17" ht="18" customHeight="1" x14ac:dyDescent="0.25">
      <c r="A5" s="599" t="s">
        <v>124</v>
      </c>
      <c r="B5" s="600"/>
      <c r="C5" s="600"/>
      <c r="D5" s="600"/>
      <c r="E5" s="600"/>
      <c r="H5" s="281" t="s">
        <v>119</v>
      </c>
      <c r="I5" s="249"/>
      <c r="J5" s="150"/>
      <c r="K5" s="150"/>
    </row>
    <row r="6" spans="1:17" ht="18" customHeight="1" thickBot="1" x14ac:dyDescent="0.3">
      <c r="J6" s="151"/>
      <c r="K6" s="151"/>
      <c r="L6" s="151"/>
    </row>
    <row r="7" spans="1:17" ht="18" customHeight="1" thickBot="1" x14ac:dyDescent="0.3">
      <c r="A7" s="593"/>
      <c r="B7" s="595" t="s">
        <v>2</v>
      </c>
      <c r="C7" s="595" t="s">
        <v>3</v>
      </c>
      <c r="D7" s="595" t="s">
        <v>4</v>
      </c>
      <c r="E7" s="595" t="s">
        <v>5</v>
      </c>
      <c r="F7" s="597" t="s">
        <v>6</v>
      </c>
      <c r="H7" s="14" t="s">
        <v>1</v>
      </c>
      <c r="I7" s="15">
        <v>4000</v>
      </c>
      <c r="N7" s="322"/>
      <c r="O7" s="323" t="s">
        <v>162</v>
      </c>
      <c r="P7" s="323" t="s">
        <v>139</v>
      </c>
      <c r="Q7" s="324" t="s">
        <v>161</v>
      </c>
    </row>
    <row r="8" spans="1:17" ht="18" customHeight="1" x14ac:dyDescent="0.25">
      <c r="A8" s="594"/>
      <c r="B8" s="596"/>
      <c r="C8" s="596"/>
      <c r="D8" s="596"/>
      <c r="E8" s="596"/>
      <c r="F8" s="598"/>
      <c r="H8" s="593"/>
      <c r="I8" s="595" t="s">
        <v>2</v>
      </c>
      <c r="J8" s="595" t="s">
        <v>71</v>
      </c>
      <c r="K8" s="595" t="s">
        <v>72</v>
      </c>
      <c r="L8" s="597" t="s">
        <v>73</v>
      </c>
      <c r="N8" s="325" t="s">
        <v>151</v>
      </c>
      <c r="O8" s="335" t="s">
        <v>156</v>
      </c>
      <c r="P8" s="326" t="s">
        <v>160</v>
      </c>
      <c r="Q8" s="327"/>
    </row>
    <row r="9" spans="1:17" ht="18" customHeight="1" x14ac:dyDescent="0.25">
      <c r="A9" s="3" t="s">
        <v>50</v>
      </c>
      <c r="B9" s="5">
        <v>4000</v>
      </c>
      <c r="C9" s="19"/>
      <c r="D9" s="5"/>
      <c r="E9" s="19">
        <v>0.13</v>
      </c>
      <c r="F9" s="193">
        <f>+B9*E9</f>
        <v>520</v>
      </c>
      <c r="H9" s="594"/>
      <c r="I9" s="596"/>
      <c r="J9" s="596"/>
      <c r="K9" s="596"/>
      <c r="L9" s="598"/>
      <c r="N9" s="325" t="s">
        <v>152</v>
      </c>
      <c r="O9" s="336" t="s">
        <v>157</v>
      </c>
      <c r="P9" s="326" t="s">
        <v>164</v>
      </c>
      <c r="Q9" s="327" t="s">
        <v>163</v>
      </c>
    </row>
    <row r="10" spans="1:17" ht="18" customHeight="1" x14ac:dyDescent="0.25">
      <c r="A10" s="3" t="s">
        <v>51</v>
      </c>
      <c r="B10" s="5">
        <v>3311</v>
      </c>
      <c r="C10" s="19">
        <v>6.9000000000000006E-2</v>
      </c>
      <c r="D10" s="5">
        <f t="shared" ref="D10:D11" si="0">B10*C10</f>
        <v>228.45900000000003</v>
      </c>
      <c r="E10" s="19">
        <v>8.5500000000000007E-2</v>
      </c>
      <c r="F10" s="193">
        <f t="shared" ref="F10:F16" si="1">+B10*E10</f>
        <v>283.09050000000002</v>
      </c>
      <c r="H10" s="24" t="s">
        <v>23</v>
      </c>
      <c r="I10" s="273"/>
      <c r="J10" s="248"/>
      <c r="K10" s="248"/>
      <c r="L10" s="274"/>
      <c r="N10" s="325" t="s">
        <v>92</v>
      </c>
      <c r="O10" s="335" t="s">
        <v>156</v>
      </c>
      <c r="P10" s="328">
        <v>0.08</v>
      </c>
      <c r="Q10" s="327"/>
    </row>
    <row r="11" spans="1:17" ht="18" customHeight="1" x14ac:dyDescent="0.25">
      <c r="A11" s="3" t="s">
        <v>51</v>
      </c>
      <c r="B11" s="5">
        <v>4000</v>
      </c>
      <c r="C11" s="19">
        <v>4.0000000000000001E-3</v>
      </c>
      <c r="D11" s="5">
        <f t="shared" si="0"/>
        <v>16</v>
      </c>
      <c r="E11" s="19">
        <v>1.9E-2</v>
      </c>
      <c r="F11" s="193">
        <f t="shared" si="1"/>
        <v>76</v>
      </c>
      <c r="H11" s="3" t="s">
        <v>24</v>
      </c>
      <c r="I11" s="5"/>
      <c r="J11" s="19"/>
      <c r="K11" s="5"/>
      <c r="L11" s="193">
        <f>F9</f>
        <v>520</v>
      </c>
      <c r="N11" s="325" t="s">
        <v>153</v>
      </c>
      <c r="O11" s="335" t="s">
        <v>156</v>
      </c>
      <c r="P11" s="328">
        <v>0.01</v>
      </c>
      <c r="Q11" s="329">
        <v>5.4999999999999997E-3</v>
      </c>
    </row>
    <row r="12" spans="1:17" ht="18" customHeight="1" x14ac:dyDescent="0.25">
      <c r="A12" s="3"/>
      <c r="B12" s="5"/>
      <c r="C12" s="21"/>
      <c r="D12" s="22"/>
      <c r="E12" s="152"/>
      <c r="F12" s="193"/>
      <c r="H12" s="3" t="s">
        <v>25</v>
      </c>
      <c r="I12" s="5">
        <v>4000</v>
      </c>
      <c r="J12" s="19">
        <f>C32</f>
        <v>8.5000000000000006E-3</v>
      </c>
      <c r="K12" s="5">
        <f>J12*I12</f>
        <v>34</v>
      </c>
      <c r="L12" s="20">
        <f>F32</f>
        <v>50</v>
      </c>
      <c r="N12" s="330" t="s">
        <v>154</v>
      </c>
      <c r="O12" s="335" t="s">
        <v>158</v>
      </c>
      <c r="P12" s="331">
        <v>4.4999999999999997E-3</v>
      </c>
      <c r="Q12" s="327"/>
    </row>
    <row r="13" spans="1:17" ht="18" customHeight="1" x14ac:dyDescent="0.25">
      <c r="A13" s="3" t="s">
        <v>53</v>
      </c>
      <c r="B13" s="5">
        <v>4000</v>
      </c>
      <c r="C13" s="21"/>
      <c r="D13" s="22"/>
      <c r="E13" s="19">
        <v>3.4500000000000003E-2</v>
      </c>
      <c r="F13" s="193">
        <f t="shared" si="1"/>
        <v>138</v>
      </c>
      <c r="H13" s="3" t="s">
        <v>26</v>
      </c>
      <c r="I13" s="5">
        <v>4000</v>
      </c>
      <c r="J13" s="19">
        <f>C31</f>
        <v>9.4999999999999998E-3</v>
      </c>
      <c r="K13" s="5">
        <f>J13*I13</f>
        <v>38</v>
      </c>
      <c r="L13" s="20">
        <f>F31</f>
        <v>76</v>
      </c>
      <c r="N13" s="325" t="s">
        <v>123</v>
      </c>
      <c r="O13" s="335"/>
      <c r="P13" s="326"/>
      <c r="Q13" s="327"/>
    </row>
    <row r="14" spans="1:17" ht="18" customHeight="1" thickBot="1" x14ac:dyDescent="0.3">
      <c r="A14" s="3" t="s">
        <v>54</v>
      </c>
      <c r="B14" s="5">
        <v>3311</v>
      </c>
      <c r="C14" s="21"/>
      <c r="D14" s="22"/>
      <c r="E14" s="19">
        <v>1E-3</v>
      </c>
      <c r="F14" s="193">
        <f t="shared" si="1"/>
        <v>3.3109999999999999</v>
      </c>
      <c r="H14" s="24" t="s">
        <v>27</v>
      </c>
      <c r="I14" s="5"/>
      <c r="J14" s="21"/>
      <c r="K14" s="5"/>
      <c r="L14" s="193">
        <f>F16</f>
        <v>68</v>
      </c>
      <c r="N14" s="332" t="s">
        <v>155</v>
      </c>
      <c r="O14" s="337" t="s">
        <v>159</v>
      </c>
      <c r="P14" s="333">
        <v>5.2499999999999998E-2</v>
      </c>
      <c r="Q14" s="334">
        <v>3.4500000000000003E-2</v>
      </c>
    </row>
    <row r="15" spans="1:17" ht="18" customHeight="1" x14ac:dyDescent="0.25">
      <c r="A15" s="3" t="s">
        <v>55</v>
      </c>
      <c r="B15" s="5">
        <v>4000</v>
      </c>
      <c r="C15" s="21"/>
      <c r="D15" s="22"/>
      <c r="E15" s="19">
        <v>3.0000000000000001E-3</v>
      </c>
      <c r="F15" s="193">
        <f t="shared" si="1"/>
        <v>12</v>
      </c>
      <c r="H15" s="24" t="s">
        <v>8</v>
      </c>
      <c r="I15" s="5"/>
      <c r="J15" s="21"/>
      <c r="K15" s="5"/>
      <c r="L15" s="20"/>
    </row>
    <row r="16" spans="1:17" ht="18" customHeight="1" x14ac:dyDescent="0.25">
      <c r="A16" s="3" t="s">
        <v>56</v>
      </c>
      <c r="B16" s="5">
        <v>4000</v>
      </c>
      <c r="C16" s="21"/>
      <c r="D16" s="22"/>
      <c r="E16" s="19">
        <v>1.7000000000000001E-2</v>
      </c>
      <c r="F16" s="193">
        <f t="shared" si="1"/>
        <v>68</v>
      </c>
      <c r="H16" s="3" t="s">
        <v>28</v>
      </c>
      <c r="I16" s="5">
        <f>B10</f>
        <v>3311</v>
      </c>
      <c r="J16" s="19">
        <f>C10</f>
        <v>6.9000000000000006E-2</v>
      </c>
      <c r="K16" s="5">
        <f>J16*I16</f>
        <v>228.45900000000003</v>
      </c>
      <c r="L16" s="193">
        <f>F10</f>
        <v>283.09050000000002</v>
      </c>
    </row>
    <row r="17" spans="1:12" ht="18" customHeight="1" x14ac:dyDescent="0.25">
      <c r="A17" s="24" t="s">
        <v>9</v>
      </c>
      <c r="B17" s="5">
        <f>4000*0.9825</f>
        <v>3930</v>
      </c>
      <c r="C17" s="19">
        <v>2.4E-2</v>
      </c>
      <c r="D17" s="5">
        <f t="shared" ref="D17:D19" si="2">B17*C17</f>
        <v>94.320000000000007</v>
      </c>
      <c r="E17" s="21"/>
      <c r="F17" s="153"/>
      <c r="H17" s="3" t="s">
        <v>29</v>
      </c>
      <c r="I17" s="5">
        <v>4000</v>
      </c>
      <c r="J17" s="19">
        <f>C11</f>
        <v>4.0000000000000001E-3</v>
      </c>
      <c r="K17" s="5">
        <f>J17*I17</f>
        <v>16</v>
      </c>
      <c r="L17" s="193">
        <f>F11</f>
        <v>76</v>
      </c>
    </row>
    <row r="18" spans="1:12" ht="18" customHeight="1" x14ac:dyDescent="0.25">
      <c r="A18" s="24" t="s">
        <v>10</v>
      </c>
      <c r="B18" s="5">
        <f t="shared" ref="B18:B19" si="3">4000*0.9825</f>
        <v>3930</v>
      </c>
      <c r="C18" s="19">
        <v>6.8000000000000005E-2</v>
      </c>
      <c r="D18" s="5">
        <f t="shared" si="2"/>
        <v>267.24</v>
      </c>
      <c r="E18" s="21"/>
      <c r="F18" s="153"/>
      <c r="H18" s="3" t="s">
        <v>74</v>
      </c>
      <c r="I18" s="5">
        <f>B27</f>
        <v>3311</v>
      </c>
      <c r="J18" s="23">
        <f>C27+C28</f>
        <v>3.9E-2</v>
      </c>
      <c r="K18" s="5">
        <f>J18*I18</f>
        <v>129.12899999999999</v>
      </c>
      <c r="L18" s="193">
        <f>F27+F28</f>
        <v>193.6935</v>
      </c>
    </row>
    <row r="19" spans="1:12" ht="18" customHeight="1" x14ac:dyDescent="0.25">
      <c r="A19" s="24" t="s">
        <v>11</v>
      </c>
      <c r="B19" s="5">
        <f t="shared" si="3"/>
        <v>3930</v>
      </c>
      <c r="C19" s="19">
        <v>5.0000000000000001E-3</v>
      </c>
      <c r="D19" s="5">
        <f t="shared" si="2"/>
        <v>19.650000000000002</v>
      </c>
      <c r="E19" s="21"/>
      <c r="F19" s="153"/>
      <c r="G19" s="154"/>
      <c r="H19" s="3" t="s">
        <v>75</v>
      </c>
      <c r="I19" s="5">
        <f>B29</f>
        <v>689</v>
      </c>
      <c r="J19" s="23">
        <f>C29+C30</f>
        <v>0.09</v>
      </c>
      <c r="K19" s="5">
        <f>J19*I19</f>
        <v>62.01</v>
      </c>
      <c r="L19" s="20">
        <f>F29+F30</f>
        <v>92.67049999999999</v>
      </c>
    </row>
    <row r="20" spans="1:12" ht="18" customHeight="1" x14ac:dyDescent="0.25">
      <c r="A20" s="3" t="s">
        <v>12</v>
      </c>
      <c r="B20" s="5">
        <v>4000</v>
      </c>
      <c r="C20" s="4"/>
      <c r="D20" s="5"/>
      <c r="E20" s="156">
        <v>1.6000000000000001E-4</v>
      </c>
      <c r="F20" s="193">
        <f>+B20*E20</f>
        <v>0.64</v>
      </c>
      <c r="H20" s="3" t="s">
        <v>34</v>
      </c>
      <c r="I20" s="5"/>
      <c r="J20" s="23"/>
      <c r="K20" s="5"/>
      <c r="L20" s="20"/>
    </row>
    <row r="21" spans="1:12" ht="18" customHeight="1" x14ac:dyDescent="0.25">
      <c r="A21" s="3" t="s">
        <v>92</v>
      </c>
      <c r="B21" s="5"/>
      <c r="C21" s="4"/>
      <c r="D21" s="5"/>
      <c r="E21" s="156"/>
      <c r="F21" s="193"/>
      <c r="H21" s="3"/>
      <c r="I21" s="259"/>
      <c r="J21" s="23"/>
      <c r="K21" s="5"/>
      <c r="L21" s="20"/>
    </row>
    <row r="22" spans="1:12" ht="18" customHeight="1" x14ac:dyDescent="0.25">
      <c r="A22" s="3" t="s">
        <v>123</v>
      </c>
      <c r="B22" s="5"/>
      <c r="C22" s="4"/>
      <c r="D22" s="5"/>
      <c r="E22" s="156"/>
      <c r="F22" s="157"/>
      <c r="H22" s="24" t="s">
        <v>36</v>
      </c>
      <c r="I22" s="5">
        <v>4000</v>
      </c>
      <c r="J22" s="23"/>
      <c r="K22" s="5"/>
      <c r="L22" s="193">
        <f>F13</f>
        <v>138</v>
      </c>
    </row>
    <row r="23" spans="1:12" ht="18" customHeight="1" x14ac:dyDescent="0.25">
      <c r="A23" s="17" t="s">
        <v>14</v>
      </c>
      <c r="B23" s="5"/>
      <c r="C23" s="21"/>
      <c r="D23" s="21"/>
      <c r="E23" s="21"/>
      <c r="F23" s="158"/>
      <c r="H23" s="24" t="s">
        <v>37</v>
      </c>
      <c r="I23" s="5">
        <v>4000</v>
      </c>
      <c r="J23" s="19">
        <f>C24</f>
        <v>9.4999999999999998E-3</v>
      </c>
      <c r="K23" s="5">
        <f>J23*I23</f>
        <v>38</v>
      </c>
      <c r="L23" s="193">
        <f>F24+F25</f>
        <v>168</v>
      </c>
    </row>
    <row r="24" spans="1:12" ht="18" customHeight="1" x14ac:dyDescent="0.25">
      <c r="A24" s="3" t="s">
        <v>58</v>
      </c>
      <c r="B24" s="5">
        <v>4000</v>
      </c>
      <c r="C24" s="19">
        <v>9.4999999999999998E-3</v>
      </c>
      <c r="D24" s="5">
        <f t="shared" ref="D24" si="4">B24*C24</f>
        <v>38</v>
      </c>
      <c r="E24" s="19">
        <v>4.0500000000000001E-2</v>
      </c>
      <c r="F24" s="193">
        <f t="shared" ref="F24:F25" si="5">+B24*E24</f>
        <v>162</v>
      </c>
      <c r="H24" s="24" t="s">
        <v>76</v>
      </c>
      <c r="I24" s="5"/>
      <c r="J24" s="23"/>
      <c r="K24" s="5"/>
      <c r="L24" s="20">
        <f>F12+F14+F15+F20+F21+F37+F38+F39</f>
        <v>65.150999999999996</v>
      </c>
    </row>
    <row r="25" spans="1:12" ht="18" customHeight="1" x14ac:dyDescent="0.25">
      <c r="A25" s="3" t="s">
        <v>59</v>
      </c>
      <c r="B25" s="5">
        <v>4000</v>
      </c>
      <c r="C25" s="21"/>
      <c r="D25" s="22"/>
      <c r="E25" s="19">
        <v>1.5E-3</v>
      </c>
      <c r="F25" s="193">
        <f t="shared" si="5"/>
        <v>6</v>
      </c>
      <c r="H25" s="24" t="s">
        <v>41</v>
      </c>
      <c r="I25" s="155"/>
      <c r="J25" s="23"/>
      <c r="K25" s="5"/>
      <c r="L25" s="20"/>
    </row>
    <row r="26" spans="1:12" ht="18" customHeight="1" x14ac:dyDescent="0.25">
      <c r="A26" s="17" t="s">
        <v>70</v>
      </c>
      <c r="B26" s="5"/>
      <c r="C26" s="21"/>
      <c r="D26" s="22"/>
      <c r="E26" s="21"/>
      <c r="F26" s="153"/>
      <c r="H26" s="24" t="s">
        <v>42</v>
      </c>
      <c r="I26" s="5">
        <f>B17+B33</f>
        <v>4056</v>
      </c>
      <c r="J26" s="19">
        <f>C18</f>
        <v>6.8000000000000005E-2</v>
      </c>
      <c r="K26" s="5">
        <f>J26*I26</f>
        <v>275.80799999999999</v>
      </c>
      <c r="L26" s="153"/>
    </row>
    <row r="27" spans="1:12" ht="18" customHeight="1" x14ac:dyDescent="0.25">
      <c r="A27" s="3" t="s">
        <v>165</v>
      </c>
      <c r="B27" s="5">
        <v>3311</v>
      </c>
      <c r="C27" s="19">
        <v>3.1E-2</v>
      </c>
      <c r="D27" s="5">
        <f>B27*C27</f>
        <v>102.64100000000001</v>
      </c>
      <c r="E27" s="19">
        <v>4.65E-2</v>
      </c>
      <c r="F27" s="193">
        <f t="shared" ref="F27:F32" si="6">+B27*E27</f>
        <v>153.9615</v>
      </c>
      <c r="H27" s="24" t="s">
        <v>43</v>
      </c>
      <c r="I27" s="5">
        <f>I26</f>
        <v>4056</v>
      </c>
      <c r="J27" s="19">
        <f>C33+C35</f>
        <v>2.9000000000000001E-2</v>
      </c>
      <c r="K27" s="5">
        <f>J27*I27</f>
        <v>117.62400000000001</v>
      </c>
      <c r="L27" s="153"/>
    </row>
    <row r="28" spans="1:12" ht="18" customHeight="1" x14ac:dyDescent="0.25">
      <c r="A28" s="3" t="s">
        <v>166</v>
      </c>
      <c r="B28" s="5">
        <v>3311</v>
      </c>
      <c r="C28" s="19">
        <v>8.0000000000000002E-3</v>
      </c>
      <c r="D28" s="5">
        <f t="shared" ref="D28:D31" si="7">B28*C28</f>
        <v>26.488</v>
      </c>
      <c r="E28" s="19">
        <v>1.2E-2</v>
      </c>
      <c r="F28" s="193">
        <f t="shared" si="6"/>
        <v>39.731999999999999</v>
      </c>
      <c r="G28" s="159"/>
      <c r="H28" s="24" t="s">
        <v>44</v>
      </c>
      <c r="I28" s="5"/>
      <c r="J28" s="4"/>
      <c r="K28" s="5"/>
      <c r="L28" s="160">
        <f>F22</f>
        <v>0</v>
      </c>
    </row>
    <row r="29" spans="1:12" ht="18" customHeight="1" x14ac:dyDescent="0.25">
      <c r="A29" s="3" t="s">
        <v>167</v>
      </c>
      <c r="B29" s="5">
        <f>4000-3311</f>
        <v>689</v>
      </c>
      <c r="C29" s="338">
        <v>8.1000000000000003E-2</v>
      </c>
      <c r="D29" s="339">
        <f t="shared" si="7"/>
        <v>55.809000000000005</v>
      </c>
      <c r="E29" s="338">
        <v>0.1215</v>
      </c>
      <c r="F29" s="340">
        <f t="shared" si="6"/>
        <v>83.713499999999996</v>
      </c>
      <c r="G29" s="159"/>
      <c r="H29" s="24"/>
      <c r="I29" s="5"/>
      <c r="J29" s="4"/>
      <c r="K29" s="5"/>
      <c r="L29" s="160"/>
    </row>
    <row r="30" spans="1:12" ht="18" customHeight="1" x14ac:dyDescent="0.25">
      <c r="A30" s="3" t="s">
        <v>168</v>
      </c>
      <c r="B30" s="5">
        <f>4000-3311</f>
        <v>689</v>
      </c>
      <c r="C30" s="338">
        <v>8.9999999999999993E-3</v>
      </c>
      <c r="D30" s="339">
        <f t="shared" si="7"/>
        <v>6.2009999999999996</v>
      </c>
      <c r="E30" s="338">
        <v>1.2999999999999999E-2</v>
      </c>
      <c r="F30" s="340">
        <f t="shared" si="6"/>
        <v>8.956999999999999</v>
      </c>
      <c r="G30" s="159"/>
      <c r="H30" s="24"/>
      <c r="I30" s="5"/>
      <c r="J30" s="4"/>
      <c r="K30" s="5"/>
      <c r="L30" s="160"/>
    </row>
    <row r="31" spans="1:12" ht="18" customHeight="1" x14ac:dyDescent="0.25">
      <c r="A31" s="52" t="s">
        <v>17</v>
      </c>
      <c r="B31" s="5">
        <v>4000</v>
      </c>
      <c r="C31" s="53">
        <v>9.4999999999999998E-3</v>
      </c>
      <c r="D31" s="5">
        <f t="shared" si="7"/>
        <v>38</v>
      </c>
      <c r="E31" s="53">
        <v>1.9E-2</v>
      </c>
      <c r="F31" s="193">
        <f t="shared" si="6"/>
        <v>76</v>
      </c>
      <c r="G31" s="159"/>
      <c r="H31" s="24" t="s">
        <v>45</v>
      </c>
      <c r="I31" s="26"/>
      <c r="J31" s="248"/>
      <c r="K31" s="27">
        <f>SUM(K11:K28)</f>
        <v>939.03000000000009</v>
      </c>
      <c r="L31" s="58">
        <f>SUM(L11:L28)</f>
        <v>1730.6055000000001</v>
      </c>
    </row>
    <row r="32" spans="1:12" ht="18" customHeight="1" x14ac:dyDescent="0.25">
      <c r="A32" s="3" t="s">
        <v>62</v>
      </c>
      <c r="B32" s="5">
        <v>4000</v>
      </c>
      <c r="C32" s="19">
        <v>8.5000000000000006E-3</v>
      </c>
      <c r="D32" s="5">
        <f>B32*C32</f>
        <v>34</v>
      </c>
      <c r="E32" s="19">
        <f>' enonce NC'!E27</f>
        <v>1.2500000000000001E-2</v>
      </c>
      <c r="F32" s="193">
        <f t="shared" si="6"/>
        <v>50</v>
      </c>
      <c r="G32" s="159"/>
      <c r="K32" s="590" t="s">
        <v>46</v>
      </c>
      <c r="L32" s="591"/>
    </row>
    <row r="33" spans="1:12" ht="18" customHeight="1" x14ac:dyDescent="0.25">
      <c r="A33" s="24" t="s">
        <v>63</v>
      </c>
      <c r="B33" s="5">
        <f>F31+F32</f>
        <v>126</v>
      </c>
      <c r="C33" s="19">
        <v>2.4E-2</v>
      </c>
      <c r="D33" s="5">
        <f>C33*B33</f>
        <v>3.024</v>
      </c>
      <c r="E33" s="128"/>
      <c r="F33" s="162"/>
      <c r="G33" s="159"/>
      <c r="J33" s="161"/>
      <c r="K33" s="592">
        <f>I7-K31</f>
        <v>3060.97</v>
      </c>
      <c r="L33" s="591"/>
    </row>
    <row r="34" spans="1:12" ht="23.25" customHeight="1" x14ac:dyDescent="0.25">
      <c r="A34" s="24" t="s">
        <v>64</v>
      </c>
      <c r="B34" s="5">
        <f>B33</f>
        <v>126</v>
      </c>
      <c r="C34" s="19">
        <v>6.8000000000000005E-2</v>
      </c>
      <c r="D34" s="5">
        <f t="shared" ref="D34:D35" si="8">C34*B34</f>
        <v>8.5680000000000014</v>
      </c>
      <c r="E34" s="128"/>
      <c r="F34" s="162"/>
      <c r="H34" s="161"/>
      <c r="I34" s="161"/>
      <c r="J34" s="161"/>
      <c r="K34" s="163" t="s">
        <v>47</v>
      </c>
      <c r="L34" s="163" t="s">
        <v>48</v>
      </c>
    </row>
    <row r="35" spans="1:12" ht="18" customHeight="1" x14ac:dyDescent="0.25">
      <c r="A35" s="24" t="s">
        <v>65</v>
      </c>
      <c r="B35" s="5">
        <f>B34</f>
        <v>126</v>
      </c>
      <c r="C35" s="19">
        <v>5.0000000000000001E-3</v>
      </c>
      <c r="D35" s="5">
        <f t="shared" si="8"/>
        <v>0.63</v>
      </c>
      <c r="E35" s="128"/>
      <c r="F35" s="162"/>
      <c r="H35" s="161"/>
      <c r="I35" s="161"/>
      <c r="J35" s="161"/>
      <c r="K35" s="164">
        <f>I7+L31</f>
        <v>5730.6054999999997</v>
      </c>
      <c r="L35" s="164">
        <f>-L28+(4000*1.8%)</f>
        <v>72.000000000000014</v>
      </c>
    </row>
    <row r="36" spans="1:12" ht="18" customHeight="1" x14ac:dyDescent="0.25">
      <c r="A36" s="17" t="s">
        <v>66</v>
      </c>
      <c r="B36" s="5"/>
      <c r="C36" s="19"/>
      <c r="D36" s="5"/>
      <c r="E36" s="128"/>
      <c r="F36" s="162"/>
      <c r="H36" s="161"/>
      <c r="I36" s="161"/>
      <c r="J36" s="161"/>
      <c r="K36" s="165"/>
      <c r="L36" s="165"/>
    </row>
    <row r="37" spans="1:12" ht="18" customHeight="1" x14ac:dyDescent="0.25">
      <c r="A37" s="3" t="s">
        <v>20</v>
      </c>
      <c r="B37" s="5">
        <v>4000</v>
      </c>
      <c r="C37" s="19"/>
      <c r="D37" s="5"/>
      <c r="E37" s="128">
        <v>6.7999999999999996E-3</v>
      </c>
      <c r="F37" s="193">
        <f t="shared" ref="F37:F38" si="9">+B37*E37</f>
        <v>27.2</v>
      </c>
      <c r="I37" s="155"/>
      <c r="J37" s="161"/>
      <c r="L37" s="165"/>
    </row>
    <row r="38" spans="1:12" ht="18" customHeight="1" x14ac:dyDescent="0.25">
      <c r="A38" s="3" t="s">
        <v>67</v>
      </c>
      <c r="B38" s="5">
        <v>4000</v>
      </c>
      <c r="C38" s="19"/>
      <c r="D38" s="5"/>
      <c r="E38" s="128">
        <v>5.4999999999999997E-3</v>
      </c>
      <c r="F38" s="193">
        <f t="shared" si="9"/>
        <v>22</v>
      </c>
      <c r="H38" s="161"/>
      <c r="I38" s="161"/>
      <c r="J38" s="165"/>
      <c r="K38" s="165"/>
      <c r="L38" s="165"/>
    </row>
    <row r="39" spans="1:12" ht="18" customHeight="1" x14ac:dyDescent="0.25">
      <c r="A39" s="282" t="s">
        <v>135</v>
      </c>
      <c r="B39" s="5"/>
      <c r="C39" s="283"/>
      <c r="D39" s="283"/>
      <c r="E39" s="284"/>
      <c r="F39" s="193"/>
      <c r="H39" s="161"/>
      <c r="I39" s="161"/>
      <c r="J39" s="161"/>
      <c r="K39" s="165"/>
      <c r="L39" s="165"/>
    </row>
    <row r="40" spans="1:12" ht="18" customHeight="1" thickBot="1" x14ac:dyDescent="0.3">
      <c r="A40" s="285"/>
      <c r="B40" s="286"/>
      <c r="C40" s="286"/>
      <c r="D40" s="287">
        <f>SUM(D9:D38)</f>
        <v>939.03</v>
      </c>
      <c r="E40" s="288"/>
      <c r="F40" s="289">
        <f>SUM(F9:F39)</f>
        <v>1730.6055000000003</v>
      </c>
      <c r="I40" s="161"/>
      <c r="L40" s="161"/>
    </row>
    <row r="41" spans="1:12" ht="18" customHeight="1" x14ac:dyDescent="0.25">
      <c r="H41" s="161"/>
      <c r="I41" s="161"/>
      <c r="J41" s="161"/>
      <c r="K41" s="161"/>
      <c r="L41" s="161"/>
    </row>
    <row r="42" spans="1:12" ht="18" customHeight="1" x14ac:dyDescent="0.25">
      <c r="H42" s="161"/>
      <c r="I42" s="161"/>
      <c r="J42" s="161"/>
      <c r="K42" s="161"/>
      <c r="L42" s="161"/>
    </row>
    <row r="43" spans="1:12" ht="18" customHeight="1" x14ac:dyDescent="0.25">
      <c r="H43" s="161"/>
      <c r="I43" s="161"/>
      <c r="J43" s="161"/>
      <c r="K43" s="161"/>
      <c r="L43" s="161"/>
    </row>
    <row r="44" spans="1:12" ht="18" customHeight="1" x14ac:dyDescent="0.25">
      <c r="I44" s="161"/>
    </row>
    <row r="45" spans="1:12" ht="18" customHeight="1" x14ac:dyDescent="0.25">
      <c r="I45" s="161"/>
    </row>
    <row r="46" spans="1:12" ht="18" customHeight="1" x14ac:dyDescent="0.25">
      <c r="I46" s="161"/>
    </row>
  </sheetData>
  <mergeCells count="14">
    <mergeCell ref="F7:F8"/>
    <mergeCell ref="A5:E5"/>
    <mergeCell ref="A7:A8"/>
    <mergeCell ref="B7:B8"/>
    <mergeCell ref="C7:C8"/>
    <mergeCell ref="D7:D8"/>
    <mergeCell ref="E7:E8"/>
    <mergeCell ref="K32:L32"/>
    <mergeCell ref="K33:L33"/>
    <mergeCell ref="H8:H9"/>
    <mergeCell ref="I8:I9"/>
    <mergeCell ref="J8:J9"/>
    <mergeCell ref="K8:K9"/>
    <mergeCell ref="L8:L9"/>
  </mergeCells>
  <pageMargins left="0" right="0" top="0" bottom="0" header="0" footer="0"/>
  <pageSetup paperSize="9" orientation="landscape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9ABB-CC6B-4F58-A35F-5ED7D6531115}">
  <dimension ref="A1:L61"/>
  <sheetViews>
    <sheetView topLeftCell="A36" zoomScale="90" zoomScaleNormal="90" workbookViewId="0">
      <selection activeCell="A63" sqref="A63"/>
    </sheetView>
  </sheetViews>
  <sheetFormatPr baseColWidth="10" defaultRowHeight="12" x14ac:dyDescent="0.25"/>
  <cols>
    <col min="1" max="1" width="56.85546875" style="195" bestFit="1" customWidth="1"/>
    <col min="2" max="2" width="42.42578125" style="195" bestFit="1" customWidth="1"/>
    <col min="3" max="3" width="21.140625" style="195" bestFit="1" customWidth="1"/>
    <col min="4" max="4" width="16.140625" style="195" customWidth="1"/>
    <col min="5" max="5" width="21" style="234" customWidth="1"/>
    <col min="6" max="16384" width="11.42578125" style="195"/>
  </cols>
  <sheetData>
    <row r="1" spans="1:12" ht="15" x14ac:dyDescent="0.25">
      <c r="A1" s="676" t="s">
        <v>113</v>
      </c>
      <c r="B1" s="677"/>
      <c r="C1" s="677"/>
      <c r="D1" s="677"/>
      <c r="E1" s="677"/>
    </row>
    <row r="2" spans="1:12" ht="18" x14ac:dyDescent="0.25">
      <c r="D2" s="196"/>
      <c r="E2" s="197"/>
      <c r="F2" s="198"/>
      <c r="H2" s="199"/>
      <c r="I2" s="200"/>
      <c r="J2" s="200"/>
      <c r="K2" s="200"/>
      <c r="L2" s="201"/>
    </row>
    <row r="3" spans="1:12" ht="24" customHeight="1" thickBot="1" x14ac:dyDescent="0.3">
      <c r="A3" s="202"/>
      <c r="B3" s="203"/>
      <c r="C3" s="204"/>
      <c r="D3" s="205"/>
      <c r="E3" s="206"/>
      <c r="H3" s="201"/>
      <c r="I3" s="201"/>
      <c r="J3" s="207"/>
      <c r="K3" s="207"/>
      <c r="L3" s="207"/>
    </row>
    <row r="4" spans="1:12" ht="18" customHeight="1" thickBot="1" x14ac:dyDescent="0.3">
      <c r="A4" s="694" t="s">
        <v>102</v>
      </c>
      <c r="B4" s="694" t="s">
        <v>103</v>
      </c>
      <c r="C4" s="694" t="s">
        <v>2</v>
      </c>
      <c r="D4" s="694" t="s">
        <v>71</v>
      </c>
      <c r="E4" s="694" t="s">
        <v>101</v>
      </c>
      <c r="H4" s="203"/>
      <c r="I4" s="204"/>
      <c r="J4" s="205"/>
      <c r="K4" s="205"/>
      <c r="L4" s="205"/>
    </row>
    <row r="5" spans="1:12" ht="8.25" customHeight="1" thickBot="1" x14ac:dyDescent="0.3">
      <c r="A5" s="695"/>
      <c r="B5" s="694"/>
      <c r="C5" s="694"/>
      <c r="D5" s="694"/>
      <c r="E5" s="694"/>
      <c r="H5" s="696"/>
      <c r="I5" s="697"/>
      <c r="J5" s="697"/>
      <c r="K5" s="697"/>
      <c r="L5" s="697"/>
    </row>
    <row r="6" spans="1:12" ht="21" customHeight="1" thickBot="1" x14ac:dyDescent="0.3">
      <c r="A6" s="665" t="s">
        <v>23</v>
      </c>
      <c r="B6" s="666"/>
      <c r="C6" s="666"/>
      <c r="D6" s="666"/>
      <c r="E6" s="666"/>
      <c r="H6" s="696"/>
      <c r="I6" s="697"/>
      <c r="J6" s="697"/>
      <c r="K6" s="697"/>
      <c r="L6" s="697"/>
    </row>
    <row r="7" spans="1:12" ht="17.25" customHeight="1" thickBot="1" x14ac:dyDescent="0.3">
      <c r="A7" s="251" t="s">
        <v>24</v>
      </c>
      <c r="B7" s="208" t="s">
        <v>50</v>
      </c>
      <c r="C7" s="209" t="s">
        <v>77</v>
      </c>
      <c r="D7" s="210"/>
      <c r="E7" s="210">
        <v>0.13</v>
      </c>
      <c r="H7" s="696"/>
      <c r="I7" s="697"/>
      <c r="J7" s="697"/>
      <c r="K7" s="697"/>
      <c r="L7" s="697"/>
    </row>
    <row r="8" spans="1:12" ht="17.25" customHeight="1" thickBot="1" x14ac:dyDescent="0.3">
      <c r="A8" s="251" t="s">
        <v>25</v>
      </c>
      <c r="B8" s="212" t="s">
        <v>78</v>
      </c>
      <c r="C8" s="691" t="s">
        <v>79</v>
      </c>
      <c r="D8" s="692"/>
      <c r="E8" s="693"/>
      <c r="H8" s="203"/>
      <c r="I8" s="213"/>
      <c r="J8" s="214"/>
      <c r="K8" s="213"/>
      <c r="L8" s="215"/>
    </row>
    <row r="9" spans="1:12" ht="17.25" customHeight="1" thickBot="1" x14ac:dyDescent="0.3">
      <c r="A9" s="251" t="s">
        <v>26</v>
      </c>
      <c r="B9" s="216" t="s">
        <v>17</v>
      </c>
      <c r="C9" s="691" t="s">
        <v>79</v>
      </c>
      <c r="D9" s="692"/>
      <c r="E9" s="713"/>
      <c r="H9" s="217"/>
      <c r="I9" s="213"/>
      <c r="J9" s="214"/>
      <c r="K9" s="218"/>
      <c r="L9" s="215"/>
    </row>
    <row r="10" spans="1:12" ht="17.25" customHeight="1" thickBot="1" x14ac:dyDescent="0.3">
      <c r="A10" s="698"/>
      <c r="B10" s="699"/>
      <c r="C10" s="699"/>
      <c r="D10" s="699"/>
      <c r="E10" s="699"/>
      <c r="H10" s="211"/>
      <c r="I10" s="213"/>
      <c r="J10" s="219"/>
      <c r="K10" s="220"/>
      <c r="L10" s="215"/>
    </row>
    <row r="11" spans="1:12" ht="17.25" customHeight="1" thickBot="1" x14ac:dyDescent="0.3">
      <c r="A11" s="251" t="s">
        <v>27</v>
      </c>
      <c r="B11" s="208" t="s">
        <v>56</v>
      </c>
      <c r="C11" s="209" t="s">
        <v>77</v>
      </c>
      <c r="D11" s="221"/>
      <c r="E11" s="210" t="s">
        <v>81</v>
      </c>
      <c r="H11" s="211"/>
      <c r="I11" s="213"/>
      <c r="J11" s="219"/>
      <c r="K11" s="220"/>
      <c r="L11" s="215"/>
    </row>
    <row r="12" spans="1:12" ht="17.25" customHeight="1" thickBot="1" x14ac:dyDescent="0.3">
      <c r="A12" s="698"/>
      <c r="B12" s="699"/>
      <c r="C12" s="699"/>
      <c r="D12" s="699"/>
      <c r="E12" s="699"/>
      <c r="H12" s="203"/>
      <c r="I12" s="213"/>
      <c r="J12" s="214"/>
      <c r="K12" s="213"/>
      <c r="L12" s="215"/>
    </row>
    <row r="13" spans="1:12" ht="17.25" customHeight="1" thickBot="1" x14ac:dyDescent="0.3">
      <c r="A13" s="665" t="s">
        <v>8</v>
      </c>
      <c r="B13" s="666"/>
      <c r="C13" s="666"/>
      <c r="D13" s="666"/>
      <c r="E13" s="666"/>
      <c r="H13" s="203"/>
      <c r="I13" s="203"/>
      <c r="J13" s="203"/>
      <c r="K13" s="203"/>
      <c r="L13" s="203"/>
    </row>
    <row r="14" spans="1:12" ht="17.25" customHeight="1" thickBot="1" x14ac:dyDescent="0.3">
      <c r="A14" s="251" t="s">
        <v>28</v>
      </c>
      <c r="B14" s="208" t="s">
        <v>82</v>
      </c>
      <c r="C14" s="222" t="s">
        <v>80</v>
      </c>
      <c r="D14" s="210">
        <v>6.9000000000000006E-2</v>
      </c>
      <c r="E14" s="210">
        <v>8.5500000000000007E-2</v>
      </c>
      <c r="H14" s="203"/>
      <c r="I14" s="203"/>
      <c r="J14" s="203"/>
      <c r="K14" s="203"/>
      <c r="L14" s="203"/>
    </row>
    <row r="15" spans="1:12" ht="17.25" customHeight="1" thickBot="1" x14ac:dyDescent="0.3">
      <c r="A15" s="251" t="s">
        <v>29</v>
      </c>
      <c r="B15" s="208" t="s">
        <v>83</v>
      </c>
      <c r="C15" s="209" t="s">
        <v>77</v>
      </c>
      <c r="D15" s="210">
        <v>4.0000000000000001E-3</v>
      </c>
      <c r="E15" s="210">
        <v>1.9E-2</v>
      </c>
      <c r="H15" s="203"/>
      <c r="I15" s="203"/>
      <c r="J15" s="203"/>
      <c r="K15" s="203"/>
      <c r="L15" s="203"/>
    </row>
    <row r="16" spans="1:12" ht="17.25" customHeight="1" thickBot="1" x14ac:dyDescent="0.3">
      <c r="A16" s="678" t="s">
        <v>30</v>
      </c>
      <c r="B16" s="223" t="s">
        <v>94</v>
      </c>
      <c r="C16" s="224" t="s">
        <v>80</v>
      </c>
      <c r="D16" s="225">
        <v>3.1E-2</v>
      </c>
      <c r="E16" s="226">
        <v>4.65E-2</v>
      </c>
      <c r="J16" s="203"/>
      <c r="K16" s="203"/>
      <c r="L16" s="203"/>
    </row>
    <row r="17" spans="1:12" ht="17.25" customHeight="1" thickBot="1" x14ac:dyDescent="0.3">
      <c r="A17" s="679"/>
      <c r="B17" s="223" t="s">
        <v>61</v>
      </c>
      <c r="C17" s="224" t="s">
        <v>80</v>
      </c>
      <c r="D17" s="225">
        <v>8.0000000000000002E-3</v>
      </c>
      <c r="E17" s="226">
        <v>1.2E-2</v>
      </c>
      <c r="J17" s="203"/>
      <c r="K17" s="203"/>
      <c r="L17" s="203"/>
    </row>
    <row r="18" spans="1:12" ht="17.25" customHeight="1" thickBot="1" x14ac:dyDescent="0.3">
      <c r="A18" s="679"/>
      <c r="B18" s="223" t="s">
        <v>111</v>
      </c>
      <c r="C18" s="224" t="s">
        <v>80</v>
      </c>
      <c r="D18" s="225">
        <v>1.2999999999999999E-3</v>
      </c>
      <c r="E18" s="226">
        <v>2.2000000000000001E-3</v>
      </c>
      <c r="J18" s="203"/>
      <c r="K18" s="203"/>
      <c r="L18" s="203"/>
    </row>
    <row r="19" spans="1:12" ht="17.25" customHeight="1" thickBot="1" x14ac:dyDescent="0.3">
      <c r="A19" s="680"/>
      <c r="B19" s="227" t="s">
        <v>112</v>
      </c>
      <c r="C19" s="224"/>
      <c r="D19" s="210">
        <f>SUM(D16:D18)</f>
        <v>4.0300000000000002E-2</v>
      </c>
      <c r="E19" s="228">
        <f>SUM(E16:E18)</f>
        <v>6.0699999999999997E-2</v>
      </c>
      <c r="J19" s="203"/>
      <c r="K19" s="203"/>
      <c r="L19" s="203"/>
    </row>
    <row r="20" spans="1:12" ht="17.25" customHeight="1" thickBot="1" x14ac:dyDescent="0.3">
      <c r="A20" s="681" t="s">
        <v>31</v>
      </c>
      <c r="B20" s="683" t="s">
        <v>107</v>
      </c>
      <c r="C20" s="685"/>
      <c r="D20" s="687">
        <v>7.8E-2</v>
      </c>
      <c r="E20" s="689">
        <v>0.1275</v>
      </c>
      <c r="J20" s="203"/>
      <c r="K20" s="203"/>
      <c r="L20" s="203"/>
    </row>
    <row r="21" spans="1:12" ht="17.25" customHeight="1" thickBot="1" x14ac:dyDescent="0.3">
      <c r="A21" s="682"/>
      <c r="B21" s="684"/>
      <c r="C21" s="686"/>
      <c r="D21" s="688"/>
      <c r="E21" s="688"/>
      <c r="J21" s="203"/>
      <c r="K21" s="203"/>
      <c r="L21" s="203"/>
    </row>
    <row r="22" spans="1:12" ht="17.25" customHeight="1" thickBot="1" x14ac:dyDescent="0.3">
      <c r="A22" s="678" t="s">
        <v>32</v>
      </c>
      <c r="B22" s="223" t="s">
        <v>108</v>
      </c>
      <c r="C22" s="224" t="s">
        <v>109</v>
      </c>
      <c r="D22" s="225">
        <v>7.8E-2</v>
      </c>
      <c r="E22" s="226">
        <v>0.1275</v>
      </c>
      <c r="J22" s="203"/>
      <c r="K22" s="203"/>
      <c r="L22" s="203"/>
    </row>
    <row r="23" spans="1:12" ht="17.25" customHeight="1" thickBot="1" x14ac:dyDescent="0.3">
      <c r="A23" s="690"/>
      <c r="B23" s="223" t="s">
        <v>110</v>
      </c>
      <c r="C23" s="224" t="s">
        <v>109</v>
      </c>
      <c r="D23" s="225">
        <v>8.9999999999999993E-3</v>
      </c>
      <c r="E23" s="226">
        <v>1.2999999999999999E-2</v>
      </c>
      <c r="H23" s="203"/>
      <c r="I23" s="203"/>
      <c r="J23" s="203"/>
      <c r="K23" s="203"/>
      <c r="L23" s="203"/>
    </row>
    <row r="24" spans="1:12" ht="17.25" customHeight="1" thickBot="1" x14ac:dyDescent="0.3">
      <c r="A24" s="679"/>
      <c r="B24" s="223" t="s">
        <v>111</v>
      </c>
      <c r="C24" s="224" t="s">
        <v>109</v>
      </c>
      <c r="D24" s="225">
        <v>1.2999999999999999E-3</v>
      </c>
      <c r="E24" s="226">
        <v>2.2000000000000001E-3</v>
      </c>
      <c r="H24" s="203"/>
      <c r="I24" s="203"/>
      <c r="J24" s="203"/>
      <c r="K24" s="203"/>
      <c r="L24" s="203"/>
    </row>
    <row r="25" spans="1:12" ht="17.25" customHeight="1" thickBot="1" x14ac:dyDescent="0.3">
      <c r="A25" s="680"/>
      <c r="B25" s="227" t="s">
        <v>112</v>
      </c>
      <c r="C25" s="224"/>
      <c r="D25" s="210">
        <f>SUM(D22:D24)</f>
        <v>8.829999999999999E-2</v>
      </c>
      <c r="E25" s="228">
        <f>SUM(E22:E24)</f>
        <v>0.14270000000000002</v>
      </c>
      <c r="H25" s="203"/>
      <c r="I25" s="203"/>
      <c r="J25" s="203"/>
      <c r="K25" s="203"/>
      <c r="L25" s="203"/>
    </row>
    <row r="26" spans="1:12" ht="17.25" customHeight="1" thickBot="1" x14ac:dyDescent="0.3">
      <c r="A26" s="251" t="s">
        <v>34</v>
      </c>
      <c r="B26" s="223"/>
      <c r="C26" s="224"/>
      <c r="D26" s="225"/>
      <c r="E26" s="226"/>
      <c r="H26" s="203"/>
      <c r="I26" s="203"/>
      <c r="J26" s="203"/>
      <c r="K26" s="203"/>
      <c r="L26" s="203"/>
    </row>
    <row r="27" spans="1:12" ht="17.25" customHeight="1" thickBot="1" x14ac:dyDescent="0.3">
      <c r="A27" s="212"/>
      <c r="B27" s="212"/>
      <c r="C27" s="230"/>
      <c r="D27" s="231"/>
      <c r="E27" s="209"/>
      <c r="H27" s="232"/>
      <c r="I27" s="232"/>
      <c r="J27" s="232"/>
      <c r="K27" s="232"/>
      <c r="L27" s="232"/>
    </row>
    <row r="28" spans="1:12" ht="17.25" customHeight="1" thickBot="1" x14ac:dyDescent="0.3">
      <c r="A28" s="251" t="s">
        <v>36</v>
      </c>
      <c r="B28" s="208" t="s">
        <v>53</v>
      </c>
      <c r="C28" s="212"/>
      <c r="D28" s="212"/>
      <c r="E28" s="233" t="s">
        <v>85</v>
      </c>
      <c r="H28" s="232"/>
      <c r="I28" s="232"/>
      <c r="J28" s="232"/>
      <c r="K28" s="232"/>
      <c r="L28" s="232"/>
    </row>
    <row r="29" spans="1:12" ht="21.75" customHeight="1" thickBot="1" x14ac:dyDescent="0.3">
      <c r="A29" s="212"/>
    </row>
    <row r="30" spans="1:12" ht="17.25" customHeight="1" thickBot="1" x14ac:dyDescent="0.3">
      <c r="A30" s="678" t="s">
        <v>37</v>
      </c>
      <c r="B30" s="208" t="s">
        <v>86</v>
      </c>
      <c r="C30" s="209" t="s">
        <v>87</v>
      </c>
      <c r="D30" s="235">
        <v>9.4999999999999998E-3</v>
      </c>
      <c r="E30" s="226">
        <v>4.0500000000000001E-2</v>
      </c>
    </row>
    <row r="31" spans="1:12" ht="17.25" customHeight="1" thickBot="1" x14ac:dyDescent="0.3">
      <c r="A31" s="679"/>
      <c r="B31" s="212" t="s">
        <v>59</v>
      </c>
      <c r="C31" s="209" t="s">
        <v>87</v>
      </c>
      <c r="D31" s="212"/>
      <c r="E31" s="226">
        <v>1.5E-3</v>
      </c>
    </row>
    <row r="32" spans="1:12" ht="17.25" customHeight="1" thickBot="1" x14ac:dyDescent="0.3">
      <c r="A32" s="680"/>
      <c r="B32" s="227" t="s">
        <v>112</v>
      </c>
      <c r="C32" s="209"/>
      <c r="D32" s="212"/>
      <c r="E32" s="228">
        <v>4.2000000000000003E-2</v>
      </c>
    </row>
    <row r="33" spans="1:5" ht="17.25" customHeight="1" thickBot="1" x14ac:dyDescent="0.3">
      <c r="A33" s="268"/>
      <c r="B33" s="265"/>
      <c r="C33" s="266"/>
      <c r="D33" s="202"/>
      <c r="E33" s="267"/>
    </row>
    <row r="34" spans="1:5" ht="17.25" customHeight="1" thickBot="1" x14ac:dyDescent="0.3">
      <c r="A34" s="270" t="s">
        <v>38</v>
      </c>
      <c r="B34" s="227"/>
      <c r="C34" s="209" t="s">
        <v>87</v>
      </c>
      <c r="D34" s="271">
        <v>2.4000000000000001E-4</v>
      </c>
      <c r="E34" s="272">
        <v>3.6000000000000002E-4</v>
      </c>
    </row>
    <row r="35" spans="1:5" ht="17.25" customHeight="1" thickBot="1" x14ac:dyDescent="0.3">
      <c r="A35" s="269"/>
    </row>
    <row r="36" spans="1:5" ht="17.25" customHeight="1" thickBot="1" x14ac:dyDescent="0.3">
      <c r="A36" s="678" t="s">
        <v>76</v>
      </c>
      <c r="B36" s="208" t="s">
        <v>52</v>
      </c>
      <c r="C36" s="209" t="s">
        <v>88</v>
      </c>
      <c r="D36" s="231"/>
      <c r="E36" s="209" t="s">
        <v>81</v>
      </c>
    </row>
    <row r="37" spans="1:5" ht="17.25" customHeight="1" thickBot="1" x14ac:dyDescent="0.3">
      <c r="A37" s="679"/>
      <c r="B37" s="208" t="s">
        <v>54</v>
      </c>
      <c r="C37" s="222" t="s">
        <v>89</v>
      </c>
      <c r="D37" s="212"/>
      <c r="E37" s="222" t="s">
        <v>90</v>
      </c>
    </row>
    <row r="38" spans="1:5" ht="23.25" customHeight="1" thickBot="1" x14ac:dyDescent="0.3">
      <c r="A38" s="679"/>
      <c r="B38" s="208" t="s">
        <v>55</v>
      </c>
      <c r="C38" s="209" t="s">
        <v>88</v>
      </c>
      <c r="D38" s="212"/>
      <c r="E38" s="226">
        <v>3.0000000000000001E-3</v>
      </c>
    </row>
    <row r="39" spans="1:5" ht="17.25" customHeight="1" thickBot="1" x14ac:dyDescent="0.3">
      <c r="A39" s="679"/>
      <c r="B39" s="208" t="s">
        <v>12</v>
      </c>
      <c r="C39" s="222" t="s">
        <v>88</v>
      </c>
      <c r="D39" s="212"/>
      <c r="E39" s="236">
        <v>1.6000000000000001E-4</v>
      </c>
    </row>
    <row r="40" spans="1:5" ht="17.25" customHeight="1" thickBot="1" x14ac:dyDescent="0.3">
      <c r="A40" s="679"/>
      <c r="B40" s="208" t="s">
        <v>20</v>
      </c>
      <c r="C40" s="212"/>
      <c r="D40" s="212"/>
      <c r="E40" s="226">
        <v>6.7999999999999996E-3</v>
      </c>
    </row>
    <row r="41" spans="1:5" ht="17.25" customHeight="1" thickBot="1" x14ac:dyDescent="0.3">
      <c r="A41" s="679"/>
      <c r="B41" s="208" t="s">
        <v>67</v>
      </c>
      <c r="C41" s="212"/>
      <c r="D41" s="212"/>
      <c r="E41" s="222" t="s">
        <v>91</v>
      </c>
    </row>
    <row r="42" spans="1:5" ht="17.25" customHeight="1" thickBot="1" x14ac:dyDescent="0.3">
      <c r="A42" s="679"/>
      <c r="B42" s="212" t="s">
        <v>97</v>
      </c>
      <c r="C42" s="212"/>
      <c r="D42" s="212"/>
      <c r="E42" s="226">
        <v>4.4999999999999997E-3</v>
      </c>
    </row>
    <row r="43" spans="1:5" ht="23.25" customHeight="1" thickBot="1" x14ac:dyDescent="0.3">
      <c r="A43" s="679"/>
      <c r="B43" s="212" t="s">
        <v>92</v>
      </c>
      <c r="C43" s="237" t="s">
        <v>93</v>
      </c>
      <c r="D43" s="212"/>
      <c r="E43" s="226">
        <v>8.0000000000000002E-3</v>
      </c>
    </row>
    <row r="44" spans="1:5" ht="23.25" customHeight="1" thickBot="1" x14ac:dyDescent="0.3">
      <c r="A44" s="680"/>
      <c r="B44" s="227" t="s">
        <v>112</v>
      </c>
      <c r="D44" s="212"/>
      <c r="E44" s="238" t="s">
        <v>114</v>
      </c>
    </row>
    <row r="45" spans="1:5" ht="17.25" customHeight="1" thickBot="1" x14ac:dyDescent="0.3">
      <c r="A45" s="212"/>
      <c r="B45" s="229"/>
      <c r="C45" s="229"/>
      <c r="D45" s="229"/>
      <c r="E45" s="239"/>
    </row>
    <row r="46" spans="1:5" ht="21" customHeight="1" thickBot="1" x14ac:dyDescent="0.3">
      <c r="A46" s="251" t="s">
        <v>41</v>
      </c>
      <c r="B46" s="698"/>
      <c r="C46" s="699"/>
      <c r="D46" s="699"/>
      <c r="E46" s="699"/>
    </row>
    <row r="47" spans="1:5" ht="18" customHeight="1" thickBot="1" x14ac:dyDescent="0.3">
      <c r="A47" s="212"/>
      <c r="B47" s="229"/>
      <c r="C47" s="229"/>
      <c r="D47" s="229"/>
      <c r="E47" s="239"/>
    </row>
    <row r="48" spans="1:5" ht="18" customHeight="1" thickBot="1" x14ac:dyDescent="0.3">
      <c r="A48" s="251" t="s">
        <v>42</v>
      </c>
      <c r="B48" s="708"/>
      <c r="C48" s="703" t="s">
        <v>98</v>
      </c>
      <c r="D48" s="704">
        <v>6.8000000000000005E-2</v>
      </c>
      <c r="E48" s="706"/>
    </row>
    <row r="49" spans="1:5" ht="18" customHeight="1" thickBot="1" x14ac:dyDescent="0.3">
      <c r="A49" s="212"/>
      <c r="B49" s="709"/>
      <c r="C49" s="699"/>
      <c r="D49" s="705"/>
      <c r="E49" s="707"/>
    </row>
    <row r="50" spans="1:5" ht="18" customHeight="1" thickBot="1" x14ac:dyDescent="0.3">
      <c r="A50" s="710"/>
      <c r="B50" s="711"/>
      <c r="C50" s="711"/>
      <c r="D50" s="711"/>
      <c r="E50" s="712"/>
    </row>
    <row r="51" spans="1:5" ht="18" customHeight="1" thickBot="1" x14ac:dyDescent="0.3">
      <c r="A51" s="678" t="s">
        <v>43</v>
      </c>
      <c r="B51" s="212" t="s">
        <v>99</v>
      </c>
      <c r="C51" s="703" t="s">
        <v>98</v>
      </c>
      <c r="D51" s="226">
        <v>2.4E-2</v>
      </c>
      <c r="E51" s="706"/>
    </row>
    <row r="52" spans="1:5" ht="18" customHeight="1" thickBot="1" x14ac:dyDescent="0.3">
      <c r="A52" s="679"/>
      <c r="B52" s="212" t="s">
        <v>100</v>
      </c>
      <c r="C52" s="699"/>
      <c r="D52" s="226">
        <v>5.0000000000000001E-3</v>
      </c>
      <c r="E52" s="707"/>
    </row>
    <row r="53" spans="1:5" ht="18" customHeight="1" thickBot="1" x14ac:dyDescent="0.3">
      <c r="A53" s="680"/>
      <c r="B53" s="227" t="s">
        <v>112</v>
      </c>
      <c r="C53" s="229"/>
      <c r="D53" s="228">
        <f>SUM(D51:D52)</f>
        <v>2.9000000000000001E-2</v>
      </c>
      <c r="E53" s="239"/>
    </row>
    <row r="54" spans="1:5" ht="18" customHeight="1" thickBot="1" x14ac:dyDescent="0.3">
      <c r="A54" s="212"/>
      <c r="B54" s="229"/>
      <c r="C54" s="229"/>
      <c r="D54" s="229"/>
      <c r="E54" s="239"/>
    </row>
    <row r="55" spans="1:5" ht="18" customHeight="1" thickBot="1" x14ac:dyDescent="0.3">
      <c r="A55" s="251" t="s">
        <v>44</v>
      </c>
      <c r="B55" s="698"/>
      <c r="C55" s="699"/>
      <c r="D55" s="699"/>
      <c r="E55" s="699"/>
    </row>
    <row r="56" spans="1:5" ht="18" customHeight="1" thickBot="1" x14ac:dyDescent="0.3">
      <c r="A56" s="212"/>
      <c r="B56" s="229"/>
      <c r="C56" s="229"/>
      <c r="D56" s="229"/>
      <c r="E56" s="239"/>
    </row>
    <row r="57" spans="1:5" ht="18" customHeight="1" thickBot="1" x14ac:dyDescent="0.3">
      <c r="A57" s="251" t="s">
        <v>45</v>
      </c>
      <c r="B57" s="212"/>
      <c r="C57" s="230"/>
      <c r="D57" s="235"/>
      <c r="E57" s="209"/>
    </row>
    <row r="58" spans="1:5" ht="18" customHeight="1" thickBot="1" x14ac:dyDescent="0.3">
      <c r="A58" s="212"/>
      <c r="B58" s="212"/>
      <c r="C58" s="212"/>
      <c r="D58" s="700" t="s">
        <v>46</v>
      </c>
      <c r="E58" s="682"/>
    </row>
    <row r="59" spans="1:5" ht="18" customHeight="1" thickBot="1" x14ac:dyDescent="0.3">
      <c r="A59" s="212"/>
      <c r="B59" s="212"/>
      <c r="C59" s="212"/>
      <c r="D59" s="701" t="s">
        <v>115</v>
      </c>
      <c r="E59" s="702"/>
    </row>
    <row r="60" spans="1:5" ht="26.25" customHeight="1" thickBot="1" x14ac:dyDescent="0.3">
      <c r="A60" s="240"/>
      <c r="B60" s="241"/>
      <c r="C60" s="242"/>
      <c r="D60" s="252" t="s">
        <v>47</v>
      </c>
      <c r="E60" s="253" t="s">
        <v>104</v>
      </c>
    </row>
    <row r="61" spans="1:5" ht="61.5" customHeight="1" thickBot="1" x14ac:dyDescent="0.3">
      <c r="A61" s="202"/>
      <c r="B61" s="243"/>
      <c r="C61" s="243"/>
      <c r="D61" s="244" t="s">
        <v>116</v>
      </c>
      <c r="E61" s="245" t="s">
        <v>117</v>
      </c>
    </row>
  </sheetData>
  <mergeCells count="38">
    <mergeCell ref="C9:E9"/>
    <mergeCell ref="A13:E13"/>
    <mergeCell ref="B46:E46"/>
    <mergeCell ref="A16:A19"/>
    <mergeCell ref="A10:E10"/>
    <mergeCell ref="A12:E12"/>
    <mergeCell ref="B55:E55"/>
    <mergeCell ref="D58:E58"/>
    <mergeCell ref="D59:E59"/>
    <mergeCell ref="A51:A53"/>
    <mergeCell ref="C48:C49"/>
    <mergeCell ref="D48:D49"/>
    <mergeCell ref="E48:E49"/>
    <mergeCell ref="C51:C52"/>
    <mergeCell ref="E51:E52"/>
    <mergeCell ref="B48:B49"/>
    <mergeCell ref="A50:E50"/>
    <mergeCell ref="H5:H7"/>
    <mergeCell ref="I5:I7"/>
    <mergeCell ref="J5:J7"/>
    <mergeCell ref="K5:K7"/>
    <mergeCell ref="L5:L7"/>
    <mergeCell ref="A1:E1"/>
    <mergeCell ref="A36:A44"/>
    <mergeCell ref="A20:A21"/>
    <mergeCell ref="B20:B21"/>
    <mergeCell ref="C20:C21"/>
    <mergeCell ref="D20:D21"/>
    <mergeCell ref="E20:E21"/>
    <mergeCell ref="A22:A25"/>
    <mergeCell ref="A30:A32"/>
    <mergeCell ref="C8:E8"/>
    <mergeCell ref="A4:A5"/>
    <mergeCell ref="B4:B5"/>
    <mergeCell ref="C4:C5"/>
    <mergeCell ref="D4:D5"/>
    <mergeCell ref="E4:E5"/>
    <mergeCell ref="A6:E6"/>
  </mergeCells>
  <pageMargins left="0" right="0" top="0" bottom="0" header="0" footer="0"/>
  <pageSetup paperSize="9" orientation="landscape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E566-4B47-4AE0-9160-E1E192DD5CC7}">
  <dimension ref="A1:F8"/>
  <sheetViews>
    <sheetView zoomScale="180" zoomScaleNormal="180" workbookViewId="0">
      <selection activeCell="C16" sqref="C16"/>
    </sheetView>
  </sheetViews>
  <sheetFormatPr baseColWidth="10" defaultRowHeight="15" x14ac:dyDescent="0.25"/>
  <cols>
    <col min="1" max="1" width="21.42578125" style="308" customWidth="1"/>
    <col min="2" max="2" width="14.28515625" style="308" bestFit="1" customWidth="1"/>
    <col min="3" max="3" width="9.28515625" style="308" customWidth="1"/>
    <col min="4" max="4" width="13.140625" style="308" bestFit="1" customWidth="1"/>
    <col min="5" max="5" width="11.42578125" style="308"/>
    <col min="6" max="6" width="22.7109375" style="308" bestFit="1" customWidth="1"/>
    <col min="7" max="16384" width="11.42578125" style="308"/>
  </cols>
  <sheetData>
    <row r="1" spans="1:6" ht="18.75" x14ac:dyDescent="0.25">
      <c r="A1" s="310" t="s">
        <v>140</v>
      </c>
    </row>
    <row r="3" spans="1:6" x14ac:dyDescent="0.25">
      <c r="A3" s="311" t="s">
        <v>141</v>
      </c>
      <c r="B3" s="312" t="s">
        <v>149</v>
      </c>
      <c r="C3" s="311" t="s">
        <v>142</v>
      </c>
    </row>
    <row r="4" spans="1:6" ht="15.75" thickBot="1" x14ac:dyDescent="0.3">
      <c r="F4" s="313"/>
    </row>
    <row r="5" spans="1:6" ht="18" customHeight="1" x14ac:dyDescent="0.25">
      <c r="A5" s="314"/>
      <c r="B5" s="306" t="s">
        <v>138</v>
      </c>
      <c r="C5" s="306" t="s">
        <v>143</v>
      </c>
      <c r="D5" s="307" t="s">
        <v>145</v>
      </c>
    </row>
    <row r="6" spans="1:6" ht="18" customHeight="1" x14ac:dyDescent="0.25">
      <c r="A6" s="315">
        <v>43101</v>
      </c>
      <c r="B6" s="316">
        <v>2000</v>
      </c>
      <c r="C6" s="309"/>
      <c r="D6" s="317"/>
    </row>
    <row r="7" spans="1:6" ht="18" customHeight="1" x14ac:dyDescent="0.25">
      <c r="A7" s="318">
        <v>43132</v>
      </c>
      <c r="B7" s="316">
        <v>2000</v>
      </c>
      <c r="C7" s="316">
        <v>600</v>
      </c>
      <c r="D7" s="317" t="s">
        <v>146</v>
      </c>
    </row>
    <row r="8" spans="1:6" ht="18" customHeight="1" thickBot="1" x14ac:dyDescent="0.3">
      <c r="A8" s="319">
        <v>43160</v>
      </c>
      <c r="B8" s="320">
        <v>2000</v>
      </c>
      <c r="C8" s="320"/>
      <c r="D8" s="32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4225-BA49-4BC8-BE28-A761120AD9D4}">
  <dimension ref="A1:F8"/>
  <sheetViews>
    <sheetView topLeftCell="A4" zoomScale="180" zoomScaleNormal="180" workbookViewId="0">
      <selection activeCell="A5" sqref="A5:C8"/>
    </sheetView>
  </sheetViews>
  <sheetFormatPr baseColWidth="10" defaultRowHeight="15" x14ac:dyDescent="0.25"/>
  <cols>
    <col min="1" max="1" width="21.42578125" style="308" customWidth="1"/>
    <col min="2" max="2" width="14.28515625" style="308" bestFit="1" customWidth="1"/>
    <col min="3" max="3" width="11.28515625" style="308" customWidth="1"/>
    <col min="4" max="4" width="13.140625" style="308" bestFit="1" customWidth="1"/>
    <col min="5" max="5" width="11.42578125" style="308"/>
    <col min="6" max="6" width="22.7109375" style="308" bestFit="1" customWidth="1"/>
    <col min="7" max="16384" width="11.42578125" style="308"/>
  </cols>
  <sheetData>
    <row r="1" spans="1:6" ht="18.75" x14ac:dyDescent="0.25">
      <c r="A1" s="310" t="s">
        <v>140</v>
      </c>
    </row>
    <row r="3" spans="1:6" x14ac:dyDescent="0.25">
      <c r="A3" s="311" t="s">
        <v>141</v>
      </c>
      <c r="B3" s="312" t="s">
        <v>147</v>
      </c>
      <c r="C3" s="311" t="s">
        <v>148</v>
      </c>
      <c r="F3" s="313"/>
    </row>
    <row r="4" spans="1:6" ht="15.75" thickBot="1" x14ac:dyDescent="0.3">
      <c r="F4" s="313"/>
    </row>
    <row r="5" spans="1:6" x14ac:dyDescent="0.25">
      <c r="A5" s="314"/>
      <c r="B5" s="306" t="s">
        <v>138</v>
      </c>
      <c r="C5" s="306" t="s">
        <v>144</v>
      </c>
    </row>
    <row r="6" spans="1:6" ht="18" customHeight="1" x14ac:dyDescent="0.25">
      <c r="A6" s="315">
        <v>43131</v>
      </c>
      <c r="B6" s="316">
        <v>4200</v>
      </c>
      <c r="C6" s="309"/>
    </row>
    <row r="7" spans="1:6" ht="18" customHeight="1" x14ac:dyDescent="0.25">
      <c r="A7" s="318">
        <v>43132</v>
      </c>
      <c r="B7" s="316">
        <v>4200</v>
      </c>
      <c r="C7" s="316" t="s">
        <v>150</v>
      </c>
    </row>
    <row r="8" spans="1:6" ht="18" customHeight="1" thickBot="1" x14ac:dyDescent="0.3">
      <c r="A8" s="319">
        <v>43160</v>
      </c>
      <c r="B8" s="320">
        <v>4200</v>
      </c>
      <c r="C8" s="32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437F-017A-4A9E-9743-19AC8346FD87}">
  <dimension ref="A1:K46"/>
  <sheetViews>
    <sheetView zoomScale="90" zoomScaleNormal="90" workbookViewId="0">
      <selection activeCell="I19" sqref="I19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28515625" style="1" bestFit="1" customWidth="1"/>
    <col min="6" max="6" width="13.85546875" style="1" bestFit="1" customWidth="1"/>
    <col min="7" max="7" width="21.7109375" style="1" bestFit="1" customWidth="1"/>
    <col min="8" max="8" width="13.28515625" style="1" bestFit="1" customWidth="1"/>
    <col min="9" max="9" width="15.28515625" style="1" bestFit="1" customWidth="1"/>
    <col min="10" max="16384" width="11.42578125" style="1"/>
  </cols>
  <sheetData>
    <row r="1" spans="1:7" ht="18" x14ac:dyDescent="0.25">
      <c r="A1" s="11" t="s">
        <v>49</v>
      </c>
      <c r="B1" s="12"/>
      <c r="C1" s="12"/>
      <c r="D1" s="12"/>
      <c r="E1" s="12"/>
    </row>
    <row r="2" spans="1:7" ht="15" thickBot="1" x14ac:dyDescent="0.3">
      <c r="C2" s="13"/>
      <c r="D2" s="13"/>
      <c r="E2" s="13"/>
      <c r="F2" s="13"/>
    </row>
    <row r="3" spans="1:7" ht="24" customHeight="1" thickBot="1" x14ac:dyDescent="0.3">
      <c r="A3" s="33" t="s">
        <v>1</v>
      </c>
      <c r="B3" s="34">
        <v>1700</v>
      </c>
      <c r="C3" s="16"/>
      <c r="D3" s="16"/>
      <c r="E3" s="16"/>
      <c r="F3" s="16"/>
    </row>
    <row r="4" spans="1:7" ht="18" customHeight="1" x14ac:dyDescent="0.25">
      <c r="A4" s="35"/>
      <c r="B4" s="36" t="s">
        <v>2</v>
      </c>
      <c r="C4" s="36" t="s">
        <v>3</v>
      </c>
      <c r="D4" s="36" t="s">
        <v>4</v>
      </c>
      <c r="E4" s="37" t="s">
        <v>5</v>
      </c>
      <c r="F4" s="38" t="s">
        <v>6</v>
      </c>
    </row>
    <row r="5" spans="1:7" ht="18" customHeight="1" x14ac:dyDescent="0.25">
      <c r="A5" s="39"/>
      <c r="B5" s="18"/>
      <c r="C5" s="18"/>
      <c r="D5" s="18"/>
      <c r="E5" s="40"/>
      <c r="F5" s="41"/>
    </row>
    <row r="6" spans="1:7" ht="17.25" customHeight="1" x14ac:dyDescent="0.25">
      <c r="A6" s="3" t="s">
        <v>50</v>
      </c>
      <c r="B6" s="5"/>
      <c r="C6" s="19">
        <v>7.4999999999999997E-3</v>
      </c>
      <c r="D6" s="5"/>
      <c r="E6" s="7">
        <v>0.12889999999999999</v>
      </c>
      <c r="F6" s="42"/>
    </row>
    <row r="7" spans="1:7" ht="17.25" customHeight="1" x14ac:dyDescent="0.25">
      <c r="A7" s="3" t="s">
        <v>51</v>
      </c>
      <c r="B7" s="5"/>
      <c r="C7" s="19">
        <v>0</v>
      </c>
      <c r="D7" s="5"/>
      <c r="E7" s="7">
        <v>8.5500000000000007E-2</v>
      </c>
      <c r="F7" s="42"/>
    </row>
    <row r="8" spans="1:7" ht="17.25" customHeight="1" x14ac:dyDescent="0.25">
      <c r="A8" s="3" t="s">
        <v>51</v>
      </c>
      <c r="B8" s="5"/>
      <c r="C8" s="19">
        <v>4.0000000000000001E-3</v>
      </c>
      <c r="D8" s="5"/>
      <c r="E8" s="7">
        <v>1.9E-2</v>
      </c>
      <c r="F8" s="42"/>
    </row>
    <row r="9" spans="1:7" ht="17.25" customHeight="1" x14ac:dyDescent="0.25">
      <c r="A9" s="3" t="s">
        <v>52</v>
      </c>
      <c r="B9" s="5"/>
      <c r="C9" s="21"/>
      <c r="D9" s="22"/>
      <c r="E9" s="43">
        <v>0.01</v>
      </c>
      <c r="F9" s="42"/>
    </row>
    <row r="10" spans="1:7" ht="17.25" customHeight="1" x14ac:dyDescent="0.25">
      <c r="A10" s="3" t="s">
        <v>53</v>
      </c>
      <c r="B10" s="5"/>
      <c r="C10" s="21"/>
      <c r="D10" s="22"/>
      <c r="E10" s="7">
        <v>3.4500000000000003E-2</v>
      </c>
      <c r="F10" s="42"/>
    </row>
    <row r="11" spans="1:7" ht="17.25" customHeight="1" x14ac:dyDescent="0.25">
      <c r="A11" s="3" t="s">
        <v>54</v>
      </c>
      <c r="B11" s="5"/>
      <c r="C11" s="21"/>
      <c r="D11" s="22"/>
      <c r="E11" s="7">
        <v>1E-3</v>
      </c>
      <c r="F11" s="42"/>
    </row>
    <row r="12" spans="1:7" ht="17.25" customHeight="1" x14ac:dyDescent="0.25">
      <c r="A12" s="3" t="s">
        <v>55</v>
      </c>
      <c r="B12" s="5"/>
      <c r="C12" s="21"/>
      <c r="D12" s="22"/>
      <c r="E12" s="7">
        <v>3.0000000000000001E-3</v>
      </c>
      <c r="F12" s="42"/>
    </row>
    <row r="13" spans="1:7" ht="17.25" customHeight="1" x14ac:dyDescent="0.25">
      <c r="A13" s="3" t="s">
        <v>56</v>
      </c>
      <c r="B13" s="5"/>
      <c r="C13" s="21"/>
      <c r="D13" s="22"/>
      <c r="E13" s="7">
        <v>2.5000000000000001E-2</v>
      </c>
      <c r="F13" s="42"/>
    </row>
    <row r="14" spans="1:7" ht="17.25" customHeight="1" x14ac:dyDescent="0.25">
      <c r="A14" s="3" t="s">
        <v>9</v>
      </c>
      <c r="B14" s="5"/>
      <c r="C14" s="19">
        <v>2.4E-2</v>
      </c>
      <c r="D14" s="5"/>
      <c r="F14" s="44"/>
      <c r="G14" s="25"/>
    </row>
    <row r="15" spans="1:7" ht="17.25" customHeight="1" x14ac:dyDescent="0.25">
      <c r="A15" s="3" t="s">
        <v>10</v>
      </c>
      <c r="B15" s="5"/>
      <c r="C15" s="19">
        <v>5.0999999999999997E-2</v>
      </c>
      <c r="D15" s="5"/>
      <c r="E15" s="45"/>
      <c r="F15" s="44"/>
    </row>
    <row r="16" spans="1:7" ht="17.25" customHeight="1" x14ac:dyDescent="0.25">
      <c r="A16" s="3" t="s">
        <v>11</v>
      </c>
      <c r="B16" s="5"/>
      <c r="C16" s="19">
        <v>5.0000000000000001E-3</v>
      </c>
      <c r="D16" s="5"/>
      <c r="E16" s="45"/>
      <c r="F16" s="44"/>
    </row>
    <row r="17" spans="1:11" ht="17.25" customHeight="1" x14ac:dyDescent="0.25">
      <c r="A17" s="3" t="s">
        <v>12</v>
      </c>
      <c r="B17" s="5"/>
      <c r="C17" s="4"/>
      <c r="D17" s="5"/>
      <c r="E17" s="6">
        <v>1.6000000000000001E-4</v>
      </c>
      <c r="F17" s="42"/>
    </row>
    <row r="18" spans="1:11" ht="17.25" customHeight="1" x14ac:dyDescent="0.25">
      <c r="A18" s="3" t="s">
        <v>13</v>
      </c>
      <c r="B18" s="5"/>
      <c r="C18" s="4"/>
      <c r="D18" s="5"/>
      <c r="E18" s="7">
        <v>1E-4</v>
      </c>
      <c r="F18" s="46"/>
    </row>
    <row r="19" spans="1:11" ht="17.25" customHeight="1" x14ac:dyDescent="0.25">
      <c r="A19" s="3" t="s">
        <v>57</v>
      </c>
      <c r="B19" s="18"/>
      <c r="C19" s="21"/>
      <c r="D19" s="21"/>
      <c r="E19" s="47"/>
      <c r="F19" s="48"/>
    </row>
    <row r="20" spans="1:11" ht="17.25" customHeight="1" x14ac:dyDescent="0.25">
      <c r="A20" s="17" t="s">
        <v>14</v>
      </c>
      <c r="B20" s="5"/>
      <c r="C20" s="21"/>
      <c r="D20" s="21"/>
      <c r="E20" s="45"/>
      <c r="F20" s="48"/>
    </row>
    <row r="21" spans="1:11" ht="17.25" customHeight="1" x14ac:dyDescent="0.25">
      <c r="A21" s="3" t="s">
        <v>58</v>
      </c>
      <c r="B21" s="5"/>
      <c r="C21" s="19">
        <v>2.4E-2</v>
      </c>
      <c r="D21" s="5"/>
      <c r="E21" s="7">
        <v>0.04</v>
      </c>
      <c r="F21" s="42"/>
    </row>
    <row r="22" spans="1:11" ht="17.25" customHeight="1" x14ac:dyDescent="0.25">
      <c r="A22" s="3" t="s">
        <v>59</v>
      </c>
      <c r="B22" s="22"/>
      <c r="C22" s="21"/>
      <c r="D22" s="22"/>
      <c r="E22" s="7">
        <v>2E-3</v>
      </c>
      <c r="F22" s="42"/>
      <c r="G22" s="49"/>
      <c r="H22" s="49"/>
      <c r="I22" s="49"/>
    </row>
    <row r="23" spans="1:11" ht="17.25" customHeight="1" x14ac:dyDescent="0.25">
      <c r="A23" s="17" t="s">
        <v>15</v>
      </c>
      <c r="B23" s="5"/>
      <c r="C23" s="21"/>
      <c r="D23" s="22"/>
      <c r="E23" s="45"/>
      <c r="F23" s="44"/>
      <c r="G23" s="49"/>
      <c r="H23" s="49"/>
      <c r="I23" s="49"/>
    </row>
    <row r="24" spans="1:11" ht="17.25" customHeight="1" x14ac:dyDescent="0.25">
      <c r="A24" s="3" t="s">
        <v>60</v>
      </c>
      <c r="B24" s="5"/>
      <c r="C24" s="19">
        <v>3.1E-2</v>
      </c>
      <c r="D24" s="5"/>
      <c r="E24" s="7">
        <v>4.65E-2</v>
      </c>
      <c r="F24" s="42"/>
      <c r="G24" s="49"/>
      <c r="H24" s="50"/>
      <c r="I24" s="49"/>
    </row>
    <row r="25" spans="1:11" ht="17.25" customHeight="1" x14ac:dyDescent="0.25">
      <c r="A25" s="3" t="s">
        <v>61</v>
      </c>
      <c r="B25" s="51"/>
      <c r="C25" s="19">
        <v>8.0000000000000002E-3</v>
      </c>
      <c r="D25" s="5"/>
      <c r="E25" s="7">
        <v>1.2E-2</v>
      </c>
      <c r="F25" s="42"/>
      <c r="G25" s="49"/>
      <c r="H25" s="50"/>
      <c r="I25" s="49"/>
    </row>
    <row r="26" spans="1:11" ht="17.25" customHeight="1" x14ac:dyDescent="0.25">
      <c r="A26" s="52" t="s">
        <v>17</v>
      </c>
      <c r="B26" s="5"/>
      <c r="C26" s="53">
        <v>9.4999999999999998E-3</v>
      </c>
      <c r="D26" s="51"/>
      <c r="E26" s="54">
        <v>1.9E-2</v>
      </c>
      <c r="F26" s="20"/>
      <c r="H26" s="50"/>
    </row>
    <row r="27" spans="1:11" ht="17.25" customHeight="1" x14ac:dyDescent="0.25">
      <c r="A27" s="3" t="s">
        <v>62</v>
      </c>
      <c r="B27" s="5"/>
      <c r="C27" s="19">
        <v>7.4999999999999997E-3</v>
      </c>
      <c r="D27" s="5"/>
      <c r="E27" s="7">
        <v>1.2500000000000001E-2</v>
      </c>
      <c r="F27" s="55"/>
      <c r="H27" s="50"/>
      <c r="I27" s="50"/>
      <c r="J27" s="50"/>
      <c r="K27" s="50"/>
    </row>
    <row r="28" spans="1:11" ht="17.25" customHeight="1" x14ac:dyDescent="0.25">
      <c r="A28" s="3" t="s">
        <v>63</v>
      </c>
      <c r="B28" s="5"/>
      <c r="C28" s="19">
        <v>2.4E-2</v>
      </c>
      <c r="D28" s="5"/>
      <c r="E28" s="56"/>
      <c r="F28" s="55"/>
      <c r="H28" s="50"/>
      <c r="I28" s="50"/>
      <c r="J28" s="50"/>
      <c r="K28" s="50"/>
    </row>
    <row r="29" spans="1:11" ht="17.25" customHeight="1" x14ac:dyDescent="0.25">
      <c r="A29" s="3" t="s">
        <v>64</v>
      </c>
      <c r="B29" s="5"/>
      <c r="C29" s="19">
        <v>5.0999999999999997E-2</v>
      </c>
      <c r="D29" s="5"/>
      <c r="E29" s="56"/>
      <c r="F29" s="55"/>
      <c r="H29" s="50"/>
      <c r="I29" s="50"/>
      <c r="J29" s="50"/>
      <c r="K29" s="50"/>
    </row>
    <row r="30" spans="1:11" ht="17.25" customHeight="1" x14ac:dyDescent="0.25">
      <c r="A30" s="3" t="s">
        <v>65</v>
      </c>
      <c r="B30" s="26"/>
      <c r="C30" s="19">
        <v>5.0000000000000001E-3</v>
      </c>
      <c r="D30" s="5"/>
      <c r="E30" s="56"/>
      <c r="F30" s="55"/>
      <c r="H30" s="50"/>
      <c r="I30" s="50"/>
      <c r="J30" s="50"/>
      <c r="K30" s="50"/>
    </row>
    <row r="31" spans="1:11" ht="17.25" customHeight="1" x14ac:dyDescent="0.25">
      <c r="A31" s="24" t="s">
        <v>22</v>
      </c>
      <c r="B31" s="26"/>
      <c r="C31" s="18"/>
      <c r="D31" s="27"/>
      <c r="E31" s="57"/>
      <c r="F31" s="58"/>
      <c r="H31" s="50"/>
      <c r="I31" s="50"/>
      <c r="J31" s="50"/>
      <c r="K31" s="50"/>
    </row>
    <row r="32" spans="1:11" ht="17.25" customHeight="1" x14ac:dyDescent="0.25">
      <c r="A32" s="24"/>
      <c r="B32" s="26"/>
      <c r="C32" s="18"/>
      <c r="D32" s="27"/>
      <c r="E32" s="59"/>
      <c r="F32" s="60"/>
      <c r="H32" s="50"/>
      <c r="I32" s="50"/>
      <c r="J32" s="50"/>
      <c r="K32" s="50"/>
    </row>
    <row r="33" spans="1:11" ht="17.25" customHeight="1" x14ac:dyDescent="0.25">
      <c r="A33" s="17" t="s">
        <v>66</v>
      </c>
      <c r="B33" s="5"/>
      <c r="C33" s="18"/>
      <c r="D33" s="27"/>
      <c r="E33" s="59"/>
      <c r="F33" s="60"/>
      <c r="H33" s="50"/>
      <c r="I33" s="50"/>
      <c r="J33" s="50"/>
      <c r="K33" s="50"/>
    </row>
    <row r="34" spans="1:11" ht="17.25" customHeight="1" x14ac:dyDescent="0.25">
      <c r="A34" s="3" t="s">
        <v>20</v>
      </c>
      <c r="B34" s="5"/>
      <c r="C34" s="19"/>
      <c r="D34" s="5"/>
      <c r="E34" s="7">
        <v>6.7999999999999996E-3</v>
      </c>
      <c r="F34" s="55"/>
      <c r="H34" s="50"/>
      <c r="I34" s="50"/>
      <c r="J34" s="50"/>
      <c r="K34" s="50"/>
    </row>
    <row r="35" spans="1:11" ht="17.25" customHeight="1" x14ac:dyDescent="0.25">
      <c r="A35" s="3" t="s">
        <v>67</v>
      </c>
      <c r="B35" s="5"/>
      <c r="C35" s="19"/>
      <c r="D35" s="5"/>
      <c r="E35" s="7">
        <v>5.4999999999999997E-3</v>
      </c>
      <c r="F35" s="55"/>
      <c r="H35" s="50"/>
      <c r="I35" s="50"/>
      <c r="J35" s="50"/>
      <c r="K35" s="50"/>
    </row>
    <row r="36" spans="1:11" ht="17.25" customHeight="1" x14ac:dyDescent="0.25">
      <c r="A36" s="24"/>
      <c r="B36" s="26"/>
      <c r="C36" s="18"/>
      <c r="D36" s="27"/>
      <c r="E36" s="59"/>
      <c r="F36" s="60"/>
    </row>
    <row r="37" spans="1:11" ht="17.25" customHeight="1" x14ac:dyDescent="0.25">
      <c r="A37" s="24" t="s">
        <v>68</v>
      </c>
      <c r="B37" s="61"/>
      <c r="C37" s="18"/>
      <c r="D37" s="27"/>
      <c r="E37" s="59"/>
      <c r="F37" s="60"/>
    </row>
    <row r="38" spans="1:11" ht="17.25" customHeight="1" thickBot="1" x14ac:dyDescent="0.3">
      <c r="A38" s="62" t="s">
        <v>69</v>
      </c>
      <c r="B38" s="63"/>
      <c r="C38" s="61"/>
      <c r="D38" s="64"/>
      <c r="E38" s="65"/>
      <c r="F38" s="66"/>
    </row>
    <row r="39" spans="1:11" ht="17.25" customHeight="1" thickBot="1" x14ac:dyDescent="0.3">
      <c r="A39" s="9"/>
      <c r="B39" s="9"/>
      <c r="C39" s="63"/>
      <c r="D39" s="67"/>
      <c r="E39" s="63"/>
      <c r="F39" s="68"/>
    </row>
    <row r="40" spans="1:11" x14ac:dyDescent="0.25">
      <c r="A40" s="9"/>
      <c r="B40" s="9"/>
      <c r="C40" s="9"/>
      <c r="D40" s="9"/>
      <c r="E40" s="9"/>
      <c r="F40" s="9"/>
    </row>
    <row r="41" spans="1:11" x14ac:dyDescent="0.25">
      <c r="A41" s="9"/>
      <c r="B41" s="9"/>
      <c r="C41" s="9"/>
      <c r="D41" s="9"/>
      <c r="E41" s="9"/>
      <c r="F41" s="9"/>
    </row>
    <row r="42" spans="1:11" x14ac:dyDescent="0.25">
      <c r="A42" s="9"/>
      <c r="B42" s="9"/>
      <c r="C42" s="9"/>
      <c r="D42" s="9"/>
      <c r="E42" s="9"/>
      <c r="F42" s="9"/>
    </row>
    <row r="43" spans="1:11" x14ac:dyDescent="0.25">
      <c r="A43" s="9"/>
      <c r="B43" s="9"/>
      <c r="C43" s="9"/>
      <c r="D43" s="9"/>
      <c r="E43" s="9"/>
      <c r="F43" s="9"/>
    </row>
    <row r="44" spans="1:11" x14ac:dyDescent="0.25">
      <c r="A44" s="9"/>
      <c r="B44" s="9"/>
      <c r="C44" s="9"/>
      <c r="D44" s="9"/>
      <c r="E44" s="9"/>
      <c r="F44" s="9"/>
    </row>
    <row r="45" spans="1:11" x14ac:dyDescent="0.25">
      <c r="A45" s="9"/>
      <c r="B45" s="9"/>
      <c r="C45" s="9"/>
      <c r="D45" s="9"/>
      <c r="E45" s="9"/>
      <c r="F45" s="9"/>
    </row>
    <row r="46" spans="1:11" x14ac:dyDescent="0.25">
      <c r="A46" s="9"/>
      <c r="C46" s="9"/>
      <c r="D46" s="9"/>
      <c r="E46" s="9"/>
      <c r="F46" s="9"/>
    </row>
  </sheetData>
  <pageMargins left="0" right="0" top="0" bottom="0" header="0" footer="0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362B-53A5-4B10-AEB6-96E861740C2B}">
  <dimension ref="A1:I47"/>
  <sheetViews>
    <sheetView zoomScale="90" zoomScaleNormal="90" workbookViewId="0">
      <selection activeCell="D8" sqref="D8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5703125" style="1" bestFit="1" customWidth="1"/>
    <col min="6" max="6" width="21.7109375" style="1" customWidth="1"/>
    <col min="7" max="7" width="13.28515625" style="1" customWidth="1"/>
    <col min="8" max="8" width="11.42578125" style="1"/>
    <col min="9" max="9" width="14.28515625" style="1" hidden="1" customWidth="1"/>
    <col min="10" max="16384" width="11.42578125" style="1"/>
  </cols>
  <sheetData>
    <row r="1" spans="1:9" ht="18" x14ac:dyDescent="0.25">
      <c r="A1" s="11" t="s">
        <v>49</v>
      </c>
      <c r="B1" s="12"/>
      <c r="C1" s="12"/>
      <c r="D1" s="12"/>
      <c r="I1" s="12"/>
    </row>
    <row r="2" spans="1:9" ht="15" thickBot="1" x14ac:dyDescent="0.3">
      <c r="C2" s="13"/>
      <c r="D2" s="13"/>
      <c r="E2" s="13"/>
      <c r="I2" s="13"/>
    </row>
    <row r="3" spans="1:9" ht="24" customHeight="1" thickBot="1" x14ac:dyDescent="0.3">
      <c r="A3" s="14" t="s">
        <v>1</v>
      </c>
      <c r="B3" s="15" t="e">
        <f>'Bulletin non-cadre'!#REF!</f>
        <v>#REF!</v>
      </c>
      <c r="C3" s="16"/>
      <c r="D3" s="16"/>
      <c r="E3" s="16"/>
      <c r="I3" s="16"/>
    </row>
    <row r="4" spans="1:9" ht="18" customHeight="1" x14ac:dyDescent="0.25">
      <c r="A4" s="593"/>
      <c r="B4" s="595" t="s">
        <v>2</v>
      </c>
      <c r="C4" s="595" t="s">
        <v>71</v>
      </c>
      <c r="D4" s="595" t="s">
        <v>72</v>
      </c>
      <c r="E4" s="608" t="s">
        <v>73</v>
      </c>
      <c r="I4" s="601" t="s">
        <v>5</v>
      </c>
    </row>
    <row r="5" spans="1:9" ht="18" customHeight="1" x14ac:dyDescent="0.25">
      <c r="A5" s="594"/>
      <c r="B5" s="596"/>
      <c r="C5" s="596"/>
      <c r="D5" s="596"/>
      <c r="E5" s="609"/>
      <c r="I5" s="602"/>
    </row>
    <row r="6" spans="1:9" ht="18" customHeight="1" x14ac:dyDescent="0.25">
      <c r="A6" s="17" t="s">
        <v>23</v>
      </c>
      <c r="B6" s="18"/>
      <c r="C6" s="18"/>
      <c r="D6" s="18"/>
      <c r="E6" s="41"/>
      <c r="I6" s="40"/>
    </row>
    <row r="7" spans="1:9" ht="17.25" customHeight="1" x14ac:dyDescent="0.25">
      <c r="A7" s="3" t="s">
        <v>24</v>
      </c>
      <c r="B7" s="5" t="e">
        <f>$B$3</f>
        <v>#REF!</v>
      </c>
      <c r="C7" s="19">
        <v>7.4999999999999997E-3</v>
      </c>
      <c r="D7" s="5" t="e">
        <f>B7*C7</f>
        <v>#REF!</v>
      </c>
      <c r="E7" s="42" t="e">
        <f>B7*I7</f>
        <v>#REF!</v>
      </c>
      <c r="I7" s="7">
        <v>0.12889999999999999</v>
      </c>
    </row>
    <row r="8" spans="1:9" ht="17.25" customHeight="1" x14ac:dyDescent="0.25">
      <c r="A8" s="3" t="s">
        <v>25</v>
      </c>
      <c r="B8" s="5" t="e">
        <f>$B$3</f>
        <v>#REF!</v>
      </c>
      <c r="C8" s="19">
        <f>'Bulletin non-cadre'!C32</f>
        <v>8.5000000000000006E-3</v>
      </c>
      <c r="D8" s="5" t="e">
        <f>B8*C8</f>
        <v>#REF!</v>
      </c>
      <c r="E8" s="42" t="e">
        <f>B8*I8</f>
        <v>#REF!</v>
      </c>
      <c r="I8" s="7">
        <f>'Bulletin non-cadre'!E32</f>
        <v>1.2500000000000001E-2</v>
      </c>
    </row>
    <row r="9" spans="1:9" ht="17.25" customHeight="1" x14ac:dyDescent="0.25">
      <c r="A9" s="3" t="s">
        <v>26</v>
      </c>
      <c r="B9" s="5">
        <v>1700</v>
      </c>
      <c r="C9" s="19">
        <v>9.4999999999999998E-3</v>
      </c>
      <c r="D9" s="5">
        <f>'Bulletin non-cadre'!D31</f>
        <v>38</v>
      </c>
      <c r="E9" s="42">
        <f>'Bulletin non-cadre'!F31</f>
        <v>76</v>
      </c>
      <c r="I9" s="7">
        <v>1.9E-2</v>
      </c>
    </row>
    <row r="10" spans="1:9" ht="17.25" customHeight="1" x14ac:dyDescent="0.25">
      <c r="A10" s="3"/>
      <c r="B10" s="5"/>
      <c r="C10" s="19"/>
      <c r="D10" s="5"/>
      <c r="E10" s="42"/>
      <c r="I10" s="7"/>
    </row>
    <row r="11" spans="1:9" ht="17.25" customHeight="1" x14ac:dyDescent="0.25">
      <c r="A11" s="17" t="s">
        <v>27</v>
      </c>
      <c r="B11" s="5" t="e">
        <f>B3</f>
        <v>#REF!</v>
      </c>
      <c r="C11" s="21"/>
      <c r="D11" s="22"/>
      <c r="E11" s="42" t="e">
        <f>B11*I11</f>
        <v>#REF!</v>
      </c>
      <c r="I11" s="7">
        <v>2.5000000000000001E-2</v>
      </c>
    </row>
    <row r="12" spans="1:9" ht="17.25" customHeight="1" x14ac:dyDescent="0.25">
      <c r="A12" s="17"/>
      <c r="B12" s="5"/>
      <c r="C12" s="21"/>
      <c r="D12" s="22"/>
      <c r="E12" s="42"/>
      <c r="I12" s="7"/>
    </row>
    <row r="13" spans="1:9" ht="17.25" customHeight="1" x14ac:dyDescent="0.25">
      <c r="A13" s="17" t="s">
        <v>8</v>
      </c>
      <c r="B13" s="5"/>
      <c r="C13" s="21"/>
      <c r="D13" s="22"/>
      <c r="E13" s="42"/>
      <c r="I13" s="7"/>
    </row>
    <row r="14" spans="1:9" ht="17.25" customHeight="1" x14ac:dyDescent="0.25">
      <c r="A14" s="3" t="s">
        <v>28</v>
      </c>
      <c r="B14" s="5" t="e">
        <f>B7</f>
        <v>#REF!</v>
      </c>
      <c r="C14" s="19">
        <v>6.9000000000000006E-2</v>
      </c>
      <c r="D14" s="5" t="e">
        <f>B14*C14</f>
        <v>#REF!</v>
      </c>
      <c r="E14" s="42" t="e">
        <f>B14*I14</f>
        <v>#REF!</v>
      </c>
      <c r="I14" s="7">
        <v>8.5500000000000007E-2</v>
      </c>
    </row>
    <row r="15" spans="1:9" ht="17.25" customHeight="1" x14ac:dyDescent="0.25">
      <c r="A15" s="3" t="s">
        <v>29</v>
      </c>
      <c r="B15" s="5" t="e">
        <f>B14</f>
        <v>#REF!</v>
      </c>
      <c r="C15" s="19">
        <v>4.0000000000000001E-3</v>
      </c>
      <c r="D15" s="5" t="e">
        <f>B15*C15</f>
        <v>#REF!</v>
      </c>
      <c r="E15" s="42" t="e">
        <f>B15*I15</f>
        <v>#REF!</v>
      </c>
      <c r="I15" s="7">
        <v>1.9E-2</v>
      </c>
    </row>
    <row r="16" spans="1:9" ht="17.25" customHeight="1" x14ac:dyDescent="0.25">
      <c r="A16" s="3" t="s">
        <v>74</v>
      </c>
      <c r="B16" s="5" t="e">
        <f>B15</f>
        <v>#REF!</v>
      </c>
      <c r="C16" s="23">
        <f>3.1%+0.8%</f>
        <v>3.9E-2</v>
      </c>
      <c r="D16" s="5" t="e">
        <f>B16*C16</f>
        <v>#REF!</v>
      </c>
      <c r="E16" s="42" t="e">
        <f>B16*I16</f>
        <v>#REF!</v>
      </c>
      <c r="I16" s="7">
        <f>4.65%+1.2%</f>
        <v>5.850000000000001E-2</v>
      </c>
    </row>
    <row r="17" spans="1:9" ht="17.25" customHeight="1" x14ac:dyDescent="0.25">
      <c r="A17" s="3" t="s">
        <v>75</v>
      </c>
      <c r="B17" s="5"/>
      <c r="C17" s="23"/>
      <c r="D17" s="5"/>
      <c r="E17" s="42"/>
      <c r="I17" s="7"/>
    </row>
    <row r="18" spans="1:9" ht="17.25" customHeight="1" x14ac:dyDescent="0.25">
      <c r="A18" s="3" t="s">
        <v>34</v>
      </c>
      <c r="B18" s="5"/>
      <c r="C18" s="23"/>
      <c r="D18" s="5"/>
      <c r="E18" s="42"/>
      <c r="I18" s="7"/>
    </row>
    <row r="19" spans="1:9" ht="17.25" customHeight="1" x14ac:dyDescent="0.25">
      <c r="A19" s="3"/>
      <c r="B19" s="5"/>
      <c r="C19" s="23"/>
      <c r="D19" s="5"/>
      <c r="E19" s="42"/>
      <c r="I19" s="7"/>
    </row>
    <row r="20" spans="1:9" ht="17.25" customHeight="1" x14ac:dyDescent="0.25">
      <c r="A20" s="24" t="s">
        <v>36</v>
      </c>
      <c r="B20" s="8" t="e">
        <f>B7</f>
        <v>#REF!</v>
      </c>
      <c r="C20" s="23"/>
      <c r="D20" s="5"/>
      <c r="E20" s="42" t="e">
        <f>B20*I20</f>
        <v>#REF!</v>
      </c>
      <c r="I20" s="7">
        <v>3.4500000000000003E-2</v>
      </c>
    </row>
    <row r="21" spans="1:9" ht="17.25" customHeight="1" x14ac:dyDescent="0.25">
      <c r="A21" s="24" t="s">
        <v>37</v>
      </c>
      <c r="B21" s="5" t="e">
        <f t="shared" ref="B21:B22" si="0">$B$3</f>
        <v>#REF!</v>
      </c>
      <c r="C21" s="19">
        <v>2.4E-2</v>
      </c>
      <c r="D21" s="5" t="e">
        <f t="shared" ref="D21" si="1">B21*C21</f>
        <v>#REF!</v>
      </c>
      <c r="E21" s="42" t="e">
        <f>B21*I21</f>
        <v>#REF!</v>
      </c>
      <c r="I21" s="7">
        <v>4.2000000000000003E-2</v>
      </c>
    </row>
    <row r="22" spans="1:9" ht="17.25" customHeight="1" x14ac:dyDescent="0.25">
      <c r="A22" s="24" t="s">
        <v>76</v>
      </c>
      <c r="B22" s="5" t="e">
        <f t="shared" si="0"/>
        <v>#REF!</v>
      </c>
      <c r="C22" s="23"/>
      <c r="D22" s="5"/>
      <c r="E22" s="42" t="e">
        <f>B22*I22</f>
        <v>#REF!</v>
      </c>
      <c r="I22" s="7">
        <f>1%+0.1%+0.3%+0.01%+0.016%+0.68%+0.55%</f>
        <v>2.656E-2</v>
      </c>
    </row>
    <row r="23" spans="1:9" ht="17.25" customHeight="1" x14ac:dyDescent="0.25">
      <c r="A23" s="24" t="s">
        <v>41</v>
      </c>
      <c r="B23" s="8"/>
      <c r="C23" s="23"/>
      <c r="D23" s="5"/>
      <c r="E23" s="42"/>
      <c r="I23" s="7"/>
    </row>
    <row r="24" spans="1:9" ht="17.25" customHeight="1" x14ac:dyDescent="0.25">
      <c r="A24" s="17"/>
      <c r="B24" s="8"/>
      <c r="C24" s="23"/>
      <c r="D24" s="5"/>
      <c r="E24" s="42"/>
      <c r="I24" s="7"/>
    </row>
    <row r="25" spans="1:9" ht="17.25" customHeight="1" x14ac:dyDescent="0.25">
      <c r="A25" s="3" t="s">
        <v>42</v>
      </c>
      <c r="B25" s="5" t="e">
        <f>(B3*0.9825)+E8+E9</f>
        <v>#REF!</v>
      </c>
      <c r="C25" s="19">
        <v>2.9000000000000001E-2</v>
      </c>
      <c r="D25" s="5" t="e">
        <f t="shared" ref="D25:D26" si="2">B25*C25</f>
        <v>#REF!</v>
      </c>
      <c r="E25" s="44"/>
      <c r="F25" s="25"/>
      <c r="I25" s="45"/>
    </row>
    <row r="26" spans="1:9" ht="17.25" customHeight="1" x14ac:dyDescent="0.25">
      <c r="A26" s="3" t="s">
        <v>43</v>
      </c>
      <c r="B26" s="5" t="e">
        <f>B25</f>
        <v>#REF!</v>
      </c>
      <c r="C26" s="19">
        <v>5.0999999999999997E-2</v>
      </c>
      <c r="D26" s="5" t="e">
        <f t="shared" si="2"/>
        <v>#REF!</v>
      </c>
      <c r="E26" s="44"/>
      <c r="I26" s="45"/>
    </row>
    <row r="27" spans="1:9" ht="17.25" customHeight="1" x14ac:dyDescent="0.25">
      <c r="A27" s="3"/>
      <c r="B27" s="5"/>
      <c r="C27" s="19"/>
      <c r="D27" s="5"/>
      <c r="E27" s="44"/>
      <c r="I27" s="45"/>
    </row>
    <row r="28" spans="1:9" ht="17.25" customHeight="1" x14ac:dyDescent="0.25">
      <c r="A28" s="24" t="s">
        <v>44</v>
      </c>
      <c r="B28" s="5"/>
      <c r="C28" s="4"/>
      <c r="D28" s="5"/>
      <c r="E28" s="71">
        <f>'Bulletin non-cadre'!F22</f>
        <v>0</v>
      </c>
      <c r="I28" s="47"/>
    </row>
    <row r="29" spans="1:9" ht="17.25" customHeight="1" x14ac:dyDescent="0.25">
      <c r="A29" s="17"/>
      <c r="B29" s="18"/>
      <c r="C29" s="21"/>
      <c r="D29" s="21"/>
      <c r="E29" s="48"/>
      <c r="I29" s="45"/>
    </row>
    <row r="30" spans="1:9" ht="17.25" customHeight="1" x14ac:dyDescent="0.25">
      <c r="A30" s="3"/>
      <c r="B30" s="5"/>
      <c r="C30" s="19"/>
      <c r="D30" s="5"/>
      <c r="E30" s="55"/>
      <c r="I30" s="56"/>
    </row>
    <row r="31" spans="1:9" ht="17.25" customHeight="1" x14ac:dyDescent="0.25">
      <c r="A31" s="24" t="s">
        <v>45</v>
      </c>
      <c r="B31" s="26"/>
      <c r="C31" s="18"/>
      <c r="D31" s="27" t="e">
        <f>SUM(D7:D29)</f>
        <v>#REF!</v>
      </c>
      <c r="E31" s="58" t="e">
        <f>SUM(E7:E30)</f>
        <v>#REF!</v>
      </c>
      <c r="I31" s="57"/>
    </row>
    <row r="32" spans="1:9" ht="17.25" customHeight="1" thickBot="1" x14ac:dyDescent="0.3">
      <c r="A32" s="31"/>
      <c r="B32" s="28"/>
      <c r="C32" s="32"/>
      <c r="D32" s="72"/>
      <c r="E32" s="73"/>
      <c r="I32" s="69"/>
    </row>
    <row r="33" spans="1:9" ht="23.25" customHeight="1" x14ac:dyDescent="0.25">
      <c r="D33" s="603" t="s">
        <v>46</v>
      </c>
      <c r="E33" s="604"/>
    </row>
    <row r="34" spans="1:9" ht="24" customHeight="1" x14ac:dyDescent="0.25">
      <c r="A34" s="9"/>
      <c r="B34" s="9"/>
      <c r="C34" s="9"/>
      <c r="D34" s="605" t="e">
        <f>B3-D31</f>
        <v>#REF!</v>
      </c>
      <c r="E34" s="604"/>
      <c r="I34" s="9"/>
    </row>
    <row r="35" spans="1:9" ht="24" customHeight="1" x14ac:dyDescent="0.25">
      <c r="A35" s="9"/>
      <c r="B35" s="9"/>
      <c r="C35" s="9"/>
      <c r="D35" s="29" t="s">
        <v>47</v>
      </c>
      <c r="E35" s="29" t="s">
        <v>48</v>
      </c>
      <c r="I35" s="9"/>
    </row>
    <row r="36" spans="1:9" ht="24" customHeight="1" x14ac:dyDescent="0.25">
      <c r="A36" s="9"/>
      <c r="B36" s="9"/>
      <c r="C36" s="9"/>
      <c r="D36" s="30" t="e">
        <f>B3+E31</f>
        <v>#REF!</v>
      </c>
      <c r="E36" s="30" t="e">
        <f>-E28+(B3*1.8%)</f>
        <v>#REF!</v>
      </c>
      <c r="I36" s="9"/>
    </row>
    <row r="37" spans="1:9" ht="24" customHeight="1" x14ac:dyDescent="0.25">
      <c r="A37" s="9"/>
      <c r="B37" s="9"/>
      <c r="C37" s="9"/>
      <c r="D37" s="10"/>
      <c r="E37" s="10"/>
      <c r="I37" s="9"/>
    </row>
    <row r="38" spans="1:9" ht="24" customHeight="1" x14ac:dyDescent="0.25">
      <c r="A38" s="9"/>
      <c r="B38" s="9"/>
      <c r="C38" s="9"/>
      <c r="D38" s="10"/>
      <c r="E38" s="10"/>
      <c r="I38" s="9"/>
    </row>
    <row r="39" spans="1:9" ht="24" customHeight="1" x14ac:dyDescent="0.25">
      <c r="A39" s="9"/>
      <c r="B39" s="9"/>
      <c r="C39" s="9"/>
      <c r="D39" s="10"/>
      <c r="E39" s="10"/>
      <c r="I39" s="9"/>
    </row>
    <row r="40" spans="1:9" ht="24" customHeight="1" thickBot="1" x14ac:dyDescent="0.3">
      <c r="A40" s="9"/>
      <c r="B40" s="9"/>
      <c r="C40" s="9"/>
      <c r="D40" s="10"/>
      <c r="E40" s="10"/>
      <c r="I40" s="9"/>
    </row>
    <row r="41" spans="1:9" ht="24" customHeight="1" thickBot="1" x14ac:dyDescent="0.3">
      <c r="A41" s="606" t="s">
        <v>69</v>
      </c>
      <c r="B41" s="607"/>
      <c r="C41" s="607"/>
      <c r="D41" s="70" t="e">
        <f>+'Bulletin non-cadre'!#REF!</f>
        <v>#REF!</v>
      </c>
      <c r="E41" s="9"/>
      <c r="I41" s="9"/>
    </row>
    <row r="42" spans="1:9" x14ac:dyDescent="0.25">
      <c r="A42" s="9"/>
      <c r="B42" s="9"/>
      <c r="C42" s="9"/>
      <c r="D42" s="9"/>
      <c r="E42" s="9"/>
      <c r="I42" s="9"/>
    </row>
    <row r="43" spans="1:9" x14ac:dyDescent="0.25">
      <c r="A43" s="9"/>
      <c r="B43" s="9"/>
      <c r="C43" s="9"/>
      <c r="D43" s="9"/>
      <c r="E43" s="9"/>
      <c r="I43" s="9"/>
    </row>
    <row r="44" spans="1:9" x14ac:dyDescent="0.25">
      <c r="A44" s="9"/>
      <c r="B44" s="9"/>
      <c r="C44" s="9"/>
      <c r="D44" s="9"/>
      <c r="E44" s="9"/>
      <c r="I44" s="9"/>
    </row>
    <row r="45" spans="1:9" x14ac:dyDescent="0.25">
      <c r="A45" s="9"/>
      <c r="B45" s="9"/>
      <c r="C45" s="9"/>
      <c r="D45" s="9"/>
      <c r="E45" s="9"/>
      <c r="I45" s="9"/>
    </row>
    <row r="46" spans="1:9" x14ac:dyDescent="0.25">
      <c r="A46" s="9"/>
      <c r="B46" s="9"/>
      <c r="C46" s="9"/>
      <c r="D46" s="9"/>
      <c r="E46" s="9"/>
      <c r="I46" s="9"/>
    </row>
    <row r="47" spans="1:9" x14ac:dyDescent="0.25">
      <c r="A47" s="9"/>
      <c r="B47" s="9"/>
      <c r="C47" s="9"/>
      <c r="D47" s="9"/>
      <c r="E47" s="9"/>
      <c r="I47" s="9"/>
    </row>
  </sheetData>
  <mergeCells count="9">
    <mergeCell ref="I4:I5"/>
    <mergeCell ref="D33:E33"/>
    <mergeCell ref="D34:E34"/>
    <mergeCell ref="A41:C41"/>
    <mergeCell ref="A4:A5"/>
    <mergeCell ref="B4:B5"/>
    <mergeCell ref="C4:C5"/>
    <mergeCell ref="D4:D5"/>
    <mergeCell ref="E4:E5"/>
  </mergeCells>
  <pageMargins left="0" right="0" top="0" bottom="0" header="0" footer="0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AC94-62F6-4BB4-8969-CEC09723E755}">
  <dimension ref="A1:R16"/>
  <sheetViews>
    <sheetView zoomScale="150" zoomScaleNormal="150" workbookViewId="0">
      <selection activeCell="F2" sqref="F2"/>
    </sheetView>
  </sheetViews>
  <sheetFormatPr baseColWidth="10" defaultRowHeight="18" customHeight="1" x14ac:dyDescent="0.25"/>
  <cols>
    <col min="1" max="1" width="26.85546875" style="348" bestFit="1" customWidth="1"/>
    <col min="2" max="2" width="36" style="348" bestFit="1" customWidth="1"/>
    <col min="3" max="4" width="13.5703125" style="348" customWidth="1"/>
    <col min="5" max="6" width="18.5703125" style="348" bestFit="1" customWidth="1"/>
    <col min="7" max="7" width="18.5703125" style="348" customWidth="1"/>
    <col min="8" max="8" width="20.140625" style="348" bestFit="1" customWidth="1"/>
    <col min="9" max="9" width="17.85546875" style="348" customWidth="1"/>
    <col min="10" max="10" width="57" style="348" hidden="1" customWidth="1"/>
    <col min="11" max="11" width="9.28515625" style="348" hidden="1" customWidth="1"/>
    <col min="12" max="12" width="11.7109375" style="348" hidden="1" customWidth="1"/>
    <col min="13" max="14" width="14.28515625" style="348" hidden="1" customWidth="1"/>
    <col min="15" max="15" width="13.42578125" style="348" hidden="1" customWidth="1"/>
    <col min="16" max="18" width="1.140625" style="348" hidden="1" customWidth="1"/>
    <col min="19" max="16384" width="11.42578125" style="348"/>
  </cols>
  <sheetData>
    <row r="1" spans="1:12" ht="27" customHeight="1" x14ac:dyDescent="0.25">
      <c r="A1" s="610" t="s">
        <v>186</v>
      </c>
      <c r="B1" s="611"/>
      <c r="C1" s="522"/>
      <c r="D1" s="522"/>
      <c r="E1" s="522"/>
    </row>
    <row r="2" spans="1:12" ht="18" customHeight="1" x14ac:dyDescent="0.25">
      <c r="A2" s="349" t="s">
        <v>181</v>
      </c>
      <c r="B2" s="558" t="s">
        <v>324</v>
      </c>
      <c r="C2" s="523"/>
      <c r="D2" s="523"/>
      <c r="E2" s="523"/>
    </row>
    <row r="3" spans="1:12" ht="18" customHeight="1" x14ac:dyDescent="0.25">
      <c r="A3" s="349" t="s">
        <v>138</v>
      </c>
      <c r="B3" s="350">
        <v>3000</v>
      </c>
      <c r="C3" s="524"/>
      <c r="D3" s="524"/>
      <c r="E3" s="524"/>
    </row>
    <row r="4" spans="1:12" ht="18" customHeight="1" x14ac:dyDescent="0.25">
      <c r="A4" s="349" t="s">
        <v>182</v>
      </c>
      <c r="B4" s="351">
        <v>5.0000000000000001E-3</v>
      </c>
      <c r="C4" s="525"/>
      <c r="D4" s="525"/>
      <c r="E4" s="525"/>
    </row>
    <row r="5" spans="1:12" ht="18" customHeight="1" x14ac:dyDescent="0.25">
      <c r="A5" s="349" t="s">
        <v>183</v>
      </c>
      <c r="B5" s="351">
        <v>5.0000000000000001E-3</v>
      </c>
      <c r="C5" s="525"/>
      <c r="D5" s="525"/>
      <c r="E5" s="525"/>
    </row>
    <row r="6" spans="1:12" ht="18" customHeight="1" x14ac:dyDescent="0.25">
      <c r="A6" s="349" t="s">
        <v>314</v>
      </c>
      <c r="B6" s="351">
        <v>0.01</v>
      </c>
      <c r="C6" s="525"/>
      <c r="D6" s="525"/>
      <c r="E6" s="525"/>
    </row>
    <row r="7" spans="1:12" ht="18" customHeight="1" x14ac:dyDescent="0.25">
      <c r="A7" s="349" t="s">
        <v>184</v>
      </c>
      <c r="B7" s="351">
        <v>0.02</v>
      </c>
      <c r="C7" s="525"/>
      <c r="D7" s="525"/>
      <c r="E7" s="525"/>
    </row>
    <row r="8" spans="1:12" ht="18" customHeight="1" x14ac:dyDescent="0.25">
      <c r="A8" s="349" t="s">
        <v>322</v>
      </c>
      <c r="B8" s="351" t="s">
        <v>350</v>
      </c>
      <c r="C8" s="525"/>
      <c r="D8" s="525"/>
      <c r="E8" s="525"/>
    </row>
    <row r="9" spans="1:12" ht="18" customHeight="1" x14ac:dyDescent="0.25">
      <c r="A9" s="545" t="s">
        <v>197</v>
      </c>
      <c r="B9" s="350" t="s">
        <v>357</v>
      </c>
      <c r="C9" s="525"/>
      <c r="D9" s="525"/>
      <c r="E9" s="525"/>
    </row>
    <row r="10" spans="1:12" ht="18" customHeight="1" x14ac:dyDescent="0.25">
      <c r="A10" s="545" t="s">
        <v>325</v>
      </c>
      <c r="B10" s="350" t="s">
        <v>326</v>
      </c>
      <c r="C10" s="525"/>
      <c r="D10" s="525"/>
      <c r="E10" s="525"/>
    </row>
    <row r="11" spans="1:12" ht="18" customHeight="1" x14ac:dyDescent="0.25">
      <c r="A11" s="545" t="s">
        <v>327</v>
      </c>
      <c r="B11" s="350">
        <v>9.1999999999999993</v>
      </c>
      <c r="C11" s="525"/>
      <c r="D11" s="525"/>
      <c r="E11" s="525"/>
    </row>
    <row r="12" spans="1:12" ht="18" customHeight="1" x14ac:dyDescent="0.25">
      <c r="A12" s="545" t="s">
        <v>348</v>
      </c>
      <c r="B12" s="556">
        <v>350</v>
      </c>
      <c r="C12" s="525"/>
      <c r="D12" s="525"/>
      <c r="E12" s="525"/>
    </row>
    <row r="13" spans="1:12" ht="18" customHeight="1" thickBot="1" x14ac:dyDescent="0.3">
      <c r="A13" s="352" t="s">
        <v>185</v>
      </c>
      <c r="B13" s="557" t="s">
        <v>323</v>
      </c>
      <c r="C13" s="526"/>
      <c r="D13" s="526"/>
      <c r="E13" s="526"/>
    </row>
    <row r="14" spans="1:12" ht="12.75" thickBot="1" x14ac:dyDescent="0.3"/>
    <row r="15" spans="1:12" ht="18" customHeight="1" x14ac:dyDescent="0.25">
      <c r="J15" s="399" t="s">
        <v>192</v>
      </c>
      <c r="K15" s="400" t="e">
        <f>-#REF!*1.7%</f>
        <v>#REF!</v>
      </c>
      <c r="L15" s="395"/>
    </row>
    <row r="16" spans="1:12" ht="18" customHeight="1" x14ac:dyDescent="0.25">
      <c r="A16" s="370" t="s">
        <v>349</v>
      </c>
    </row>
  </sheetData>
  <mergeCells count="1">
    <mergeCell ref="A1:B1"/>
  </mergeCells>
  <pageMargins left="0" right="0" top="0" bottom="0" header="0" footer="0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C090-7CEE-4E3F-9E19-1C34B57AFE25}">
  <dimension ref="A1:E35"/>
  <sheetViews>
    <sheetView workbookViewId="0">
      <selection activeCell="F11" sqref="F11"/>
    </sheetView>
  </sheetViews>
  <sheetFormatPr baseColWidth="10" defaultRowHeight="15" x14ac:dyDescent="0.25"/>
  <cols>
    <col min="1" max="1" width="51.42578125" style="308" bestFit="1" customWidth="1"/>
    <col min="2" max="2" width="22.85546875" style="308" customWidth="1"/>
    <col min="3" max="3" width="11.42578125" style="308"/>
    <col min="4" max="4" width="17.28515625" style="308" bestFit="1" customWidth="1"/>
    <col min="5" max="16384" width="11.42578125" style="308"/>
  </cols>
  <sheetData>
    <row r="1" spans="1:5" ht="21" x14ac:dyDescent="0.25">
      <c r="A1" s="560" t="s">
        <v>337</v>
      </c>
      <c r="D1" s="560" t="s">
        <v>340</v>
      </c>
    </row>
    <row r="2" spans="1:5" ht="15.75" thickBot="1" x14ac:dyDescent="0.3"/>
    <row r="3" spans="1:5" x14ac:dyDescent="0.25">
      <c r="A3" s="614" t="s">
        <v>329</v>
      </c>
      <c r="B3" s="612" t="s">
        <v>338</v>
      </c>
      <c r="D3" s="314" t="s">
        <v>341</v>
      </c>
      <c r="E3" s="576">
        <v>1</v>
      </c>
    </row>
    <row r="4" spans="1:5" ht="15.75" thickBot="1" x14ac:dyDescent="0.3">
      <c r="A4" s="615"/>
      <c r="B4" s="613"/>
      <c r="D4" s="565" t="s">
        <v>342</v>
      </c>
      <c r="E4" s="577">
        <v>3</v>
      </c>
    </row>
    <row r="5" spans="1:5" ht="22.5" customHeight="1" thickBot="1" x14ac:dyDescent="0.3">
      <c r="A5" s="561" t="s">
        <v>330</v>
      </c>
      <c r="B5" s="559">
        <v>38.700000000000003</v>
      </c>
      <c r="D5" s="567" t="s">
        <v>313</v>
      </c>
      <c r="E5" s="578">
        <f>E4+E3</f>
        <v>4</v>
      </c>
    </row>
    <row r="6" spans="1:5" ht="22.5" customHeight="1" thickBot="1" x14ac:dyDescent="0.3">
      <c r="A6" s="561" t="s">
        <v>331</v>
      </c>
      <c r="B6" s="559">
        <v>54.2</v>
      </c>
    </row>
    <row r="7" spans="1:5" ht="22.5" customHeight="1" thickBot="1" x14ac:dyDescent="0.3">
      <c r="A7" s="561" t="s">
        <v>332</v>
      </c>
      <c r="B7" s="559">
        <v>72.3</v>
      </c>
    </row>
    <row r="8" spans="1:5" ht="22.5" customHeight="1" thickBot="1" x14ac:dyDescent="0.3">
      <c r="A8" s="561" t="s">
        <v>333</v>
      </c>
      <c r="B8" s="559">
        <v>90.2</v>
      </c>
    </row>
    <row r="9" spans="1:5" ht="22.5" customHeight="1" thickBot="1" x14ac:dyDescent="0.3">
      <c r="A9" s="561" t="s">
        <v>334</v>
      </c>
      <c r="B9" s="559">
        <v>114.4</v>
      </c>
    </row>
    <row r="10" spans="1:5" ht="22.5" customHeight="1" thickBot="1" x14ac:dyDescent="0.3">
      <c r="A10" s="561" t="s">
        <v>335</v>
      </c>
      <c r="B10" s="559">
        <v>138.19999999999999</v>
      </c>
    </row>
    <row r="11" spans="1:5" ht="22.5" customHeight="1" thickBot="1" x14ac:dyDescent="0.3">
      <c r="A11" s="561" t="s">
        <v>336</v>
      </c>
      <c r="B11" s="559">
        <v>168.5</v>
      </c>
    </row>
    <row r="12" spans="1:5" ht="22.5" customHeight="1" thickBot="1" x14ac:dyDescent="0.3">
      <c r="A12" s="561" t="s">
        <v>339</v>
      </c>
      <c r="B12" s="559">
        <v>192.6</v>
      </c>
    </row>
    <row r="15" spans="1:5" ht="18.75" x14ac:dyDescent="0.25">
      <c r="A15" s="563" t="s">
        <v>328</v>
      </c>
    </row>
    <row r="17" spans="1:2" x14ac:dyDescent="0.25">
      <c r="A17" s="311" t="s">
        <v>343</v>
      </c>
    </row>
    <row r="18" spans="1:2" ht="15.75" thickBot="1" x14ac:dyDescent="0.3"/>
    <row r="19" spans="1:2" ht="21" customHeight="1" x14ac:dyDescent="0.25">
      <c r="A19" s="314" t="s">
        <v>138</v>
      </c>
      <c r="B19" s="564">
        <v>3000</v>
      </c>
    </row>
    <row r="20" spans="1:2" ht="21" customHeight="1" x14ac:dyDescent="0.25">
      <c r="A20" s="571" t="s">
        <v>347</v>
      </c>
      <c r="B20" s="572">
        <v>350</v>
      </c>
    </row>
    <row r="21" spans="1:2" ht="21" customHeight="1" x14ac:dyDescent="0.25">
      <c r="A21" s="571" t="s">
        <v>313</v>
      </c>
      <c r="B21" s="572">
        <f>B20+B19</f>
        <v>3350</v>
      </c>
    </row>
    <row r="22" spans="1:2" ht="21" customHeight="1" x14ac:dyDescent="0.25">
      <c r="A22" s="565" t="s">
        <v>344</v>
      </c>
      <c r="B22" s="573">
        <f>B9</f>
        <v>114.4</v>
      </c>
    </row>
    <row r="23" spans="1:2" ht="21" customHeight="1" thickBot="1" x14ac:dyDescent="0.3">
      <c r="A23" s="567" t="s">
        <v>345</v>
      </c>
      <c r="B23" s="568">
        <f>4*B22</f>
        <v>457.6</v>
      </c>
    </row>
    <row r="24" spans="1:2" x14ac:dyDescent="0.25">
      <c r="B24" s="562"/>
    </row>
    <row r="25" spans="1:2" x14ac:dyDescent="0.25">
      <c r="A25" s="311" t="s">
        <v>1</v>
      </c>
      <c r="B25" s="562"/>
    </row>
    <row r="26" spans="1:2" ht="15.75" thickBot="1" x14ac:dyDescent="0.3">
      <c r="B26" s="562"/>
    </row>
    <row r="27" spans="1:2" x14ac:dyDescent="0.25">
      <c r="A27" s="314" t="s">
        <v>138</v>
      </c>
      <c r="B27" s="564">
        <v>3000</v>
      </c>
    </row>
    <row r="28" spans="1:2" x14ac:dyDescent="0.25">
      <c r="A28" s="565" t="s">
        <v>345</v>
      </c>
      <c r="B28" s="566">
        <f>B23</f>
        <v>457.6</v>
      </c>
    </row>
    <row r="29" spans="1:2" x14ac:dyDescent="0.25">
      <c r="A29" s="574" t="s">
        <v>347</v>
      </c>
      <c r="B29" s="575">
        <v>350</v>
      </c>
    </row>
    <row r="30" spans="1:2" ht="15.75" thickBot="1" x14ac:dyDescent="0.3">
      <c r="A30" s="567" t="s">
        <v>1</v>
      </c>
      <c r="B30" s="568">
        <f>SUM(B27:B29)</f>
        <v>3807.6</v>
      </c>
    </row>
    <row r="31" spans="1:2" ht="15.75" thickBot="1" x14ac:dyDescent="0.3"/>
    <row r="32" spans="1:2" x14ac:dyDescent="0.25">
      <c r="A32" s="586" t="s">
        <v>346</v>
      </c>
      <c r="B32" s="587">
        <v>3428</v>
      </c>
    </row>
    <row r="33" spans="1:2" ht="15.75" thickBot="1" x14ac:dyDescent="0.3">
      <c r="A33" s="588" t="s">
        <v>351</v>
      </c>
      <c r="B33" s="589">
        <f>+B30-B32</f>
        <v>379.59999999999991</v>
      </c>
    </row>
    <row r="34" spans="1:2" ht="15.75" thickBot="1" x14ac:dyDescent="0.3"/>
    <row r="35" spans="1:2" ht="15.75" thickBot="1" x14ac:dyDescent="0.3">
      <c r="A35" s="569" t="s">
        <v>352</v>
      </c>
      <c r="B35" s="570">
        <f>23*9*0.4</f>
        <v>82.800000000000011</v>
      </c>
    </row>
  </sheetData>
  <mergeCells count="2">
    <mergeCell ref="B3:B4"/>
    <mergeCell ref="A3:A4"/>
  </mergeCells>
  <phoneticPr fontId="10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2A1C-B9DF-41A4-B37A-703BAABEB3A0}">
  <dimension ref="A1:U41"/>
  <sheetViews>
    <sheetView topLeftCell="A20" zoomScaleNormal="100" workbookViewId="0">
      <selection activeCell="B35" sqref="B35"/>
    </sheetView>
  </sheetViews>
  <sheetFormatPr baseColWidth="10" defaultRowHeight="18" customHeight="1" x14ac:dyDescent="0.25"/>
  <cols>
    <col min="1" max="1" width="50.140625" style="348" customWidth="1"/>
    <col min="2" max="2" width="13.5703125" style="348" customWidth="1"/>
    <col min="3" max="3" width="10.28515625" style="348" customWidth="1"/>
    <col min="4" max="4" width="11.5703125" style="348" bestFit="1" customWidth="1"/>
    <col min="5" max="5" width="7.85546875" style="348" customWidth="1"/>
    <col min="6" max="6" width="10.140625" style="348" bestFit="1" customWidth="1"/>
    <col min="7" max="7" width="2.42578125" style="348" customWidth="1"/>
    <col min="8" max="8" width="57" style="348" hidden="1" customWidth="1"/>
    <col min="9" max="9" width="9.28515625" style="348" hidden="1" customWidth="1"/>
    <col min="10" max="10" width="11.7109375" style="348" hidden="1" customWidth="1"/>
    <col min="11" max="12" width="14.28515625" style="348" hidden="1" customWidth="1"/>
    <col min="13" max="13" width="13.42578125" style="348" hidden="1" customWidth="1"/>
    <col min="14" max="14" width="1.140625" style="348" hidden="1" customWidth="1"/>
    <col min="15" max="17" width="11.42578125" style="348" hidden="1" customWidth="1"/>
    <col min="18" max="19" width="0" style="348" hidden="1" customWidth="1"/>
    <col min="20" max="16384" width="11.42578125" style="348"/>
  </cols>
  <sheetData>
    <row r="1" spans="1:13" ht="18" customHeight="1" x14ac:dyDescent="0.25">
      <c r="A1" s="618" t="s">
        <v>129</v>
      </c>
      <c r="B1" s="619"/>
      <c r="C1" s="619"/>
      <c r="D1" s="619"/>
      <c r="E1" s="619"/>
      <c r="F1" s="402"/>
      <c r="H1" s="353" t="s">
        <v>119</v>
      </c>
      <c r="I1" s="354"/>
      <c r="J1" s="355"/>
      <c r="K1" s="355"/>
      <c r="L1" s="355"/>
    </row>
    <row r="2" spans="1:13" ht="18" customHeight="1" thickBot="1" x14ac:dyDescent="0.3">
      <c r="J2" s="356"/>
      <c r="K2" s="356"/>
      <c r="L2" s="356"/>
      <c r="M2" s="356"/>
    </row>
    <row r="3" spans="1:13" ht="18" customHeight="1" thickBot="1" x14ac:dyDescent="0.3">
      <c r="A3" s="620"/>
      <c r="B3" s="622" t="s">
        <v>2</v>
      </c>
      <c r="C3" s="622" t="s">
        <v>3</v>
      </c>
      <c r="D3" s="622" t="s">
        <v>4</v>
      </c>
      <c r="E3" s="622" t="s">
        <v>5</v>
      </c>
      <c r="F3" s="624" t="s">
        <v>6</v>
      </c>
      <c r="H3" s="357" t="s">
        <v>1</v>
      </c>
      <c r="I3" s="358" t="e">
        <f>#REF!</f>
        <v>#REF!</v>
      </c>
    </row>
    <row r="4" spans="1:13" ht="18" customHeight="1" x14ac:dyDescent="0.25">
      <c r="A4" s="621"/>
      <c r="B4" s="623"/>
      <c r="C4" s="623"/>
      <c r="D4" s="623"/>
      <c r="E4" s="623"/>
      <c r="F4" s="625"/>
      <c r="H4" s="626"/>
      <c r="I4" s="628" t="s">
        <v>2</v>
      </c>
      <c r="J4" s="628" t="s">
        <v>71</v>
      </c>
      <c r="K4" s="628" t="s">
        <v>72</v>
      </c>
      <c r="L4" s="405"/>
      <c r="M4" s="616" t="s">
        <v>73</v>
      </c>
    </row>
    <row r="5" spans="1:13" ht="18" customHeight="1" x14ac:dyDescent="0.25">
      <c r="A5" s="346" t="s">
        <v>50</v>
      </c>
      <c r="B5" s="528">
        <f>+'CALCULS PREALABLES'!B30</f>
        <v>3807.6</v>
      </c>
      <c r="C5" s="347"/>
      <c r="D5" s="359"/>
      <c r="E5" s="347">
        <v>7.0000000000000007E-2</v>
      </c>
      <c r="F5" s="340">
        <f>E5*B5</f>
        <v>266.53200000000004</v>
      </c>
      <c r="H5" s="627"/>
      <c r="I5" s="629"/>
      <c r="J5" s="629"/>
      <c r="K5" s="629"/>
      <c r="L5" s="406"/>
      <c r="M5" s="617"/>
    </row>
    <row r="6" spans="1:13" ht="15" customHeight="1" x14ac:dyDescent="0.25">
      <c r="A6" s="346" t="s">
        <v>17</v>
      </c>
      <c r="B6" s="528">
        <f>B5</f>
        <v>3807.6</v>
      </c>
      <c r="C6" s="347">
        <v>5.0000000000000001E-3</v>
      </c>
      <c r="D6" s="359">
        <f t="shared" ref="D6:D31" si="0">C6*B6</f>
        <v>19.038</v>
      </c>
      <c r="E6" s="347">
        <v>5.0000000000000001E-3</v>
      </c>
      <c r="F6" s="340">
        <f t="shared" ref="F6:F31" si="1">E6*B6</f>
        <v>19.038</v>
      </c>
      <c r="G6" s="374"/>
      <c r="H6" s="379" t="s">
        <v>174</v>
      </c>
      <c r="I6" s="377"/>
      <c r="J6" s="380"/>
      <c r="K6" s="373" t="e">
        <f>I3-#REF!</f>
        <v>#REF!</v>
      </c>
      <c r="L6" s="408"/>
      <c r="M6" s="378"/>
    </row>
    <row r="7" spans="1:13" ht="15" customHeight="1" thickBot="1" x14ac:dyDescent="0.3">
      <c r="A7" s="346" t="s">
        <v>62</v>
      </c>
      <c r="B7" s="528">
        <v>3428</v>
      </c>
      <c r="C7" s="347"/>
      <c r="D7" s="359"/>
      <c r="E7" s="347">
        <v>1.4999999999999999E-2</v>
      </c>
      <c r="F7" s="340">
        <f t="shared" si="1"/>
        <v>51.419999999999995</v>
      </c>
      <c r="G7" s="374"/>
      <c r="H7" s="381" t="s">
        <v>175</v>
      </c>
      <c r="I7" s="382"/>
      <c r="J7" s="383"/>
      <c r="K7" s="398" t="e">
        <f>I41</f>
        <v>#REF!</v>
      </c>
      <c r="L7" s="409"/>
      <c r="M7" s="384"/>
    </row>
    <row r="8" spans="1:13" ht="18" customHeight="1" x14ac:dyDescent="0.25">
      <c r="A8" s="346" t="s">
        <v>51</v>
      </c>
      <c r="B8" s="528">
        <f t="shared" ref="B8:B27" si="2">B7</f>
        <v>3428</v>
      </c>
      <c r="C8" s="347">
        <v>6.9000000000000006E-2</v>
      </c>
      <c r="D8" s="359">
        <f t="shared" si="0"/>
        <v>236.53200000000001</v>
      </c>
      <c r="E8" s="347">
        <v>8.5500000000000007E-2</v>
      </c>
      <c r="F8" s="340">
        <f t="shared" si="1"/>
        <v>293.09399999999999</v>
      </c>
      <c r="H8" s="360" t="s">
        <v>23</v>
      </c>
      <c r="I8" s="361"/>
      <c r="J8" s="403"/>
      <c r="K8" s="403"/>
      <c r="L8" s="406"/>
      <c r="M8" s="362"/>
    </row>
    <row r="9" spans="1:13" ht="18" customHeight="1" x14ac:dyDescent="0.25">
      <c r="A9" s="346" t="s">
        <v>51</v>
      </c>
      <c r="B9" s="528">
        <f>+B5</f>
        <v>3807.6</v>
      </c>
      <c r="C9" s="347">
        <v>4.0000000000000001E-3</v>
      </c>
      <c r="D9" s="359">
        <f t="shared" si="0"/>
        <v>15.230399999999999</v>
      </c>
      <c r="E9" s="347">
        <v>1.9E-2</v>
      </c>
      <c r="F9" s="340">
        <f t="shared" si="1"/>
        <v>72.344399999999993</v>
      </c>
      <c r="H9" s="363" t="s">
        <v>24</v>
      </c>
      <c r="I9" s="364"/>
      <c r="J9" s="365"/>
      <c r="K9" s="364"/>
      <c r="L9" s="407"/>
      <c r="M9" s="342">
        <f>F5</f>
        <v>266.53200000000004</v>
      </c>
    </row>
    <row r="10" spans="1:13" ht="15" customHeight="1" x14ac:dyDescent="0.25">
      <c r="A10" s="346" t="s">
        <v>314</v>
      </c>
      <c r="B10" s="528"/>
      <c r="C10" s="366"/>
      <c r="D10" s="359"/>
      <c r="E10" s="367"/>
      <c r="F10" s="341"/>
      <c r="H10" s="363" t="s">
        <v>25</v>
      </c>
      <c r="I10" s="364" t="e">
        <f>$I$3</f>
        <v>#REF!</v>
      </c>
      <c r="J10" s="365">
        <f>C7</f>
        <v>0</v>
      </c>
      <c r="K10" s="364" t="e">
        <f>J10*I10</f>
        <v>#REF!</v>
      </c>
      <c r="L10" s="407"/>
      <c r="M10" s="343">
        <f>F7</f>
        <v>51.419999999999995</v>
      </c>
    </row>
    <row r="11" spans="1:13" ht="15" customHeight="1" x14ac:dyDescent="0.25">
      <c r="A11" s="346" t="s">
        <v>53</v>
      </c>
      <c r="B11" s="528">
        <f>B5</f>
        <v>3807.6</v>
      </c>
      <c r="C11" s="366"/>
      <c r="D11" s="359"/>
      <c r="E11" s="347">
        <v>3.4500000000000003E-2</v>
      </c>
      <c r="F11" s="341">
        <f t="shared" si="1"/>
        <v>131.3622</v>
      </c>
      <c r="H11" s="363" t="s">
        <v>26</v>
      </c>
      <c r="I11" s="364" t="e">
        <f>$I$3</f>
        <v>#REF!</v>
      </c>
      <c r="J11" s="365">
        <f>C6</f>
        <v>5.0000000000000001E-3</v>
      </c>
      <c r="K11" s="364" t="e">
        <f>J11*I11</f>
        <v>#REF!</v>
      </c>
      <c r="L11" s="407"/>
      <c r="M11" s="343">
        <f>F6</f>
        <v>19.038</v>
      </c>
    </row>
    <row r="12" spans="1:13" ht="15" customHeight="1" x14ac:dyDescent="0.25">
      <c r="A12" s="346" t="s">
        <v>54</v>
      </c>
      <c r="B12" s="528">
        <v>3428</v>
      </c>
      <c r="C12" s="366"/>
      <c r="D12" s="359"/>
      <c r="E12" s="347">
        <v>1E-3</v>
      </c>
      <c r="F12" s="341">
        <f t="shared" si="1"/>
        <v>3.4279999999999999</v>
      </c>
      <c r="H12" s="360" t="s">
        <v>27</v>
      </c>
      <c r="I12" s="364"/>
      <c r="J12" s="368"/>
      <c r="K12" s="364"/>
      <c r="L12" s="407"/>
      <c r="M12" s="342">
        <f>F14</f>
        <v>76.152000000000001</v>
      </c>
    </row>
    <row r="13" spans="1:13" ht="15" customHeight="1" x14ac:dyDescent="0.25">
      <c r="A13" s="346" t="s">
        <v>55</v>
      </c>
      <c r="B13" s="528">
        <f>+B11</f>
        <v>3807.6</v>
      </c>
      <c r="C13" s="366"/>
      <c r="D13" s="359"/>
      <c r="E13" s="347">
        <v>3.0000000000000001E-3</v>
      </c>
      <c r="F13" s="341">
        <f t="shared" si="1"/>
        <v>11.422800000000001</v>
      </c>
      <c r="H13" s="360" t="s">
        <v>8</v>
      </c>
      <c r="I13" s="364"/>
      <c r="J13" s="368"/>
      <c r="K13" s="364"/>
      <c r="L13" s="407"/>
      <c r="M13" s="343"/>
    </row>
    <row r="14" spans="1:13" ht="15" customHeight="1" x14ac:dyDescent="0.25">
      <c r="A14" s="346" t="s">
        <v>56</v>
      </c>
      <c r="B14" s="528">
        <f>+B5</f>
        <v>3807.6</v>
      </c>
      <c r="C14" s="366"/>
      <c r="D14" s="359"/>
      <c r="E14" s="347">
        <v>0.02</v>
      </c>
      <c r="F14" s="340">
        <f t="shared" si="1"/>
        <v>76.152000000000001</v>
      </c>
      <c r="H14" s="363" t="s">
        <v>28</v>
      </c>
      <c r="I14" s="364">
        <f>B8</f>
        <v>3428</v>
      </c>
      <c r="J14" s="365">
        <f>C8</f>
        <v>6.9000000000000006E-2</v>
      </c>
      <c r="K14" s="364">
        <f>J14*I14</f>
        <v>236.53200000000001</v>
      </c>
      <c r="L14" s="407"/>
      <c r="M14" s="342">
        <f>F8</f>
        <v>293.09399999999999</v>
      </c>
    </row>
    <row r="15" spans="1:13" ht="15" customHeight="1" x14ac:dyDescent="0.25">
      <c r="A15" s="346" t="s">
        <v>9</v>
      </c>
      <c r="B15" s="528">
        <f>(B5*0.9825)+F6+F7</f>
        <v>3811.4250000000002</v>
      </c>
      <c r="C15" s="347">
        <v>2.4E-2</v>
      </c>
      <c r="D15" s="359">
        <f t="shared" si="0"/>
        <v>91.47420000000001</v>
      </c>
      <c r="E15" s="366"/>
      <c r="F15" s="341"/>
      <c r="H15" s="363" t="s">
        <v>29</v>
      </c>
      <c r="I15" s="364">
        <f>B9</f>
        <v>3807.6</v>
      </c>
      <c r="J15" s="365">
        <f>C9</f>
        <v>4.0000000000000001E-3</v>
      </c>
      <c r="K15" s="364">
        <f>J15*I15</f>
        <v>15.230399999999999</v>
      </c>
      <c r="L15" s="407"/>
      <c r="M15" s="342">
        <f>F9</f>
        <v>72.344399999999993</v>
      </c>
    </row>
    <row r="16" spans="1:13" ht="15" customHeight="1" x14ac:dyDescent="0.25">
      <c r="A16" s="346" t="s">
        <v>10</v>
      </c>
      <c r="B16" s="528">
        <f t="shared" si="2"/>
        <v>3811.4250000000002</v>
      </c>
      <c r="C16" s="347">
        <v>6.8000000000000005E-2</v>
      </c>
      <c r="D16" s="359">
        <f t="shared" si="0"/>
        <v>259.17690000000005</v>
      </c>
      <c r="E16" s="366"/>
      <c r="F16" s="341"/>
      <c r="H16" s="363" t="s">
        <v>74</v>
      </c>
      <c r="I16" s="364">
        <f>B26</f>
        <v>3428</v>
      </c>
      <c r="J16" s="369">
        <v>4.0099999999999997E-2</v>
      </c>
      <c r="K16" s="364">
        <f>J16*I16</f>
        <v>137.46279999999999</v>
      </c>
      <c r="L16" s="407"/>
      <c r="M16" s="342">
        <f>F26+F27</f>
        <v>206.02280000000002</v>
      </c>
    </row>
    <row r="17" spans="1:21" ht="15" customHeight="1" x14ac:dyDescent="0.25">
      <c r="A17" s="346" t="s">
        <v>11</v>
      </c>
      <c r="B17" s="528">
        <f t="shared" si="2"/>
        <v>3811.4250000000002</v>
      </c>
      <c r="C17" s="347">
        <v>5.0000000000000001E-3</v>
      </c>
      <c r="D17" s="359">
        <f t="shared" si="0"/>
        <v>19.057125000000003</v>
      </c>
      <c r="E17" s="366"/>
      <c r="F17" s="341"/>
      <c r="G17" s="370"/>
      <c r="H17" s="363" t="s">
        <v>75</v>
      </c>
      <c r="I17" s="364" t="e">
        <f>#REF!</f>
        <v>#REF!</v>
      </c>
      <c r="J17" s="369" t="e">
        <f>#REF!+#REF!</f>
        <v>#REF!</v>
      </c>
      <c r="K17" s="364" t="e">
        <f>J17*I17</f>
        <v>#REF!</v>
      </c>
      <c r="L17" s="407"/>
      <c r="M17" s="343" t="e">
        <f>#REF!+#REF!</f>
        <v>#REF!</v>
      </c>
    </row>
    <row r="18" spans="1:21" ht="15" customHeight="1" x14ac:dyDescent="0.25">
      <c r="A18" s="346" t="s">
        <v>315</v>
      </c>
      <c r="B18" s="528"/>
      <c r="C18" s="347">
        <v>9.7000000000000003E-2</v>
      </c>
      <c r="D18" s="359">
        <f t="shared" si="0"/>
        <v>0</v>
      </c>
      <c r="E18" s="366"/>
      <c r="F18" s="341"/>
      <c r="G18" s="370"/>
      <c r="H18" s="363"/>
      <c r="I18" s="364"/>
      <c r="J18" s="369"/>
      <c r="K18" s="364"/>
      <c r="L18" s="407"/>
      <c r="M18" s="343"/>
    </row>
    <row r="19" spans="1:21" ht="15" customHeight="1" x14ac:dyDescent="0.25">
      <c r="A19" s="346" t="s">
        <v>12</v>
      </c>
      <c r="B19" s="528">
        <f>B5</f>
        <v>3807.6</v>
      </c>
      <c r="C19" s="347"/>
      <c r="D19" s="359"/>
      <c r="E19" s="371">
        <v>1.6000000000000001E-4</v>
      </c>
      <c r="F19" s="341">
        <f t="shared" si="1"/>
        <v>0.60921599999999998</v>
      </c>
      <c r="H19" s="363" t="s">
        <v>34</v>
      </c>
      <c r="I19" s="364"/>
      <c r="J19" s="369"/>
      <c r="K19" s="364"/>
      <c r="L19" s="407"/>
      <c r="M19" s="343"/>
    </row>
    <row r="20" spans="1:21" ht="15" customHeight="1" x14ac:dyDescent="0.25">
      <c r="A20" s="346" t="s">
        <v>92</v>
      </c>
      <c r="B20" s="359"/>
      <c r="C20" s="347"/>
      <c r="D20" s="359"/>
      <c r="E20" s="371">
        <v>0.08</v>
      </c>
      <c r="F20" s="341">
        <f t="shared" si="1"/>
        <v>0</v>
      </c>
      <c r="H20" s="363"/>
      <c r="I20" s="364"/>
      <c r="J20" s="369"/>
      <c r="K20" s="364"/>
      <c r="L20" s="407"/>
      <c r="M20" s="343"/>
    </row>
    <row r="21" spans="1:21" ht="15" customHeight="1" x14ac:dyDescent="0.25">
      <c r="A21" s="346" t="s">
        <v>308</v>
      </c>
      <c r="B21" s="528"/>
      <c r="C21" s="347"/>
      <c r="D21" s="359"/>
      <c r="E21" s="371"/>
      <c r="F21" s="341"/>
      <c r="H21" s="360" t="s">
        <v>172</v>
      </c>
      <c r="I21" s="364">
        <f>B11</f>
        <v>3807.6</v>
      </c>
      <c r="J21" s="369"/>
      <c r="K21" s="364"/>
      <c r="L21" s="407"/>
      <c r="M21" s="342">
        <f>F11</f>
        <v>131.3622</v>
      </c>
    </row>
    <row r="22" spans="1:21" ht="15" customHeight="1" x14ac:dyDescent="0.25">
      <c r="A22" s="396" t="s">
        <v>14</v>
      </c>
      <c r="B22" s="528"/>
      <c r="C22" s="366"/>
      <c r="D22" s="359"/>
      <c r="E22" s="366"/>
      <c r="F22" s="341"/>
      <c r="H22" s="360" t="s">
        <v>37</v>
      </c>
      <c r="I22" s="364">
        <f>B23</f>
        <v>3807.6</v>
      </c>
      <c r="J22" s="365"/>
      <c r="K22" s="364">
        <f>J22*I22</f>
        <v>0</v>
      </c>
      <c r="L22" s="407"/>
      <c r="M22" s="342">
        <f>F23+F24</f>
        <v>159.91919999999999</v>
      </c>
    </row>
    <row r="23" spans="1:21" ht="15" customHeight="1" x14ac:dyDescent="0.25">
      <c r="A23" s="346" t="s">
        <v>58</v>
      </c>
      <c r="B23" s="528">
        <f>B19</f>
        <v>3807.6</v>
      </c>
      <c r="C23" s="347"/>
      <c r="D23" s="359"/>
      <c r="E23" s="347">
        <v>4.0500000000000001E-2</v>
      </c>
      <c r="F23" s="341">
        <f t="shared" si="1"/>
        <v>154.20779999999999</v>
      </c>
      <c r="H23" s="360" t="s">
        <v>76</v>
      </c>
      <c r="I23" s="364"/>
      <c r="J23" s="369"/>
      <c r="K23" s="364"/>
      <c r="L23" s="407"/>
      <c r="M23" s="343">
        <f>F10+F12+F13+F19+F34+F35+F36+F20</f>
        <v>62.29349599999999</v>
      </c>
    </row>
    <row r="24" spans="1:21" ht="15" customHeight="1" x14ac:dyDescent="0.25">
      <c r="A24" s="346" t="s">
        <v>59</v>
      </c>
      <c r="B24" s="528">
        <f t="shared" si="2"/>
        <v>3807.6</v>
      </c>
      <c r="C24" s="372"/>
      <c r="D24" s="359"/>
      <c r="E24" s="347">
        <v>1.5E-3</v>
      </c>
      <c r="F24" s="341">
        <f t="shared" si="1"/>
        <v>5.7114000000000003</v>
      </c>
      <c r="H24" s="360" t="s">
        <v>41</v>
      </c>
      <c r="I24" s="373"/>
      <c r="J24" s="369"/>
      <c r="K24" s="364"/>
      <c r="L24" s="407"/>
      <c r="M24" s="343"/>
    </row>
    <row r="25" spans="1:21" ht="15" customHeight="1" x14ac:dyDescent="0.25">
      <c r="A25" s="396" t="s">
        <v>70</v>
      </c>
      <c r="B25" s="528"/>
      <c r="C25" s="366"/>
      <c r="D25" s="359"/>
      <c r="E25" s="366"/>
      <c r="F25" s="341"/>
      <c r="H25" s="360" t="s">
        <v>170</v>
      </c>
      <c r="I25" s="364" t="e">
        <f>#REF!+B15</f>
        <v>#REF!</v>
      </c>
      <c r="J25" s="365">
        <v>2.9000000000000001E-2</v>
      </c>
      <c r="K25" s="364" t="e">
        <f>J25*I25</f>
        <v>#REF!</v>
      </c>
      <c r="L25" s="407"/>
      <c r="M25" s="344"/>
    </row>
    <row r="26" spans="1:21" ht="15" customHeight="1" x14ac:dyDescent="0.25">
      <c r="A26" s="346" t="s">
        <v>188</v>
      </c>
      <c r="B26" s="528">
        <f>+B12</f>
        <v>3428</v>
      </c>
      <c r="C26" s="347">
        <v>3.15E-2</v>
      </c>
      <c r="D26" s="359">
        <f t="shared" si="0"/>
        <v>107.982</v>
      </c>
      <c r="E26" s="347">
        <v>4.7199999999999999E-2</v>
      </c>
      <c r="F26" s="341">
        <f t="shared" si="1"/>
        <v>161.80160000000001</v>
      </c>
      <c r="H26" s="360" t="s">
        <v>171</v>
      </c>
      <c r="I26" s="364" t="e">
        <f>I25</f>
        <v>#REF!</v>
      </c>
      <c r="J26" s="365">
        <v>6.8000000000000005E-2</v>
      </c>
      <c r="K26" s="364" t="e">
        <f>J26*I26</f>
        <v>#REF!</v>
      </c>
      <c r="L26" s="407"/>
      <c r="M26" s="344"/>
    </row>
    <row r="27" spans="1:21" ht="15" customHeight="1" x14ac:dyDescent="0.25">
      <c r="A27" s="346" t="s">
        <v>189</v>
      </c>
      <c r="B27" s="528">
        <f t="shared" si="2"/>
        <v>3428</v>
      </c>
      <c r="C27" s="347">
        <v>8.6E-3</v>
      </c>
      <c r="D27" s="359">
        <f t="shared" si="0"/>
        <v>29.480799999999999</v>
      </c>
      <c r="E27" s="347">
        <v>1.29E-2</v>
      </c>
      <c r="F27" s="341">
        <f t="shared" si="1"/>
        <v>44.221200000000003</v>
      </c>
      <c r="G27" s="374"/>
      <c r="H27" s="360" t="s">
        <v>173</v>
      </c>
      <c r="I27" s="364"/>
      <c r="J27" s="375"/>
      <c r="K27" s="364"/>
      <c r="L27" s="407"/>
      <c r="M27" s="345">
        <f>F21</f>
        <v>0</v>
      </c>
    </row>
    <row r="28" spans="1:21" ht="15" customHeight="1" x14ac:dyDescent="0.25">
      <c r="A28" s="346" t="s">
        <v>354</v>
      </c>
      <c r="B28" s="528">
        <f>'CALCULS PREALABLES'!B33</f>
        <v>379.59999999999991</v>
      </c>
      <c r="C28" s="347">
        <v>8.6400000000000005E-2</v>
      </c>
      <c r="D28" s="359">
        <f>C28*B28</f>
        <v>32.797439999999995</v>
      </c>
      <c r="E28" s="347">
        <v>0.1295</v>
      </c>
      <c r="F28" s="341">
        <f t="shared" si="1"/>
        <v>49.158199999999987</v>
      </c>
      <c r="G28" s="374"/>
      <c r="H28" s="580"/>
      <c r="I28" s="581"/>
      <c r="J28" s="582"/>
      <c r="K28" s="581"/>
      <c r="L28" s="581"/>
      <c r="M28" s="583"/>
    </row>
    <row r="29" spans="1:21" ht="15" customHeight="1" x14ac:dyDescent="0.25">
      <c r="A29" s="346" t="s">
        <v>355</v>
      </c>
      <c r="B29" s="528">
        <f>B28</f>
        <v>379.59999999999991</v>
      </c>
      <c r="C29" s="347">
        <v>1.0800000000000001E-2</v>
      </c>
      <c r="D29" s="359">
        <f t="shared" si="0"/>
        <v>4.0996799999999993</v>
      </c>
      <c r="E29" s="347">
        <v>1.6199999999999999E-2</v>
      </c>
      <c r="F29" s="341">
        <f t="shared" si="1"/>
        <v>6.1495199999999981</v>
      </c>
      <c r="G29" s="374"/>
      <c r="H29" s="580"/>
      <c r="I29" s="581"/>
      <c r="J29" s="582"/>
      <c r="K29" s="581"/>
      <c r="L29" s="581"/>
      <c r="M29" s="583"/>
      <c r="U29" s="529"/>
    </row>
    <row r="30" spans="1:21" ht="15" customHeight="1" x14ac:dyDescent="0.25">
      <c r="A30" s="579" t="s">
        <v>356</v>
      </c>
      <c r="B30" s="528">
        <f>+B19</f>
        <v>3807.6</v>
      </c>
      <c r="C30" s="347">
        <v>1.4E-3</v>
      </c>
      <c r="D30" s="359">
        <f t="shared" si="0"/>
        <v>5.3306399999999998</v>
      </c>
      <c r="E30" s="347">
        <v>2.0999999999999999E-3</v>
      </c>
      <c r="F30" s="341">
        <f t="shared" si="1"/>
        <v>7.9959599999999993</v>
      </c>
      <c r="G30" s="374"/>
      <c r="H30" s="580"/>
      <c r="I30" s="581"/>
      <c r="J30" s="582"/>
      <c r="K30" s="581"/>
      <c r="L30" s="581"/>
      <c r="M30" s="583"/>
    </row>
    <row r="31" spans="1:21" ht="15" customHeight="1" x14ac:dyDescent="0.25">
      <c r="A31" s="579" t="s">
        <v>38</v>
      </c>
      <c r="B31" s="528">
        <f>+B30</f>
        <v>3807.6</v>
      </c>
      <c r="C31" s="584">
        <v>2.4000000000000001E-4</v>
      </c>
      <c r="D31" s="359">
        <f t="shared" si="0"/>
        <v>0.91382399999999997</v>
      </c>
      <c r="E31" s="584">
        <v>3.6000000000000002E-4</v>
      </c>
      <c r="F31" s="341">
        <f t="shared" si="1"/>
        <v>1.370736</v>
      </c>
      <c r="G31" s="374"/>
      <c r="H31" s="580"/>
      <c r="I31" s="581"/>
      <c r="J31" s="582"/>
      <c r="K31" s="581"/>
      <c r="L31" s="581"/>
      <c r="M31" s="583"/>
    </row>
    <row r="32" spans="1:21" ht="18" customHeight="1" x14ac:dyDescent="0.25">
      <c r="A32" s="348" t="s">
        <v>316</v>
      </c>
      <c r="B32" s="528"/>
      <c r="C32" s="347">
        <v>0.11310000000000001</v>
      </c>
      <c r="D32" s="359">
        <f>-C32*B32</f>
        <v>0</v>
      </c>
      <c r="E32" s="347"/>
      <c r="F32" s="341"/>
    </row>
    <row r="33" spans="1:21" ht="18" customHeight="1" x14ac:dyDescent="0.25">
      <c r="A33" s="396" t="s">
        <v>66</v>
      </c>
      <c r="B33" s="359"/>
      <c r="C33" s="347"/>
      <c r="D33" s="359"/>
      <c r="E33" s="385"/>
      <c r="F33" s="386"/>
      <c r="H33" s="387"/>
      <c r="I33" s="388"/>
      <c r="J33" s="377"/>
      <c r="K33" s="389" t="s">
        <v>177</v>
      </c>
      <c r="L33" s="410"/>
      <c r="M33" s="342" t="e">
        <f>K6-#REF!</f>
        <v>#REF!</v>
      </c>
    </row>
    <row r="34" spans="1:21" ht="33.75" x14ac:dyDescent="0.25">
      <c r="A34" s="346" t="s">
        <v>20</v>
      </c>
      <c r="B34" s="528">
        <f>+B5</f>
        <v>3807.6</v>
      </c>
      <c r="C34" s="347"/>
      <c r="D34" s="359"/>
      <c r="E34" s="385">
        <v>6.7999999999999996E-3</v>
      </c>
      <c r="F34" s="341">
        <f>E34*B34</f>
        <v>25.891679999999997</v>
      </c>
      <c r="H34" s="387" t="s">
        <v>180</v>
      </c>
      <c r="I34" s="376" t="e">
        <f>I3-#REF!+K25+M11</f>
        <v>#REF!</v>
      </c>
      <c r="J34" s="380"/>
      <c r="K34" s="390" t="s">
        <v>178</v>
      </c>
      <c r="L34" s="411"/>
      <c r="M34" s="342" t="e">
        <f>(I3*1.8%)+(I3*6%)</f>
        <v>#REF!</v>
      </c>
    </row>
    <row r="35" spans="1:21" ht="30" customHeight="1" thickBot="1" x14ac:dyDescent="0.3">
      <c r="A35" s="507" t="s">
        <v>67</v>
      </c>
      <c r="B35" s="528">
        <f>B34</f>
        <v>3807.6</v>
      </c>
      <c r="C35" s="347"/>
      <c r="D35" s="359"/>
      <c r="E35" s="385">
        <v>5.4999999999999997E-3</v>
      </c>
      <c r="F35" s="341">
        <f t="shared" ref="F35:F36" si="3">E35*B35</f>
        <v>20.941799999999997</v>
      </c>
      <c r="H35" s="352"/>
      <c r="I35" s="383"/>
      <c r="J35" s="382"/>
      <c r="K35" s="391" t="s">
        <v>179</v>
      </c>
      <c r="L35" s="412"/>
      <c r="M35" s="397" t="e">
        <f>I3+#REF!</f>
        <v>#REF!</v>
      </c>
    </row>
    <row r="36" spans="1:21" ht="18" customHeight="1" x14ac:dyDescent="0.25">
      <c r="A36" s="392" t="s">
        <v>135</v>
      </c>
      <c r="B36" s="528"/>
      <c r="C36" s="393"/>
      <c r="D36" s="393"/>
      <c r="E36" s="394">
        <v>4.4999999999999997E-3</v>
      </c>
      <c r="F36" s="341">
        <f t="shared" si="3"/>
        <v>0</v>
      </c>
      <c r="H36" s="395"/>
      <c r="I36" s="395"/>
      <c r="J36" s="395"/>
    </row>
    <row r="37" spans="1:21" ht="18" customHeight="1" thickBot="1" x14ac:dyDescent="0.3">
      <c r="A37" s="530"/>
      <c r="B37" s="531"/>
      <c r="C37" s="531"/>
      <c r="D37" s="532"/>
      <c r="E37" s="533"/>
      <c r="F37" s="534"/>
      <c r="H37" s="395"/>
      <c r="I37" s="395"/>
      <c r="J37" s="395"/>
    </row>
    <row r="38" spans="1:21" ht="22.5" customHeight="1" thickTop="1" thickBot="1" x14ac:dyDescent="0.3">
      <c r="A38" s="535" t="s">
        <v>317</v>
      </c>
      <c r="B38" s="536"/>
      <c r="C38" s="536"/>
      <c r="D38" s="537">
        <f>SUM(D5:D37)</f>
        <v>821.11300900000026</v>
      </c>
      <c r="E38" s="536"/>
      <c r="F38" s="538">
        <f>SUM(F5:F37)</f>
        <v>1402.8525119999999</v>
      </c>
      <c r="H38" s="399" t="s">
        <v>192</v>
      </c>
      <c r="I38" s="400" t="e">
        <f>-I25*1.7%</f>
        <v>#REF!</v>
      </c>
      <c r="J38" s="395"/>
      <c r="U38" s="527">
        <f>+F38-'Bulletin clarifié APP1'!G66</f>
        <v>557.74551199999985</v>
      </c>
    </row>
    <row r="39" spans="1:21" ht="18" customHeight="1" thickTop="1" x14ac:dyDescent="0.25">
      <c r="H39" s="379" t="s">
        <v>190</v>
      </c>
      <c r="I39" s="342" t="e">
        <f>I3*0.75%</f>
        <v>#REF!</v>
      </c>
    </row>
    <row r="40" spans="1:21" ht="18" customHeight="1" x14ac:dyDescent="0.25">
      <c r="H40" s="379" t="s">
        <v>191</v>
      </c>
      <c r="I40" s="342" t="e">
        <f>I3*2.4%</f>
        <v>#REF!</v>
      </c>
    </row>
    <row r="41" spans="1:21" ht="18" customHeight="1" thickBot="1" x14ac:dyDescent="0.3">
      <c r="H41" s="352"/>
      <c r="I41" s="401" t="e">
        <f>SUM(I38:I40)</f>
        <v>#REF!</v>
      </c>
    </row>
  </sheetData>
  <mergeCells count="12">
    <mergeCell ref="M4:M5"/>
    <mergeCell ref="A1:E1"/>
    <mergeCell ref="A3:A4"/>
    <mergeCell ref="B3:B4"/>
    <mergeCell ref="C3:C4"/>
    <mergeCell ref="D3:D4"/>
    <mergeCell ref="E3:E4"/>
    <mergeCell ref="F3:F4"/>
    <mergeCell ref="H4:H5"/>
    <mergeCell ref="I4:I5"/>
    <mergeCell ref="J4:J5"/>
    <mergeCell ref="K4:K5"/>
  </mergeCells>
  <pageMargins left="0" right="0" top="0" bottom="0" header="0" footer="0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C39A-9D9F-4105-AD97-4C4CBF637AE3}">
  <sheetPr>
    <tabColor rgb="FFFF0000"/>
  </sheetPr>
  <dimension ref="B1:T156"/>
  <sheetViews>
    <sheetView tabSelected="1" topLeftCell="B1" zoomScaleNormal="100" workbookViewId="0">
      <selection activeCell="V38" sqref="V38"/>
    </sheetView>
  </sheetViews>
  <sheetFormatPr baseColWidth="10" defaultRowHeight="15" x14ac:dyDescent="0.25"/>
  <cols>
    <col min="1" max="1" width="24.7109375" style="416" customWidth="1"/>
    <col min="2" max="2" width="88.42578125" style="416" bestFit="1" customWidth="1"/>
    <col min="3" max="3" width="16.7109375" style="416" customWidth="1"/>
    <col min="4" max="4" width="17.140625" style="416" bestFit="1" customWidth="1"/>
    <col min="5" max="5" width="18.28515625" style="416" bestFit="1" customWidth="1"/>
    <col min="6" max="6" width="11.42578125" style="416" customWidth="1"/>
    <col min="7" max="7" width="15.28515625" style="416" bestFit="1" customWidth="1"/>
    <col min="8" max="9" width="27.28515625" style="416" hidden="1" customWidth="1"/>
    <col min="10" max="10" width="49.42578125" style="416" hidden="1" customWidth="1"/>
    <col min="11" max="11" width="12.5703125" style="416" hidden="1" customWidth="1"/>
    <col min="12" max="12" width="12" style="416" hidden="1" customWidth="1"/>
    <col min="13" max="13" width="0" style="416" hidden="1" customWidth="1"/>
    <col min="14" max="14" width="12.140625" style="416" hidden="1" customWidth="1"/>
    <col min="15" max="16" width="12" style="416" hidden="1" customWidth="1"/>
    <col min="17" max="18" width="0" style="416" hidden="1" customWidth="1"/>
    <col min="19" max="19" width="19.85546875" style="416" hidden="1" customWidth="1"/>
    <col min="20" max="20" width="0" style="416" hidden="1" customWidth="1"/>
    <col min="21" max="22" width="11.42578125" style="416"/>
    <col min="23" max="23" width="0" style="416" hidden="1" customWidth="1"/>
    <col min="24" max="16384" width="11.42578125" style="416"/>
  </cols>
  <sheetData>
    <row r="1" spans="2:11" ht="23.25" thickBot="1" x14ac:dyDescent="0.3">
      <c r="B1" s="413" t="s">
        <v>210</v>
      </c>
      <c r="C1" s="414"/>
      <c r="D1" s="414"/>
      <c r="E1" s="414"/>
      <c r="F1" s="414"/>
      <c r="G1" s="415"/>
      <c r="J1" s="417" t="s">
        <v>211</v>
      </c>
    </row>
    <row r="2" spans="2:11" ht="15.75" hidden="1" thickBot="1" x14ac:dyDescent="0.3">
      <c r="B2" s="418" t="s">
        <v>212</v>
      </c>
      <c r="C2" s="419"/>
      <c r="D2" s="420"/>
      <c r="E2" s="421" t="s">
        <v>213</v>
      </c>
      <c r="F2" s="422"/>
      <c r="G2" s="423" t="s">
        <v>214</v>
      </c>
    </row>
    <row r="3" spans="2:11" hidden="1" x14ac:dyDescent="0.25">
      <c r="B3" s="424" t="s">
        <v>215</v>
      </c>
      <c r="C3" s="425"/>
      <c r="D3" s="426"/>
      <c r="E3" s="427" t="s">
        <v>215</v>
      </c>
      <c r="F3" s="428"/>
      <c r="G3" s="429"/>
      <c r="J3" s="421" t="s">
        <v>138</v>
      </c>
      <c r="K3" s="430">
        <v>2000</v>
      </c>
    </row>
    <row r="4" spans="2:11" hidden="1" x14ac:dyDescent="0.25">
      <c r="B4" s="424" t="s">
        <v>216</v>
      </c>
      <c r="C4" s="425"/>
      <c r="D4" s="426"/>
      <c r="E4" s="427" t="s">
        <v>217</v>
      </c>
      <c r="F4" s="428"/>
      <c r="G4" s="429"/>
      <c r="J4" s="427" t="s">
        <v>218</v>
      </c>
      <c r="K4" s="429">
        <v>151.66999999999999</v>
      </c>
    </row>
    <row r="5" spans="2:11" hidden="1" x14ac:dyDescent="0.25">
      <c r="B5" s="424" t="s">
        <v>219</v>
      </c>
      <c r="C5" s="425"/>
      <c r="D5" s="426"/>
      <c r="E5" s="427" t="s">
        <v>220</v>
      </c>
      <c r="F5" s="428"/>
      <c r="G5" s="429"/>
      <c r="J5" s="427" t="s">
        <v>221</v>
      </c>
      <c r="K5" s="429"/>
    </row>
    <row r="6" spans="2:11" hidden="1" x14ac:dyDescent="0.25">
      <c r="B6" s="424" t="s">
        <v>219</v>
      </c>
      <c r="C6" s="425"/>
      <c r="D6" s="426"/>
      <c r="E6" s="427" t="s">
        <v>222</v>
      </c>
      <c r="F6" s="428"/>
      <c r="G6" s="429"/>
      <c r="J6" s="431" t="s">
        <v>185</v>
      </c>
      <c r="K6" s="432">
        <v>4</v>
      </c>
    </row>
    <row r="7" spans="2:11" hidden="1" x14ac:dyDescent="0.25">
      <c r="B7" s="424" t="s">
        <v>223</v>
      </c>
      <c r="C7" s="425"/>
      <c r="D7" s="426"/>
      <c r="E7" s="427"/>
      <c r="F7" s="428"/>
      <c r="G7" s="429"/>
      <c r="J7" s="427" t="s">
        <v>184</v>
      </c>
      <c r="K7" s="433">
        <v>4.7199999999999999E-2</v>
      </c>
    </row>
    <row r="8" spans="2:11" hidden="1" x14ac:dyDescent="0.25">
      <c r="B8" s="424" t="s">
        <v>224</v>
      </c>
      <c r="C8" s="425"/>
      <c r="D8" s="426"/>
      <c r="E8" s="427" t="s">
        <v>225</v>
      </c>
      <c r="F8" s="428"/>
      <c r="G8" s="429"/>
      <c r="J8" s="434" t="s">
        <v>226</v>
      </c>
      <c r="K8" s="435">
        <v>0</v>
      </c>
    </row>
    <row r="9" spans="2:11" hidden="1" x14ac:dyDescent="0.25">
      <c r="B9" s="424" t="s">
        <v>227</v>
      </c>
      <c r="C9" s="425"/>
      <c r="D9" s="426"/>
      <c r="E9" s="427" t="s">
        <v>228</v>
      </c>
      <c r="F9" s="428"/>
      <c r="G9" s="429"/>
      <c r="J9" s="427" t="s">
        <v>229</v>
      </c>
      <c r="K9" s="436">
        <v>10.57</v>
      </c>
    </row>
    <row r="10" spans="2:11" hidden="1" x14ac:dyDescent="0.25">
      <c r="B10" s="424" t="s">
        <v>230</v>
      </c>
      <c r="C10" s="425"/>
      <c r="D10" s="426"/>
      <c r="E10" s="427" t="s">
        <v>231</v>
      </c>
      <c r="F10" s="428"/>
      <c r="G10" s="429"/>
      <c r="J10" s="427"/>
      <c r="K10" s="437"/>
    </row>
    <row r="11" spans="2:11" hidden="1" x14ac:dyDescent="0.25">
      <c r="B11" s="424" t="s">
        <v>232</v>
      </c>
      <c r="C11" s="425"/>
      <c r="D11" s="426"/>
      <c r="E11" s="427" t="s">
        <v>233</v>
      </c>
      <c r="F11" s="428"/>
      <c r="G11" s="429"/>
      <c r="J11" s="427" t="s">
        <v>234</v>
      </c>
      <c r="K11" s="429">
        <v>0</v>
      </c>
    </row>
    <row r="12" spans="2:11" hidden="1" x14ac:dyDescent="0.25">
      <c r="B12" s="424" t="s">
        <v>235</v>
      </c>
      <c r="C12" s="425"/>
      <c r="D12" s="426"/>
      <c r="E12" s="427" t="s">
        <v>236</v>
      </c>
      <c r="F12" s="428"/>
      <c r="G12" s="429"/>
      <c r="J12" s="427" t="s">
        <v>237</v>
      </c>
      <c r="K12" s="429">
        <v>0</v>
      </c>
    </row>
    <row r="13" spans="2:11" hidden="1" x14ac:dyDescent="0.25">
      <c r="B13" s="424" t="s">
        <v>238</v>
      </c>
      <c r="C13" s="425"/>
      <c r="D13" s="426"/>
      <c r="E13" s="427" t="s">
        <v>239</v>
      </c>
      <c r="F13" s="428"/>
      <c r="G13" s="429"/>
      <c r="J13" s="427" t="s">
        <v>240</v>
      </c>
      <c r="K13" s="429"/>
    </row>
    <row r="14" spans="2:11" hidden="1" x14ac:dyDescent="0.25">
      <c r="B14" s="424"/>
      <c r="C14" s="425"/>
      <c r="D14" s="426"/>
      <c r="E14" s="427" t="s">
        <v>241</v>
      </c>
      <c r="F14" s="428"/>
      <c r="G14" s="429"/>
      <c r="J14" s="427" t="s">
        <v>242</v>
      </c>
      <c r="K14" s="429"/>
    </row>
    <row r="15" spans="2:11" hidden="1" x14ac:dyDescent="0.25">
      <c r="B15" s="427"/>
      <c r="C15" s="425"/>
      <c r="D15" s="426"/>
      <c r="E15" s="427"/>
      <c r="F15" s="428"/>
      <c r="G15" s="429"/>
      <c r="J15" s="427" t="s">
        <v>243</v>
      </c>
      <c r="K15" s="429"/>
    </row>
    <row r="16" spans="2:11" ht="15.75" hidden="1" thickBot="1" x14ac:dyDescent="0.3">
      <c r="B16" s="438"/>
      <c r="C16" s="439"/>
      <c r="D16" s="440"/>
      <c r="E16" s="438"/>
      <c r="F16" s="441"/>
      <c r="G16" s="442"/>
      <c r="J16" s="431" t="s">
        <v>244</v>
      </c>
      <c r="K16" s="429"/>
    </row>
    <row r="17" spans="2:17" ht="15.75" thickBot="1" x14ac:dyDescent="0.3">
      <c r="B17" s="443" t="s">
        <v>245</v>
      </c>
      <c r="C17" s="633">
        <v>44562</v>
      </c>
      <c r="D17" s="634"/>
      <c r="E17" s="444" t="s">
        <v>246</v>
      </c>
      <c r="F17" s="445"/>
      <c r="G17" s="633">
        <v>44592</v>
      </c>
      <c r="H17" s="634"/>
      <c r="J17" s="431" t="s">
        <v>247</v>
      </c>
      <c r="K17" s="446">
        <f>E37</f>
        <v>2240.909090909091</v>
      </c>
    </row>
    <row r="18" spans="2:17" ht="20.25" customHeight="1" thickBot="1" x14ac:dyDescent="0.3">
      <c r="B18" s="721" t="s">
        <v>248</v>
      </c>
      <c r="C18" s="722"/>
      <c r="D18" s="722"/>
      <c r="E18" s="722"/>
      <c r="F18" s="723"/>
      <c r="G18" s="415"/>
      <c r="J18" s="431" t="s">
        <v>249</v>
      </c>
      <c r="K18" s="447">
        <v>0</v>
      </c>
    </row>
    <row r="19" spans="2:17" ht="24" customHeight="1" thickBot="1" x14ac:dyDescent="0.3">
      <c r="B19" s="724" t="s">
        <v>248</v>
      </c>
      <c r="C19" s="725" t="s">
        <v>250</v>
      </c>
      <c r="D19" s="725" t="s">
        <v>251</v>
      </c>
      <c r="E19" s="725" t="s">
        <v>252</v>
      </c>
      <c r="F19" s="726"/>
      <c r="G19" s="449"/>
      <c r="J19" s="427" t="s">
        <v>253</v>
      </c>
      <c r="K19" s="429">
        <v>0.31950000000000001</v>
      </c>
    </row>
    <row r="20" spans="2:17" s="452" customFormat="1" x14ac:dyDescent="0.2">
      <c r="B20" s="427" t="s">
        <v>138</v>
      </c>
      <c r="C20" s="727">
        <v>169</v>
      </c>
      <c r="D20" s="728">
        <f>E20/C20</f>
        <v>17.159763313609467</v>
      </c>
      <c r="E20" s="729">
        <v>2900</v>
      </c>
      <c r="F20" s="730"/>
      <c r="G20" s="715"/>
      <c r="H20" s="416"/>
      <c r="I20" s="416"/>
      <c r="J20" s="450" t="s">
        <v>187</v>
      </c>
      <c r="K20" s="451">
        <v>6.2E-2</v>
      </c>
      <c r="L20" s="416"/>
      <c r="M20" s="416"/>
      <c r="N20" s="416"/>
      <c r="O20" s="416"/>
      <c r="P20" s="416"/>
      <c r="Q20" s="416"/>
    </row>
    <row r="21" spans="2:17" s="452" customFormat="1" hidden="1" x14ac:dyDescent="0.25">
      <c r="B21" s="427" t="s">
        <v>353</v>
      </c>
      <c r="C21" s="727"/>
      <c r="D21" s="728"/>
      <c r="E21" s="731"/>
      <c r="F21" s="505"/>
      <c r="G21" s="716"/>
      <c r="J21" s="427" t="s">
        <v>182</v>
      </c>
      <c r="K21" s="453"/>
      <c r="L21" s="416"/>
      <c r="M21" s="416"/>
      <c r="N21" s="416"/>
      <c r="O21" s="416"/>
      <c r="P21" s="416"/>
      <c r="Q21" s="416"/>
    </row>
    <row r="22" spans="2:17" s="452" customFormat="1" x14ac:dyDescent="0.25">
      <c r="B22" s="427" t="s">
        <v>359</v>
      </c>
      <c r="C22" s="732">
        <v>5</v>
      </c>
      <c r="D22" s="733">
        <f>E20/22</f>
        <v>131.81818181818181</v>
      </c>
      <c r="E22" s="512">
        <f>-D22*C22</f>
        <v>-659.09090909090901</v>
      </c>
      <c r="F22" s="734"/>
      <c r="G22" s="716"/>
      <c r="J22" s="427" t="s">
        <v>183</v>
      </c>
      <c r="K22" s="453">
        <v>0.02</v>
      </c>
      <c r="L22" s="416"/>
      <c r="M22" s="416"/>
      <c r="N22" s="416"/>
      <c r="O22" s="416"/>
      <c r="P22" s="416"/>
      <c r="Q22" s="416"/>
    </row>
    <row r="23" spans="2:17" s="452" customFormat="1" hidden="1" x14ac:dyDescent="0.25">
      <c r="B23" s="427" t="s">
        <v>195</v>
      </c>
      <c r="C23" s="735"/>
      <c r="D23" s="736"/>
      <c r="E23" s="509"/>
      <c r="F23" s="737"/>
      <c r="G23" s="716"/>
      <c r="J23" s="427" t="s">
        <v>254</v>
      </c>
      <c r="K23" s="437"/>
      <c r="L23" s="416"/>
      <c r="M23" s="416"/>
      <c r="N23" s="416"/>
      <c r="O23" s="416"/>
      <c r="P23" s="416"/>
      <c r="Q23" s="416"/>
    </row>
    <row r="24" spans="2:17" ht="15.75" hidden="1" thickBot="1" x14ac:dyDescent="0.3">
      <c r="B24" s="427" t="s">
        <v>237</v>
      </c>
      <c r="C24" s="508"/>
      <c r="D24" s="509"/>
      <c r="E24" s="509">
        <f>+C24*D24</f>
        <v>0</v>
      </c>
      <c r="F24" s="737"/>
      <c r="G24" s="717"/>
      <c r="J24" s="438" t="s">
        <v>255</v>
      </c>
      <c r="K24" s="455"/>
    </row>
    <row r="25" spans="2:17" hidden="1" x14ac:dyDescent="0.25">
      <c r="B25" s="427" t="s">
        <v>240</v>
      </c>
      <c r="C25" s="508"/>
      <c r="D25" s="509"/>
      <c r="E25" s="509">
        <f>+C25*D25</f>
        <v>0</v>
      </c>
      <c r="F25" s="737"/>
      <c r="G25" s="718"/>
    </row>
    <row r="26" spans="2:17" hidden="1" x14ac:dyDescent="0.25">
      <c r="B26" s="427" t="s">
        <v>242</v>
      </c>
      <c r="C26" s="508"/>
      <c r="D26" s="509"/>
      <c r="E26" s="509"/>
      <c r="F26" s="737"/>
      <c r="G26" s="718"/>
    </row>
    <row r="27" spans="2:17" hidden="1" x14ac:dyDescent="0.25">
      <c r="B27" s="427" t="s">
        <v>243</v>
      </c>
      <c r="C27" s="508"/>
      <c r="D27" s="509"/>
      <c r="E27" s="509"/>
      <c r="F27" s="737"/>
      <c r="G27" s="718"/>
    </row>
    <row r="28" spans="2:17" hidden="1" x14ac:dyDescent="0.25">
      <c r="B28" s="427" t="s">
        <v>256</v>
      </c>
      <c r="C28" s="510"/>
      <c r="D28" s="511"/>
      <c r="E28" s="512"/>
      <c r="F28" s="734"/>
      <c r="G28" s="718"/>
    </row>
    <row r="29" spans="2:17" ht="27" hidden="1" x14ac:dyDescent="0.25">
      <c r="B29" s="427" t="s">
        <v>257</v>
      </c>
      <c r="C29" s="513"/>
      <c r="D29" s="508"/>
      <c r="E29" s="509"/>
      <c r="F29" s="737"/>
      <c r="G29" s="719"/>
      <c r="J29" s="456"/>
    </row>
    <row r="30" spans="2:17" hidden="1" x14ac:dyDescent="0.25">
      <c r="B30" s="427" t="s">
        <v>258</v>
      </c>
      <c r="C30" s="514"/>
      <c r="D30" s="511"/>
      <c r="E30" s="512"/>
      <c r="F30" s="734"/>
      <c r="G30" s="719"/>
    </row>
    <row r="31" spans="2:17" hidden="1" x14ac:dyDescent="0.25">
      <c r="B31" s="427"/>
      <c r="C31" s="513"/>
      <c r="D31" s="508"/>
      <c r="E31" s="509"/>
      <c r="F31" s="737"/>
      <c r="G31" s="458"/>
    </row>
    <row r="32" spans="2:17" ht="15.75" hidden="1" thickBot="1" x14ac:dyDescent="0.3">
      <c r="B32" s="427" t="s">
        <v>259</v>
      </c>
      <c r="C32" s="738"/>
      <c r="D32" s="739"/>
      <c r="E32" s="740"/>
      <c r="F32" s="446"/>
      <c r="G32" s="459"/>
    </row>
    <row r="33" spans="2:19" hidden="1" x14ac:dyDescent="0.25">
      <c r="B33" s="741" t="s">
        <v>260</v>
      </c>
      <c r="C33" s="738"/>
      <c r="D33" s="739"/>
      <c r="E33" s="740"/>
      <c r="F33" s="446"/>
      <c r="G33" s="461"/>
    </row>
    <row r="34" spans="2:19" hidden="1" x14ac:dyDescent="0.25">
      <c r="B34" s="427" t="s">
        <v>261</v>
      </c>
      <c r="C34" s="738"/>
      <c r="D34" s="739"/>
      <c r="E34" s="740"/>
      <c r="F34" s="446"/>
      <c r="G34" s="461"/>
    </row>
    <row r="35" spans="2:19" hidden="1" x14ac:dyDescent="0.25">
      <c r="B35" s="741" t="s">
        <v>262</v>
      </c>
      <c r="C35" s="738"/>
      <c r="D35" s="742"/>
      <c r="E35" s="740"/>
      <c r="F35" s="446"/>
      <c r="G35" s="461"/>
    </row>
    <row r="36" spans="2:19" hidden="1" x14ac:dyDescent="0.25">
      <c r="B36" s="741" t="s">
        <v>263</v>
      </c>
      <c r="C36" s="738"/>
      <c r="D36" s="743"/>
      <c r="E36" s="740"/>
      <c r="F36" s="446"/>
      <c r="G36" s="461"/>
    </row>
    <row r="37" spans="2:19" ht="15.75" thickBot="1" x14ac:dyDescent="0.3">
      <c r="B37" s="744" t="s">
        <v>1</v>
      </c>
      <c r="C37" s="746"/>
      <c r="D37" s="746"/>
      <c r="E37" s="747">
        <f>SUM(E20:E36)</f>
        <v>2240.909090909091</v>
      </c>
      <c r="F37" s="737"/>
      <c r="G37" s="461"/>
    </row>
    <row r="38" spans="2:19" ht="15.75" thickBot="1" x14ac:dyDescent="0.3">
      <c r="B38" s="438" t="s">
        <v>358</v>
      </c>
      <c r="C38" s="818">
        <v>13.39</v>
      </c>
      <c r="D38" s="819">
        <v>20.91</v>
      </c>
      <c r="E38" s="819">
        <f>D38*C38</f>
        <v>279.98490000000004</v>
      </c>
      <c r="F38" s="745"/>
      <c r="G38" s="720"/>
    </row>
    <row r="39" spans="2:19" ht="15.75" thickBot="1" x14ac:dyDescent="0.3">
      <c r="B39" s="714"/>
      <c r="C39" s="748"/>
      <c r="D39" s="749"/>
      <c r="E39" s="749"/>
      <c r="F39" s="750"/>
      <c r="G39" s="751"/>
    </row>
    <row r="40" spans="2:19" x14ac:dyDescent="0.25">
      <c r="B40" s="752" t="s">
        <v>264</v>
      </c>
      <c r="C40" s="753" t="s">
        <v>265</v>
      </c>
      <c r="D40" s="753" t="s">
        <v>71</v>
      </c>
      <c r="E40" s="753" t="s">
        <v>72</v>
      </c>
      <c r="F40" s="753"/>
      <c r="G40" s="754" t="s">
        <v>73</v>
      </c>
    </row>
    <row r="41" spans="2:19" x14ac:dyDescent="0.25">
      <c r="B41" s="755" t="s">
        <v>23</v>
      </c>
      <c r="C41" s="756"/>
      <c r="D41" s="757"/>
      <c r="E41" s="757"/>
      <c r="F41" s="757"/>
      <c r="G41" s="758"/>
    </row>
    <row r="42" spans="2:19" x14ac:dyDescent="0.25">
      <c r="B42" s="759" t="s">
        <v>266</v>
      </c>
      <c r="C42" s="760">
        <f>E37</f>
        <v>2240.909090909091</v>
      </c>
      <c r="D42" s="761"/>
      <c r="E42" s="762"/>
      <c r="F42" s="763">
        <v>7.0000000000000007E-2</v>
      </c>
      <c r="G42" s="764">
        <f>F42*C42</f>
        <v>156.86363636363637</v>
      </c>
      <c r="H42" s="463">
        <v>4.7199999999999999E-2</v>
      </c>
      <c r="I42" s="463"/>
    </row>
    <row r="43" spans="2:19" x14ac:dyDescent="0.25">
      <c r="B43" s="765" t="s">
        <v>267</v>
      </c>
      <c r="C43" s="760">
        <f>+$E$37</f>
        <v>2240.909090909091</v>
      </c>
      <c r="D43" s="766">
        <v>0.01</v>
      </c>
      <c r="E43" s="767">
        <f>D43*C43</f>
        <v>22.40909090909091</v>
      </c>
      <c r="F43" s="763">
        <v>1.4999999999999999E-2</v>
      </c>
      <c r="G43" s="764">
        <f>F43*C43</f>
        <v>33.613636363636367</v>
      </c>
      <c r="H43" s="463"/>
      <c r="I43" s="463"/>
    </row>
    <row r="44" spans="2:19" x14ac:dyDescent="0.25">
      <c r="B44" s="759" t="s">
        <v>268</v>
      </c>
      <c r="C44" s="760"/>
      <c r="D44" s="768"/>
      <c r="E44" s="767"/>
      <c r="F44" s="763">
        <v>1.4999999999999999E-2</v>
      </c>
      <c r="G44" s="764">
        <f>F44*C44</f>
        <v>0</v>
      </c>
      <c r="H44" s="463">
        <v>8.5500000000000007E-2</v>
      </c>
      <c r="I44" s="463"/>
      <c r="S44" s="416">
        <v>33333</v>
      </c>
    </row>
    <row r="45" spans="2:19" hidden="1" x14ac:dyDescent="0.25">
      <c r="B45" s="759" t="s">
        <v>269</v>
      </c>
      <c r="C45" s="760"/>
      <c r="D45" s="768"/>
      <c r="E45" s="767"/>
      <c r="F45" s="767"/>
      <c r="G45" s="764"/>
      <c r="H45" s="463">
        <v>1.9E-2</v>
      </c>
      <c r="I45" s="463"/>
    </row>
    <row r="46" spans="2:19" x14ac:dyDescent="0.25">
      <c r="B46" s="755" t="s">
        <v>270</v>
      </c>
      <c r="C46" s="760">
        <f t="shared" ref="C46:C49" si="0">+$E$37</f>
        <v>2240.909090909091</v>
      </c>
      <c r="D46" s="769"/>
      <c r="E46" s="760"/>
      <c r="F46" s="770">
        <v>4.2999999999999997E-2</v>
      </c>
      <c r="G46" s="764">
        <f>F46*C46</f>
        <v>96.359090909090909</v>
      </c>
      <c r="H46" s="463">
        <v>6.0100000000000001E-2</v>
      </c>
      <c r="I46" s="463"/>
    </row>
    <row r="47" spans="2:19" x14ac:dyDescent="0.25">
      <c r="B47" s="755" t="s">
        <v>8</v>
      </c>
      <c r="C47" s="760"/>
      <c r="D47" s="757"/>
      <c r="E47" s="757"/>
      <c r="F47" s="757"/>
      <c r="G47" s="771"/>
      <c r="H47" s="463">
        <v>0.1457</v>
      </c>
      <c r="I47" s="463"/>
    </row>
    <row r="48" spans="2:19" x14ac:dyDescent="0.25">
      <c r="B48" s="759" t="s">
        <v>271</v>
      </c>
      <c r="C48" s="760">
        <f>E37</f>
        <v>2240.909090909091</v>
      </c>
      <c r="D48" s="768">
        <v>6.9000000000000006E-2</v>
      </c>
      <c r="E48" s="767">
        <f t="shared" ref="E48:E49" si="1">C48*D48</f>
        <v>154.6227272727273</v>
      </c>
      <c r="F48" s="763">
        <f>H44</f>
        <v>8.5500000000000007E-2</v>
      </c>
      <c r="G48" s="764">
        <f>F48*C48</f>
        <v>191.5977272727273</v>
      </c>
      <c r="H48" s="463">
        <v>2.0999999999999999E-3</v>
      </c>
      <c r="I48" s="463"/>
    </row>
    <row r="49" spans="2:20" x14ac:dyDescent="0.25">
      <c r="B49" s="759" t="s">
        <v>29</v>
      </c>
      <c r="C49" s="760">
        <f t="shared" si="0"/>
        <v>2240.909090909091</v>
      </c>
      <c r="D49" s="768">
        <v>4.0000000000000001E-3</v>
      </c>
      <c r="E49" s="767">
        <f t="shared" si="1"/>
        <v>8.9636363636363647</v>
      </c>
      <c r="F49" s="763">
        <f t="shared" ref="F49:F52" si="2">H45</f>
        <v>1.9E-2</v>
      </c>
      <c r="G49" s="764">
        <f>F49*C49</f>
        <v>42.577272727272728</v>
      </c>
      <c r="H49" s="463"/>
      <c r="I49" s="463"/>
    </row>
    <row r="50" spans="2:20" x14ac:dyDescent="0.25">
      <c r="B50" s="759" t="s">
        <v>74</v>
      </c>
      <c r="C50" s="760">
        <f>C49</f>
        <v>2240.909090909091</v>
      </c>
      <c r="D50" s="768">
        <v>4.0099999999999997E-2</v>
      </c>
      <c r="E50" s="767">
        <f>C50*D50</f>
        <v>89.860454545454544</v>
      </c>
      <c r="F50" s="763">
        <f t="shared" si="2"/>
        <v>6.0100000000000001E-2</v>
      </c>
      <c r="G50" s="764">
        <f>F50*C50</f>
        <v>134.67863636363637</v>
      </c>
      <c r="H50" s="463" t="e">
        <v>#REF!</v>
      </c>
      <c r="I50" s="463"/>
    </row>
    <row r="51" spans="2:20" hidden="1" x14ac:dyDescent="0.25">
      <c r="B51" s="759" t="s">
        <v>272</v>
      </c>
      <c r="C51" s="760"/>
      <c r="D51" s="768">
        <v>9.7199999999999995E-2</v>
      </c>
      <c r="E51" s="767">
        <f>C51*D51</f>
        <v>0</v>
      </c>
      <c r="F51" s="763">
        <f t="shared" si="2"/>
        <v>0.1457</v>
      </c>
      <c r="G51" s="764">
        <f>F51*C51</f>
        <v>0</v>
      </c>
      <c r="H51" s="463">
        <v>4.2000000000000003E-2</v>
      </c>
      <c r="I51" s="463"/>
    </row>
    <row r="52" spans="2:20" hidden="1" x14ac:dyDescent="0.25">
      <c r="B52" s="759" t="s">
        <v>273</v>
      </c>
      <c r="C52" s="760"/>
      <c r="D52" s="768">
        <v>1.4E-3</v>
      </c>
      <c r="E52" s="767">
        <f>C52*D52</f>
        <v>0</v>
      </c>
      <c r="F52" s="763">
        <f t="shared" si="2"/>
        <v>2.0999999999999999E-3</v>
      </c>
      <c r="G52" s="764">
        <f>F52*C52</f>
        <v>0</v>
      </c>
      <c r="H52" s="463">
        <v>3.6000000000000002E-4</v>
      </c>
      <c r="I52" s="463"/>
    </row>
    <row r="53" spans="2:20" hidden="1" x14ac:dyDescent="0.25">
      <c r="B53" s="759" t="s">
        <v>274</v>
      </c>
      <c r="C53" s="760"/>
      <c r="D53" s="768"/>
      <c r="E53" s="767"/>
      <c r="F53" s="767"/>
      <c r="G53" s="764"/>
      <c r="H53" s="463"/>
      <c r="I53" s="463"/>
    </row>
    <row r="54" spans="2:20" x14ac:dyDescent="0.25">
      <c r="B54" s="755" t="s">
        <v>275</v>
      </c>
      <c r="C54" s="760">
        <f>+E37</f>
        <v>2240.909090909091</v>
      </c>
      <c r="D54" s="772"/>
      <c r="E54" s="760"/>
      <c r="F54" s="770">
        <v>3.4500000000000003E-2</v>
      </c>
      <c r="G54" s="764">
        <f>F54*C54</f>
        <v>77.311363636363652</v>
      </c>
      <c r="H54" s="463"/>
      <c r="I54" s="463"/>
    </row>
    <row r="55" spans="2:20" x14ac:dyDescent="0.25">
      <c r="B55" s="755" t="s">
        <v>276</v>
      </c>
      <c r="C55" s="760">
        <f>+E37</f>
        <v>2240.909090909091</v>
      </c>
      <c r="D55" s="772"/>
      <c r="E55" s="760"/>
      <c r="F55" s="770">
        <v>4.2000000000000003E-2</v>
      </c>
      <c r="G55" s="764">
        <f>F55*C55</f>
        <v>94.118181818181824</v>
      </c>
      <c r="H55" s="463"/>
      <c r="I55" s="463"/>
    </row>
    <row r="56" spans="2:20" hidden="1" x14ac:dyDescent="0.25">
      <c r="B56" s="759" t="s">
        <v>277</v>
      </c>
      <c r="C56" s="760"/>
      <c r="D56" s="773">
        <v>2.4000000000000001E-4</v>
      </c>
      <c r="E56" s="760">
        <f>D56*C56</f>
        <v>0</v>
      </c>
      <c r="F56" s="774">
        <v>3.6000000000000002E-4</v>
      </c>
      <c r="G56" s="764">
        <f>F56*C56</f>
        <v>0</v>
      </c>
      <c r="H56" s="463"/>
      <c r="I56" s="463"/>
    </row>
    <row r="57" spans="2:20" x14ac:dyDescent="0.25">
      <c r="B57" s="755" t="s">
        <v>278</v>
      </c>
      <c r="C57" s="760"/>
      <c r="D57" s="772"/>
      <c r="E57" s="760"/>
      <c r="F57" s="760"/>
      <c r="G57" s="775">
        <f>E146</f>
        <v>38.072454545454548</v>
      </c>
      <c r="H57" s="463"/>
      <c r="I57" s="463"/>
      <c r="S57" s="504"/>
    </row>
    <row r="58" spans="2:20" x14ac:dyDescent="0.25">
      <c r="B58" s="755"/>
      <c r="C58" s="760"/>
      <c r="D58" s="760"/>
      <c r="E58" s="760"/>
      <c r="F58" s="760"/>
      <c r="G58" s="776"/>
      <c r="H58" s="463"/>
      <c r="I58" s="463"/>
    </row>
    <row r="59" spans="2:20" hidden="1" x14ac:dyDescent="0.25">
      <c r="B59" s="777" t="s">
        <v>279</v>
      </c>
      <c r="C59" s="760"/>
      <c r="D59" s="760"/>
      <c r="E59" s="760"/>
      <c r="F59" s="760"/>
      <c r="G59" s="776"/>
      <c r="H59" s="463"/>
      <c r="I59" s="463"/>
    </row>
    <row r="60" spans="2:20" ht="18" hidden="1" customHeight="1" x14ac:dyDescent="0.25">
      <c r="B60" s="759"/>
      <c r="C60" s="760"/>
      <c r="D60" s="773"/>
      <c r="E60" s="760"/>
      <c r="F60" s="760"/>
      <c r="G60" s="764"/>
      <c r="H60" s="463"/>
      <c r="I60" s="463"/>
      <c r="S60" s="817">
        <v>44804</v>
      </c>
    </row>
    <row r="61" spans="2:20" ht="18" customHeight="1" x14ac:dyDescent="0.25">
      <c r="B61" s="755" t="s">
        <v>280</v>
      </c>
      <c r="C61" s="760">
        <v>1960.21</v>
      </c>
      <c r="D61" s="768">
        <v>6.8000000000000005E-2</v>
      </c>
      <c r="E61" s="767">
        <f t="shared" ref="E61:E64" si="3">C61*D61</f>
        <v>133.29428000000001</v>
      </c>
      <c r="F61" s="767"/>
      <c r="G61" s="764"/>
    </row>
    <row r="62" spans="2:20" ht="18" customHeight="1" x14ac:dyDescent="0.25">
      <c r="B62" s="778" t="s">
        <v>281</v>
      </c>
      <c r="C62" s="760">
        <f>C61</f>
        <v>1960.21</v>
      </c>
      <c r="D62" s="779">
        <v>2.9000000000000001E-2</v>
      </c>
      <c r="E62" s="767">
        <f t="shared" si="3"/>
        <v>56.846090000000004</v>
      </c>
      <c r="F62" s="767"/>
      <c r="G62" s="780"/>
      <c r="S62" s="543"/>
      <c r="T62" s="543"/>
    </row>
    <row r="63" spans="2:20" ht="18" customHeight="1" x14ac:dyDescent="0.25">
      <c r="B63" s="781" t="s">
        <v>282</v>
      </c>
      <c r="C63" s="782">
        <f>E38*0.9825</f>
        <v>275.08516425000005</v>
      </c>
      <c r="D63" s="779">
        <v>9.7000000000000003E-2</v>
      </c>
      <c r="E63" s="783">
        <f t="shared" si="3"/>
        <v>26.683260932250004</v>
      </c>
      <c r="F63" s="783"/>
      <c r="G63" s="780"/>
    </row>
    <row r="64" spans="2:20" ht="18" customHeight="1" x14ac:dyDescent="0.25">
      <c r="B64" s="784" t="s">
        <v>193</v>
      </c>
      <c r="C64" s="785">
        <f>E38</f>
        <v>279.98490000000004</v>
      </c>
      <c r="D64" s="786">
        <v>-0.11310000000000001</v>
      </c>
      <c r="E64" s="816">
        <f t="shared" si="3"/>
        <v>-31.666292190000007</v>
      </c>
      <c r="F64" s="787"/>
      <c r="G64" s="788">
        <f>-1.5*C38</f>
        <v>-20.085000000000001</v>
      </c>
    </row>
    <row r="65" spans="2:20" ht="18" customHeight="1" x14ac:dyDescent="0.25">
      <c r="B65" s="784"/>
      <c r="C65" s="787"/>
      <c r="D65" s="787"/>
      <c r="E65" s="787"/>
      <c r="F65" s="787"/>
      <c r="G65" s="789"/>
    </row>
    <row r="66" spans="2:20" ht="18" customHeight="1" x14ac:dyDescent="0.25">
      <c r="B66" s="778" t="s">
        <v>45</v>
      </c>
      <c r="C66" s="783"/>
      <c r="D66" s="790"/>
      <c r="E66" s="791">
        <f>SUM(E41:E65)</f>
        <v>461.01324783315908</v>
      </c>
      <c r="F66" s="791"/>
      <c r="G66" s="792">
        <f>SUM(G41:G65)</f>
        <v>845.10700000000008</v>
      </c>
      <c r="S66" s="543"/>
      <c r="T66" s="543">
        <f>E66-'ETAT DES COTIS APP1'!D38</f>
        <v>-360.09976116684118</v>
      </c>
    </row>
    <row r="67" spans="2:20" ht="18" hidden="1" customHeight="1" x14ac:dyDescent="0.25">
      <c r="B67" s="778"/>
      <c r="C67" s="783"/>
      <c r="D67" s="790"/>
      <c r="E67" s="791"/>
      <c r="F67" s="791"/>
      <c r="G67" s="792"/>
    </row>
    <row r="68" spans="2:20" hidden="1" x14ac:dyDescent="0.25">
      <c r="B68" s="793" t="s">
        <v>194</v>
      </c>
      <c r="C68" s="783"/>
      <c r="D68" s="790"/>
      <c r="E68" s="791"/>
      <c r="F68" s="791"/>
      <c r="G68" s="792"/>
    </row>
    <row r="69" spans="2:20" hidden="1" x14ac:dyDescent="0.25">
      <c r="B69" s="793" t="s">
        <v>195</v>
      </c>
      <c r="C69" s="783"/>
      <c r="D69" s="790"/>
      <c r="E69" s="791">
        <f>-E23</f>
        <v>0</v>
      </c>
      <c r="F69" s="791"/>
      <c r="G69" s="792"/>
    </row>
    <row r="70" spans="2:20" hidden="1" x14ac:dyDescent="0.25">
      <c r="B70" s="793" t="s">
        <v>196</v>
      </c>
      <c r="C70" s="783"/>
      <c r="D70" s="790"/>
      <c r="E70" s="791"/>
      <c r="F70" s="791"/>
      <c r="G70" s="792"/>
      <c r="K70" s="416">
        <v>460.53</v>
      </c>
    </row>
    <row r="71" spans="2:20" ht="15.75" hidden="1" customHeight="1" x14ac:dyDescent="0.25">
      <c r="B71" s="793" t="s">
        <v>197</v>
      </c>
      <c r="C71" s="783"/>
      <c r="D71" s="790"/>
      <c r="E71" s="791">
        <f>D71*-C71</f>
        <v>0</v>
      </c>
      <c r="F71" s="791"/>
      <c r="G71" s="792"/>
      <c r="K71" s="416">
        <f>1700*6%</f>
        <v>102</v>
      </c>
    </row>
    <row r="72" spans="2:20" hidden="1" x14ac:dyDescent="0.25">
      <c r="B72" s="793" t="s">
        <v>198</v>
      </c>
      <c r="C72" s="787"/>
      <c r="D72" s="787"/>
      <c r="E72" s="787"/>
      <c r="F72" s="791"/>
      <c r="G72" s="792"/>
      <c r="K72" s="416">
        <f>1700*1.8/100</f>
        <v>30.6</v>
      </c>
    </row>
    <row r="73" spans="2:20" hidden="1" x14ac:dyDescent="0.25">
      <c r="B73" s="793"/>
      <c r="C73" s="783"/>
      <c r="D73" s="790"/>
      <c r="E73" s="791"/>
      <c r="F73" s="791"/>
      <c r="G73" s="792"/>
      <c r="K73" s="416">
        <f>SUM(K70:K72)</f>
        <v>593.13</v>
      </c>
    </row>
    <row r="74" spans="2:20" hidden="1" x14ac:dyDescent="0.25">
      <c r="B74" s="778"/>
      <c r="C74" s="783"/>
      <c r="D74" s="790"/>
      <c r="E74" s="791"/>
      <c r="F74" s="791"/>
      <c r="G74" s="780"/>
    </row>
    <row r="75" spans="2:20" x14ac:dyDescent="0.25">
      <c r="B75" s="794" t="s">
        <v>174</v>
      </c>
      <c r="C75" s="795"/>
      <c r="D75" s="796"/>
      <c r="E75" s="797"/>
      <c r="F75" s="797"/>
      <c r="G75" s="798">
        <f>E37-E66+E69+E71</f>
        <v>1779.8958430759319</v>
      </c>
    </row>
    <row r="76" spans="2:20" s="457" customFormat="1" x14ac:dyDescent="0.25">
      <c r="B76" s="799" t="s">
        <v>199</v>
      </c>
      <c r="C76" s="796"/>
      <c r="D76" s="800"/>
      <c r="E76" s="800"/>
      <c r="F76" s="800"/>
      <c r="G76" s="801">
        <f>E126</f>
        <v>70.588636363636368</v>
      </c>
      <c r="T76" s="448"/>
    </row>
    <row r="77" spans="2:20" s="457" customFormat="1" x14ac:dyDescent="0.25">
      <c r="B77" s="802" t="s">
        <v>176</v>
      </c>
      <c r="C77" s="800" t="s">
        <v>2</v>
      </c>
      <c r="D77" s="800" t="s">
        <v>200</v>
      </c>
      <c r="E77" s="803" t="s">
        <v>201</v>
      </c>
      <c r="F77" s="803"/>
      <c r="G77" s="804" t="s">
        <v>202</v>
      </c>
    </row>
    <row r="78" spans="2:20" s="457" customFormat="1" x14ac:dyDescent="0.25">
      <c r="B78" s="805" t="s">
        <v>203</v>
      </c>
      <c r="C78" s="806"/>
      <c r="D78" s="796"/>
      <c r="E78" s="807">
        <f>E37-279.98+G43+E62+E63-E66</f>
        <v>1617.0588303718184</v>
      </c>
      <c r="F78" s="796"/>
      <c r="G78" s="808">
        <f>E78</f>
        <v>1617.0588303718184</v>
      </c>
      <c r="R78" s="550"/>
    </row>
    <row r="79" spans="2:20" s="457" customFormat="1" x14ac:dyDescent="0.25">
      <c r="B79" s="805" t="s">
        <v>204</v>
      </c>
      <c r="C79" s="809">
        <f>E78</f>
        <v>1617.0588303718184</v>
      </c>
      <c r="D79" s="810">
        <v>6.5000000000000002E-2</v>
      </c>
      <c r="E79" s="807">
        <f>D79*C79</f>
        <v>105.1088239741682</v>
      </c>
      <c r="F79" s="796"/>
      <c r="G79" s="808">
        <f>E79</f>
        <v>105.1088239741682</v>
      </c>
    </row>
    <row r="80" spans="2:20" s="457" customFormat="1" x14ac:dyDescent="0.25">
      <c r="B80" s="805" t="s">
        <v>205</v>
      </c>
      <c r="C80" s="806"/>
      <c r="D80" s="807"/>
      <c r="E80" s="807">
        <f>E24+E25</f>
        <v>0</v>
      </c>
      <c r="F80" s="796"/>
      <c r="G80" s="808">
        <f>E80</f>
        <v>0</v>
      </c>
    </row>
    <row r="81" spans="2:7" s="457" customFormat="1" x14ac:dyDescent="0.25">
      <c r="B81" s="805"/>
      <c r="C81" s="806"/>
      <c r="D81" s="796"/>
      <c r="E81" s="796"/>
      <c r="F81" s="796"/>
      <c r="G81" s="811"/>
    </row>
    <row r="82" spans="2:7" s="457" customFormat="1" x14ac:dyDescent="0.25">
      <c r="B82" s="794" t="s">
        <v>206</v>
      </c>
      <c r="C82" s="796"/>
      <c r="D82" s="796"/>
      <c r="E82" s="796"/>
      <c r="F82" s="796"/>
      <c r="G82" s="808">
        <f>G75-E79</f>
        <v>1674.7870191017637</v>
      </c>
    </row>
    <row r="83" spans="2:7" s="457" customFormat="1" x14ac:dyDescent="0.25">
      <c r="B83" s="805" t="s">
        <v>207</v>
      </c>
      <c r="C83" s="796"/>
      <c r="D83" s="796"/>
      <c r="E83" s="796"/>
      <c r="F83" s="796"/>
      <c r="G83" s="808">
        <f>E132</f>
        <v>174.79090909090911</v>
      </c>
    </row>
    <row r="84" spans="2:7" s="457" customFormat="1" x14ac:dyDescent="0.25">
      <c r="B84" s="805" t="s">
        <v>208</v>
      </c>
      <c r="C84" s="812"/>
      <c r="D84" s="796"/>
      <c r="E84" s="796"/>
      <c r="F84" s="796"/>
      <c r="G84" s="808">
        <f>E37+G66</f>
        <v>3086.016090909091</v>
      </c>
    </row>
    <row r="85" spans="2:7" s="457" customFormat="1" ht="15.75" thickBot="1" x14ac:dyDescent="0.3">
      <c r="B85" s="813" t="s">
        <v>209</v>
      </c>
      <c r="C85" s="814"/>
      <c r="D85" s="814"/>
      <c r="E85" s="814"/>
      <c r="F85" s="814"/>
      <c r="G85" s="815"/>
    </row>
    <row r="87" spans="2:7" hidden="1" x14ac:dyDescent="0.25"/>
    <row r="88" spans="2:7" hidden="1" x14ac:dyDescent="0.25">
      <c r="B88" s="635" t="s">
        <v>278</v>
      </c>
      <c r="C88" s="636"/>
    </row>
    <row r="89" spans="2:7" hidden="1" x14ac:dyDescent="0.25">
      <c r="B89" s="464"/>
      <c r="C89" s="465"/>
      <c r="D89" s="637">
        <f>E37</f>
        <v>2240.909090909091</v>
      </c>
      <c r="E89" s="466"/>
    </row>
    <row r="90" spans="2:7" hidden="1" x14ac:dyDescent="0.25">
      <c r="B90" s="467" t="s">
        <v>283</v>
      </c>
      <c r="C90" s="468">
        <f>IF(J2&gt;=11,J4,0)</f>
        <v>0</v>
      </c>
      <c r="D90" s="638"/>
      <c r="E90" s="469">
        <f>$D$89*C90</f>
        <v>0</v>
      </c>
    </row>
    <row r="91" spans="2:7" hidden="1" x14ac:dyDescent="0.25">
      <c r="B91" s="467" t="s">
        <v>284</v>
      </c>
      <c r="C91" s="468">
        <f>IF(J2&lt;50,0%,0.5%)</f>
        <v>0</v>
      </c>
      <c r="D91" s="638"/>
      <c r="E91" s="469">
        <f t="shared" ref="E91:E96" si="4">$D$89*C91</f>
        <v>0</v>
      </c>
    </row>
    <row r="92" spans="2:7" hidden="1" x14ac:dyDescent="0.25">
      <c r="B92" s="467" t="s">
        <v>285</v>
      </c>
      <c r="C92" s="468">
        <v>1.6000000000000001E-4</v>
      </c>
      <c r="D92" s="638"/>
      <c r="E92" s="469">
        <f t="shared" si="4"/>
        <v>0.35854545454545461</v>
      </c>
    </row>
    <row r="93" spans="2:7" hidden="1" x14ac:dyDescent="0.25">
      <c r="B93" s="467" t="s">
        <v>286</v>
      </c>
      <c r="C93" s="468">
        <v>3.0000000000000001E-3</v>
      </c>
      <c r="D93" s="638"/>
      <c r="E93" s="469">
        <f t="shared" si="4"/>
        <v>6.7227272727272736</v>
      </c>
    </row>
    <row r="94" spans="2:7" hidden="1" x14ac:dyDescent="0.25">
      <c r="B94" s="467" t="s">
        <v>287</v>
      </c>
      <c r="C94" s="468">
        <v>5.8999999999999999E-3</v>
      </c>
      <c r="D94" s="638"/>
      <c r="E94" s="469">
        <f t="shared" si="4"/>
        <v>13.221363636363636</v>
      </c>
    </row>
    <row r="95" spans="2:7" hidden="1" x14ac:dyDescent="0.25">
      <c r="B95" s="467" t="s">
        <v>288</v>
      </c>
      <c r="C95" s="468">
        <f>IF(J2&lt;11,0.55%,1%)</f>
        <v>5.5000000000000005E-3</v>
      </c>
      <c r="D95" s="638"/>
      <c r="E95" s="469">
        <f t="shared" si="4"/>
        <v>12.325000000000001</v>
      </c>
    </row>
    <row r="96" spans="2:7" hidden="1" x14ac:dyDescent="0.25">
      <c r="B96" s="467" t="s">
        <v>289</v>
      </c>
      <c r="C96" s="468">
        <f>IF(J2&lt;=50,0,0.45%)</f>
        <v>0</v>
      </c>
      <c r="D96" s="638"/>
      <c r="E96" s="469">
        <f t="shared" si="4"/>
        <v>0</v>
      </c>
    </row>
    <row r="97" spans="2:5" hidden="1" x14ac:dyDescent="0.25">
      <c r="B97" s="427"/>
      <c r="C97" s="454"/>
      <c r="D97" s="454"/>
      <c r="E97" s="429"/>
    </row>
    <row r="98" spans="2:5" hidden="1" x14ac:dyDescent="0.25">
      <c r="B98" s="427" t="s">
        <v>92</v>
      </c>
      <c r="C98" s="470">
        <f>IF(J2&gt;=11,+G38+G40+G41,0)</f>
        <v>0</v>
      </c>
      <c r="D98" s="471">
        <v>0.08</v>
      </c>
      <c r="E98" s="472">
        <f>D98*C98</f>
        <v>0</v>
      </c>
    </row>
    <row r="99" spans="2:5" ht="15.75" hidden="1" thickBot="1" x14ac:dyDescent="0.3">
      <c r="B99" s="438" t="s">
        <v>290</v>
      </c>
      <c r="C99" s="473">
        <f>E37</f>
        <v>2240.909090909091</v>
      </c>
      <c r="D99" s="474">
        <v>1E-3</v>
      </c>
      <c r="E99" s="475">
        <f>D99*C99</f>
        <v>2.2409090909090912</v>
      </c>
    </row>
    <row r="100" spans="2:5" hidden="1" x14ac:dyDescent="0.25"/>
    <row r="101" spans="2:5" ht="15.75" hidden="1" thickBot="1" x14ac:dyDescent="0.3">
      <c r="B101" s="476" t="s">
        <v>291</v>
      </c>
      <c r="C101" s="477"/>
      <c r="D101" s="477"/>
      <c r="E101" s="478">
        <f>SUM(E90:E99)</f>
        <v>34.868545454545455</v>
      </c>
    </row>
    <row r="102" spans="2:5" hidden="1" x14ac:dyDescent="0.25"/>
    <row r="103" spans="2:5" ht="15.75" hidden="1" thickBot="1" x14ac:dyDescent="0.3">
      <c r="B103" s="630" t="s">
        <v>292</v>
      </c>
      <c r="C103" s="631"/>
      <c r="D103" s="631"/>
      <c r="E103" s="632"/>
    </row>
    <row r="104" spans="2:5" hidden="1" x14ac:dyDescent="0.25">
      <c r="B104" s="479" t="s">
        <v>293</v>
      </c>
      <c r="C104" s="480">
        <f>E37</f>
        <v>2240.909090909091</v>
      </c>
      <c r="D104" s="481">
        <v>2.4E-2</v>
      </c>
      <c r="E104" s="482">
        <f>D104*C104</f>
        <v>53.781818181818188</v>
      </c>
    </row>
    <row r="105" spans="2:5" hidden="1" x14ac:dyDescent="0.25">
      <c r="B105" s="483" t="s">
        <v>50</v>
      </c>
      <c r="C105" s="480">
        <f>C104</f>
        <v>2240.909090909091</v>
      </c>
      <c r="D105" s="484">
        <v>7.4999999999999997E-3</v>
      </c>
      <c r="E105" s="485">
        <f>D105*C105</f>
        <v>16.806818181818183</v>
      </c>
    </row>
    <row r="106" spans="2:5" hidden="1" x14ac:dyDescent="0.25">
      <c r="B106" s="483" t="s">
        <v>294</v>
      </c>
      <c r="C106" s="480">
        <f>C61</f>
        <v>1960.21</v>
      </c>
      <c r="D106" s="484">
        <v>-1.7000000000000001E-2</v>
      </c>
      <c r="E106" s="485">
        <f>D106*C106</f>
        <v>-33.323570000000004</v>
      </c>
    </row>
    <row r="107" spans="2:5" hidden="1" x14ac:dyDescent="0.25">
      <c r="B107" s="404"/>
      <c r="C107" s="486"/>
      <c r="D107" s="487"/>
      <c r="E107" s="488"/>
    </row>
    <row r="108" spans="2:5" ht="15.75" hidden="1" thickBot="1" x14ac:dyDescent="0.3">
      <c r="B108" s="489" t="s">
        <v>295</v>
      </c>
      <c r="C108" s="490"/>
      <c r="D108" s="491"/>
      <c r="E108" s="492">
        <f>SUM(E104:E107)</f>
        <v>37.265066363636365</v>
      </c>
    </row>
    <row r="109" spans="2:5" hidden="1" x14ac:dyDescent="0.25">
      <c r="B109" s="493"/>
      <c r="C109" s="493"/>
      <c r="D109" s="493"/>
      <c r="E109" s="493"/>
    </row>
    <row r="110" spans="2:5" hidden="1" x14ac:dyDescent="0.25">
      <c r="B110" s="493"/>
      <c r="C110" s="493"/>
      <c r="D110" s="493"/>
      <c r="E110" s="493"/>
    </row>
    <row r="111" spans="2:5" ht="15.75" hidden="1" thickBot="1" x14ac:dyDescent="0.3">
      <c r="B111" s="630" t="s">
        <v>296</v>
      </c>
      <c r="C111" s="631"/>
      <c r="D111" s="631"/>
      <c r="E111" s="632"/>
    </row>
    <row r="112" spans="2:5" hidden="1" x14ac:dyDescent="0.25">
      <c r="B112" s="494" t="s">
        <v>297</v>
      </c>
      <c r="C112" s="495"/>
      <c r="D112" s="495"/>
      <c r="E112" s="496">
        <f>-G64</f>
        <v>20.085000000000001</v>
      </c>
    </row>
    <row r="113" spans="2:5" hidden="1" x14ac:dyDescent="0.25">
      <c r="B113" s="497" t="s">
        <v>298</v>
      </c>
      <c r="C113" s="498">
        <f>C63</f>
        <v>275.08516425000005</v>
      </c>
      <c r="D113" s="499">
        <v>1.5</v>
      </c>
      <c r="E113" s="460">
        <f>D113*C113</f>
        <v>412.62774637500007</v>
      </c>
    </row>
    <row r="114" spans="2:5" hidden="1" x14ac:dyDescent="0.25">
      <c r="B114" s="497" t="s">
        <v>299</v>
      </c>
      <c r="C114" s="500">
        <f>E37</f>
        <v>2240.909090909091</v>
      </c>
      <c r="D114" s="484">
        <v>1.7999999999999999E-2</v>
      </c>
      <c r="E114" s="460">
        <f>D114*C114</f>
        <v>40.336363636363636</v>
      </c>
    </row>
    <row r="115" spans="2:5" hidden="1" x14ac:dyDescent="0.25">
      <c r="B115" s="497" t="s">
        <v>300</v>
      </c>
      <c r="C115" s="500">
        <f>C114</f>
        <v>2240.909090909091</v>
      </c>
      <c r="D115" s="484">
        <v>0.06</v>
      </c>
      <c r="E115" s="460">
        <f>D115*C115</f>
        <v>134.45454545454547</v>
      </c>
    </row>
    <row r="116" spans="2:5" ht="15.75" hidden="1" thickBot="1" x14ac:dyDescent="0.3">
      <c r="B116" s="501" t="s">
        <v>301</v>
      </c>
      <c r="C116" s="502"/>
      <c r="D116" s="502"/>
      <c r="E116" s="503">
        <f>E112+E113+E114+E115</f>
        <v>607.50365546590911</v>
      </c>
    </row>
    <row r="117" spans="2:5" hidden="1" x14ac:dyDescent="0.25"/>
    <row r="118" spans="2:5" hidden="1" x14ac:dyDescent="0.25"/>
    <row r="119" spans="2:5" hidden="1" x14ac:dyDescent="0.25"/>
    <row r="120" spans="2:5" hidden="1" x14ac:dyDescent="0.25"/>
    <row r="121" spans="2:5" ht="15.75" thickBot="1" x14ac:dyDescent="0.3"/>
    <row r="122" spans="2:5" x14ac:dyDescent="0.25">
      <c r="B122" s="551" t="s">
        <v>199</v>
      </c>
      <c r="C122" s="419"/>
      <c r="D122" s="419"/>
      <c r="E122" s="420"/>
    </row>
    <row r="123" spans="2:5" x14ac:dyDescent="0.25">
      <c r="B123" s="387" t="s">
        <v>304</v>
      </c>
      <c r="C123" s="553">
        <f>C62+C63</f>
        <v>2235.2951642500002</v>
      </c>
      <c r="D123" s="471">
        <v>1.7000000000000001E-2</v>
      </c>
      <c r="E123" s="552">
        <f>-D123*C123</f>
        <v>-38.000017792250006</v>
      </c>
    </row>
    <row r="124" spans="2:5" x14ac:dyDescent="0.25">
      <c r="B124" s="379" t="s">
        <v>305</v>
      </c>
      <c r="C124" s="553">
        <f>E37</f>
        <v>2240.909090909091</v>
      </c>
      <c r="D124" s="471">
        <v>7.4999999999999997E-3</v>
      </c>
      <c r="E124" s="505">
        <f>D124*C124</f>
        <v>16.806818181818183</v>
      </c>
    </row>
    <row r="125" spans="2:5" x14ac:dyDescent="0.25">
      <c r="B125" s="379" t="s">
        <v>306</v>
      </c>
      <c r="C125" s="553">
        <f>C124</f>
        <v>2240.909090909091</v>
      </c>
      <c r="D125" s="471">
        <v>2.4E-2</v>
      </c>
      <c r="E125" s="505">
        <f>D125*C125</f>
        <v>53.781818181818188</v>
      </c>
    </row>
    <row r="126" spans="2:5" ht="15.75" thickBot="1" x14ac:dyDescent="0.3">
      <c r="B126" s="352"/>
      <c r="C126" s="554"/>
      <c r="D126" s="554"/>
      <c r="E126" s="506">
        <f>SUM(E124:E125)</f>
        <v>70.588636363636368</v>
      </c>
    </row>
    <row r="127" spans="2:5" ht="15.75" thickBot="1" x14ac:dyDescent="0.3"/>
    <row r="128" spans="2:5" x14ac:dyDescent="0.25">
      <c r="B128" s="551" t="s">
        <v>207</v>
      </c>
      <c r="C128" s="419"/>
      <c r="D128" s="419"/>
      <c r="E128" s="420"/>
    </row>
    <row r="129" spans="2:5" x14ac:dyDescent="0.25">
      <c r="B129" s="387" t="s">
        <v>303</v>
      </c>
      <c r="C129" s="454"/>
      <c r="D129" s="454"/>
      <c r="E129" s="552"/>
    </row>
    <row r="130" spans="2:5" x14ac:dyDescent="0.25">
      <c r="B130" s="379" t="s">
        <v>302</v>
      </c>
      <c r="C130" s="553">
        <f>C124</f>
        <v>2240.909090909091</v>
      </c>
      <c r="D130" s="471">
        <v>0.06</v>
      </c>
      <c r="E130" s="505">
        <f>D130*C130</f>
        <v>134.45454545454547</v>
      </c>
    </row>
    <row r="131" spans="2:5" x14ac:dyDescent="0.25">
      <c r="B131" s="379" t="s">
        <v>307</v>
      </c>
      <c r="C131" s="553">
        <f>C130</f>
        <v>2240.909090909091</v>
      </c>
      <c r="D131" s="471">
        <v>1.7999999999999999E-2</v>
      </c>
      <c r="E131" s="505">
        <f>D131*C131</f>
        <v>40.336363636363636</v>
      </c>
    </row>
    <row r="132" spans="2:5" ht="15.75" thickBot="1" x14ac:dyDescent="0.3">
      <c r="B132" s="352" t="s">
        <v>301</v>
      </c>
      <c r="C132" s="554"/>
      <c r="D132" s="554"/>
      <c r="E132" s="555">
        <f>SUM(E130:E131)</f>
        <v>174.79090909090911</v>
      </c>
    </row>
    <row r="134" spans="2:5" ht="15.75" thickBot="1" x14ac:dyDescent="0.3"/>
    <row r="135" spans="2:5" x14ac:dyDescent="0.25">
      <c r="B135" s="518" t="s">
        <v>278</v>
      </c>
      <c r="C135" s="520" t="s">
        <v>2</v>
      </c>
      <c r="D135" s="520" t="s">
        <v>200</v>
      </c>
      <c r="E135" s="521" t="s">
        <v>252</v>
      </c>
    </row>
    <row r="136" spans="2:5" ht="16.5" x14ac:dyDescent="0.25">
      <c r="B136" s="515" t="s">
        <v>309</v>
      </c>
      <c r="C136" s="480">
        <v>3428</v>
      </c>
      <c r="D136" s="484">
        <v>1E-3</v>
      </c>
      <c r="E136" s="585">
        <f>D136*C136</f>
        <v>3.4279999999999999</v>
      </c>
    </row>
    <row r="137" spans="2:5" ht="16.5" x14ac:dyDescent="0.25">
      <c r="B137" s="515" t="s">
        <v>125</v>
      </c>
      <c r="C137" s="480"/>
      <c r="D137" s="484">
        <f>'ETAT DES COTIS APP1'!E10</f>
        <v>0</v>
      </c>
      <c r="E137" s="585">
        <f t="shared" ref="E137:E138" si="5">D137*C137</f>
        <v>0</v>
      </c>
    </row>
    <row r="138" spans="2:5" ht="16.5" x14ac:dyDescent="0.25">
      <c r="B138" s="515" t="s">
        <v>310</v>
      </c>
      <c r="C138" s="480">
        <f>C124</f>
        <v>2240.909090909091</v>
      </c>
      <c r="D138" s="484">
        <v>3.0000000000000001E-3</v>
      </c>
      <c r="E138" s="585">
        <f t="shared" si="5"/>
        <v>6.7227272727272736</v>
      </c>
    </row>
    <row r="139" spans="2:5" ht="16.5" x14ac:dyDescent="0.25">
      <c r="B139" s="515" t="s">
        <v>312</v>
      </c>
      <c r="C139" s="480">
        <f>C141</f>
        <v>2240.909090909091</v>
      </c>
      <c r="D139" s="539">
        <v>1.6000000000000001E-4</v>
      </c>
      <c r="E139" s="585">
        <f>D139*C139</f>
        <v>0.35854545454545461</v>
      </c>
    </row>
    <row r="140" spans="2:5" ht="16.5" x14ac:dyDescent="0.25">
      <c r="B140" s="515" t="s">
        <v>311</v>
      </c>
      <c r="C140" s="480">
        <f>C138</f>
        <v>2240.909090909091</v>
      </c>
      <c r="D140" s="484">
        <v>6.7999999999999996E-3</v>
      </c>
      <c r="E140" s="585">
        <f>D140*C140</f>
        <v>15.238181818181818</v>
      </c>
    </row>
    <row r="141" spans="2:5" ht="16.5" x14ac:dyDescent="0.25">
      <c r="B141" s="515" t="s">
        <v>288</v>
      </c>
      <c r="C141" s="480">
        <f>C140</f>
        <v>2240.909090909091</v>
      </c>
      <c r="D141" s="484">
        <v>5.4999999999999997E-3</v>
      </c>
      <c r="E141" s="585">
        <f>D141*C141</f>
        <v>12.324999999999999</v>
      </c>
    </row>
    <row r="142" spans="2:5" ht="16.5" x14ac:dyDescent="0.25">
      <c r="B142" s="416" t="s">
        <v>318</v>
      </c>
      <c r="C142" s="543"/>
      <c r="D142" s="544"/>
      <c r="E142" s="585">
        <f>D142*C142</f>
        <v>0</v>
      </c>
    </row>
    <row r="143" spans="2:5" ht="16.5" x14ac:dyDescent="0.25">
      <c r="B143" s="515" t="s">
        <v>313</v>
      </c>
      <c r="C143" s="519"/>
      <c r="D143" s="519"/>
      <c r="E143" s="540"/>
    </row>
    <row r="144" spans="2:5" ht="16.5" x14ac:dyDescent="0.25">
      <c r="B144" s="515" t="s">
        <v>92</v>
      </c>
      <c r="C144" s="480"/>
      <c r="D144" s="541">
        <v>0.08</v>
      </c>
      <c r="E144" s="517">
        <f>D144*C144</f>
        <v>0</v>
      </c>
    </row>
    <row r="145" spans="2:5" ht="16.5" x14ac:dyDescent="0.25">
      <c r="B145" s="515"/>
      <c r="C145" s="519"/>
      <c r="D145" s="519"/>
      <c r="E145" s="517"/>
    </row>
    <row r="146" spans="2:5" ht="17.25" thickBot="1" x14ac:dyDescent="0.3">
      <c r="B146" s="516" t="s">
        <v>76</v>
      </c>
      <c r="C146" s="462"/>
      <c r="D146" s="462"/>
      <c r="E146" s="542">
        <f>SUM(E136:E144)</f>
        <v>38.072454545454548</v>
      </c>
    </row>
    <row r="148" spans="2:5" ht="15.75" thickBot="1" x14ac:dyDescent="0.3"/>
    <row r="149" spans="2:5" ht="15.75" thickBot="1" x14ac:dyDescent="0.3">
      <c r="B149" s="546" t="s">
        <v>69</v>
      </c>
    </row>
    <row r="150" spans="2:5" x14ac:dyDescent="0.25">
      <c r="B150" s="421" t="s">
        <v>1</v>
      </c>
      <c r="C150" s="547">
        <f>E37</f>
        <v>2240.909090909091</v>
      </c>
    </row>
    <row r="151" spans="2:5" x14ac:dyDescent="0.25">
      <c r="B151" s="427" t="s">
        <v>319</v>
      </c>
      <c r="C151" s="548">
        <f>-E66</f>
        <v>-461.01324783315908</v>
      </c>
    </row>
    <row r="152" spans="2:5" x14ac:dyDescent="0.25">
      <c r="B152" s="427" t="s">
        <v>320</v>
      </c>
      <c r="C152" s="548">
        <f>G43</f>
        <v>33.613636363636367</v>
      </c>
    </row>
    <row r="153" spans="2:5" x14ac:dyDescent="0.25">
      <c r="B153" s="427" t="s">
        <v>360</v>
      </c>
      <c r="C153" s="548">
        <f>E63</f>
        <v>26.683260932250004</v>
      </c>
    </row>
    <row r="154" spans="2:5" x14ac:dyDescent="0.25">
      <c r="B154" s="427" t="s">
        <v>361</v>
      </c>
      <c r="C154" s="548">
        <f>E62</f>
        <v>56.846090000000004</v>
      </c>
    </row>
    <row r="155" spans="2:5" x14ac:dyDescent="0.25">
      <c r="B155" s="427" t="s">
        <v>321</v>
      </c>
      <c r="C155" s="548">
        <v>-279.98</v>
      </c>
    </row>
    <row r="156" spans="2:5" ht="15.75" thickBot="1" x14ac:dyDescent="0.3">
      <c r="B156" s="438" t="s">
        <v>69</v>
      </c>
      <c r="C156" s="549">
        <f>SUM(C150:C155)</f>
        <v>1617.0588303718182</v>
      </c>
    </row>
  </sheetData>
  <mergeCells count="6">
    <mergeCell ref="B111:E111"/>
    <mergeCell ref="C17:D17"/>
    <mergeCell ref="G17:H17"/>
    <mergeCell ref="B88:C88"/>
    <mergeCell ref="D89:D96"/>
    <mergeCell ref="B103:E10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D3E6-8600-47A9-ADA1-261F0959D747}">
  <dimension ref="A5:L57"/>
  <sheetViews>
    <sheetView topLeftCell="A16" zoomScale="90" zoomScaleNormal="90" workbookViewId="0">
      <selection activeCell="L36" sqref="L36"/>
    </sheetView>
  </sheetViews>
  <sheetFormatPr baseColWidth="10" defaultColWidth="13.28515625" defaultRowHeight="12" x14ac:dyDescent="0.25"/>
  <cols>
    <col min="1" max="1" width="41" style="16" customWidth="1"/>
    <col min="2" max="6" width="13.28515625" style="16"/>
    <col min="7" max="7" width="5.85546875" style="16" customWidth="1"/>
    <col min="8" max="8" width="50.7109375" style="80" customWidth="1"/>
    <col min="9" max="12" width="13.28515625" style="80"/>
    <col min="13" max="16384" width="13.28515625" style="16"/>
  </cols>
  <sheetData>
    <row r="5" spans="1:12" ht="27" customHeight="1" x14ac:dyDescent="0.3">
      <c r="A5" s="639" t="s">
        <v>129</v>
      </c>
      <c r="B5" s="640"/>
      <c r="C5" s="640"/>
      <c r="D5" s="640"/>
      <c r="E5" s="640"/>
      <c r="H5" s="641" t="s">
        <v>106</v>
      </c>
      <c r="I5" s="641"/>
      <c r="J5" s="641"/>
      <c r="K5" s="641"/>
      <c r="L5" s="641"/>
    </row>
    <row r="6" spans="1:12" ht="15" customHeight="1" thickBot="1" x14ac:dyDescent="0.25">
      <c r="A6" s="166"/>
      <c r="B6" s="167"/>
      <c r="C6" s="167"/>
      <c r="D6" s="167"/>
      <c r="E6" s="167"/>
      <c r="F6" s="167"/>
      <c r="J6" s="168"/>
      <c r="K6" s="168"/>
      <c r="L6" s="168"/>
    </row>
    <row r="7" spans="1:12" ht="25.5" customHeight="1" thickBot="1" x14ac:dyDescent="0.3">
      <c r="A7" s="652" t="s">
        <v>118</v>
      </c>
      <c r="B7" s="595" t="s">
        <v>2</v>
      </c>
      <c r="C7" s="595" t="s">
        <v>3</v>
      </c>
      <c r="D7" s="595" t="s">
        <v>4</v>
      </c>
      <c r="E7" s="595" t="s">
        <v>5</v>
      </c>
      <c r="F7" s="597" t="s">
        <v>6</v>
      </c>
      <c r="H7" s="78" t="s">
        <v>1</v>
      </c>
      <c r="I7" s="79">
        <v>8500</v>
      </c>
    </row>
    <row r="8" spans="1:12" ht="15" customHeight="1" x14ac:dyDescent="0.25">
      <c r="A8" s="653"/>
      <c r="B8" s="596"/>
      <c r="C8" s="596"/>
      <c r="D8" s="596"/>
      <c r="E8" s="596"/>
      <c r="F8" s="598"/>
      <c r="H8" s="648"/>
      <c r="I8" s="650" t="s">
        <v>2</v>
      </c>
      <c r="J8" s="650" t="s">
        <v>3</v>
      </c>
      <c r="K8" s="650" t="s">
        <v>4</v>
      </c>
      <c r="L8" s="642" t="s">
        <v>6</v>
      </c>
    </row>
    <row r="9" spans="1:12" ht="15" customHeight="1" x14ac:dyDescent="0.25">
      <c r="A9" s="3" t="s">
        <v>50</v>
      </c>
      <c r="B9" s="5">
        <v>7000</v>
      </c>
      <c r="C9" s="19"/>
      <c r="D9" s="5">
        <f>B9*C9</f>
        <v>0</v>
      </c>
      <c r="E9" s="19">
        <v>0.13</v>
      </c>
      <c r="F9" s="20">
        <f>B9*E9</f>
        <v>910</v>
      </c>
      <c r="H9" s="649"/>
      <c r="I9" s="651"/>
      <c r="J9" s="651"/>
      <c r="K9" s="651"/>
      <c r="L9" s="643"/>
    </row>
    <row r="10" spans="1:12" ht="15" customHeight="1" x14ac:dyDescent="0.25">
      <c r="A10" s="3" t="s">
        <v>51</v>
      </c>
      <c r="B10" s="5">
        <v>3311</v>
      </c>
      <c r="C10" s="19">
        <v>6.9000000000000006E-2</v>
      </c>
      <c r="D10" s="5">
        <f>B10*C10</f>
        <v>228.45900000000003</v>
      </c>
      <c r="E10" s="19">
        <v>8.5500000000000007E-2</v>
      </c>
      <c r="F10" s="20">
        <f t="shared" ref="F10:F17" si="0">B10*E10</f>
        <v>283.09050000000002</v>
      </c>
      <c r="H10" s="94" t="s">
        <v>23</v>
      </c>
      <c r="I10" s="254"/>
      <c r="J10" s="255"/>
      <c r="K10" s="256"/>
      <c r="L10" s="257"/>
    </row>
    <row r="11" spans="1:12" ht="15" customHeight="1" x14ac:dyDescent="0.25">
      <c r="A11" s="3" t="s">
        <v>51</v>
      </c>
      <c r="B11" s="5">
        <v>7000</v>
      </c>
      <c r="C11" s="19">
        <v>4.0000000000000001E-3</v>
      </c>
      <c r="D11" s="5">
        <f>B11*C11</f>
        <v>28</v>
      </c>
      <c r="E11" s="19">
        <v>1.9E-2</v>
      </c>
      <c r="F11" s="20">
        <f t="shared" si="0"/>
        <v>133</v>
      </c>
      <c r="H11" s="84" t="s">
        <v>24</v>
      </c>
      <c r="I11" s="85"/>
      <c r="J11" s="86"/>
      <c r="K11" s="85"/>
      <c r="L11" s="90">
        <f>F9</f>
        <v>910</v>
      </c>
    </row>
    <row r="12" spans="1:12" ht="15" customHeight="1" x14ac:dyDescent="0.25">
      <c r="A12" s="3" t="s">
        <v>125</v>
      </c>
      <c r="B12" s="5">
        <v>7000</v>
      </c>
      <c r="C12" s="21"/>
      <c r="D12" s="22"/>
      <c r="E12" s="152">
        <v>0.01</v>
      </c>
      <c r="F12" s="20">
        <f t="shared" si="0"/>
        <v>70</v>
      </c>
      <c r="H12" s="84" t="s">
        <v>25</v>
      </c>
      <c r="I12" s="85">
        <v>3311</v>
      </c>
      <c r="J12" s="86">
        <f>C35</f>
        <v>4.1999999999999997E-3</v>
      </c>
      <c r="K12" s="85">
        <f>J12*I12</f>
        <v>13.906199999999998</v>
      </c>
      <c r="L12" s="90">
        <f>F36</f>
        <v>62.908999999999999</v>
      </c>
    </row>
    <row r="13" spans="1:12" ht="15" customHeight="1" x14ac:dyDescent="0.25">
      <c r="A13" s="3" t="s">
        <v>53</v>
      </c>
      <c r="B13" s="5">
        <v>7000</v>
      </c>
      <c r="C13" s="21"/>
      <c r="D13" s="22"/>
      <c r="E13" s="19">
        <v>3.4500000000000003E-2</v>
      </c>
      <c r="F13" s="20">
        <f t="shared" si="0"/>
        <v>241.50000000000003</v>
      </c>
      <c r="H13" s="52" t="s">
        <v>26</v>
      </c>
      <c r="I13" s="89"/>
      <c r="J13" s="86"/>
      <c r="K13" s="85"/>
      <c r="L13" s="275">
        <f>F35</f>
        <v>26.488</v>
      </c>
    </row>
    <row r="14" spans="1:12" ht="15" customHeight="1" x14ac:dyDescent="0.25">
      <c r="A14" s="3"/>
      <c r="B14" s="5"/>
      <c r="C14" s="21"/>
      <c r="D14" s="22"/>
      <c r="E14" s="19"/>
      <c r="F14" s="20"/>
      <c r="H14" s="94" t="s">
        <v>27</v>
      </c>
      <c r="I14" s="85"/>
      <c r="J14" s="91"/>
      <c r="K14" s="85"/>
      <c r="L14" s="90">
        <v>136</v>
      </c>
    </row>
    <row r="15" spans="1:12" ht="15" customHeight="1" x14ac:dyDescent="0.25">
      <c r="A15" s="3" t="s">
        <v>54</v>
      </c>
      <c r="B15" s="5">
        <v>7000</v>
      </c>
      <c r="C15" s="21"/>
      <c r="D15" s="22"/>
      <c r="E15" s="19">
        <v>5.0000000000000001E-3</v>
      </c>
      <c r="F15" s="20">
        <f t="shared" si="0"/>
        <v>35</v>
      </c>
      <c r="H15" s="94" t="s">
        <v>8</v>
      </c>
      <c r="I15" s="254"/>
      <c r="J15" s="255"/>
      <c r="K15" s="85"/>
      <c r="L15" s="257"/>
    </row>
    <row r="16" spans="1:12" ht="15" customHeight="1" x14ac:dyDescent="0.25">
      <c r="A16" s="3" t="s">
        <v>56</v>
      </c>
      <c r="B16" s="5"/>
      <c r="C16" s="21"/>
      <c r="D16" s="22"/>
      <c r="E16" s="19"/>
      <c r="F16" s="20">
        <f>L14</f>
        <v>136</v>
      </c>
      <c r="H16" s="84" t="s">
        <v>28</v>
      </c>
      <c r="I16" s="85">
        <v>3311</v>
      </c>
      <c r="J16" s="86">
        <f>C10</f>
        <v>6.9000000000000006E-2</v>
      </c>
      <c r="K16" s="85">
        <f>J16*I16</f>
        <v>228.45900000000003</v>
      </c>
      <c r="L16" s="90">
        <f>F10</f>
        <v>283.09050000000002</v>
      </c>
    </row>
    <row r="17" spans="1:12" ht="15" customHeight="1" x14ac:dyDescent="0.25">
      <c r="A17" s="3" t="s">
        <v>126</v>
      </c>
      <c r="B17" s="5">
        <v>7000</v>
      </c>
      <c r="C17" s="21"/>
      <c r="D17" s="22"/>
      <c r="E17" s="19">
        <v>3.0000000000000001E-3</v>
      </c>
      <c r="F17" s="20">
        <f t="shared" si="0"/>
        <v>21</v>
      </c>
      <c r="H17" s="84" t="s">
        <v>29</v>
      </c>
      <c r="I17" s="85">
        <v>7000</v>
      </c>
      <c r="J17" s="86">
        <f>C11</f>
        <v>4.0000000000000001E-3</v>
      </c>
      <c r="K17" s="85">
        <f>J17*I17</f>
        <v>28</v>
      </c>
      <c r="L17" s="90">
        <f>F11</f>
        <v>133</v>
      </c>
    </row>
    <row r="18" spans="1:12" ht="15" customHeight="1" x14ac:dyDescent="0.25">
      <c r="A18" s="3" t="s">
        <v>92</v>
      </c>
      <c r="B18" s="5">
        <f>F35+F36</f>
        <v>89.396999999999991</v>
      </c>
      <c r="C18" s="21"/>
      <c r="D18" s="22"/>
      <c r="E18" s="19">
        <v>0.08</v>
      </c>
      <c r="F18" s="20">
        <f>E18*B18</f>
        <v>7.1517599999999995</v>
      </c>
      <c r="H18" s="84" t="s">
        <v>30</v>
      </c>
      <c r="I18" s="85">
        <v>3311</v>
      </c>
      <c r="J18" s="279">
        <f>C27+C28+C32</f>
        <v>4.0300000000000002E-2</v>
      </c>
      <c r="K18" s="85">
        <f>J18*I18</f>
        <v>133.4333</v>
      </c>
      <c r="L18" s="87">
        <f>F27+F28+F32</f>
        <v>200.9777</v>
      </c>
    </row>
    <row r="19" spans="1:12" ht="15" customHeight="1" x14ac:dyDescent="0.25">
      <c r="A19" s="3" t="s">
        <v>9</v>
      </c>
      <c r="B19" s="5">
        <f>7000*98.25/100</f>
        <v>6877.5</v>
      </c>
      <c r="C19" s="19">
        <v>2.4E-2</v>
      </c>
      <c r="D19" s="5">
        <f>B19*C19</f>
        <v>165.06</v>
      </c>
      <c r="E19" s="21"/>
      <c r="F19" s="20"/>
      <c r="H19" s="52" t="s">
        <v>31</v>
      </c>
      <c r="I19" s="85"/>
      <c r="J19" s="93"/>
      <c r="K19" s="85"/>
      <c r="L19" s="90"/>
    </row>
    <row r="20" spans="1:12" ht="15" customHeight="1" x14ac:dyDescent="0.25">
      <c r="A20" s="3" t="s">
        <v>10</v>
      </c>
      <c r="B20" s="5">
        <f t="shared" ref="B20:B21" si="1">7000*98.25/100</f>
        <v>6877.5</v>
      </c>
      <c r="C20" s="19">
        <v>6.8000000000000005E-2</v>
      </c>
      <c r="D20" s="5">
        <f>B20*C20</f>
        <v>467.67</v>
      </c>
      <c r="E20" s="21"/>
      <c r="F20" s="20"/>
      <c r="H20" s="84" t="s">
        <v>32</v>
      </c>
      <c r="I20" s="85">
        <f>7000-3311</f>
        <v>3689</v>
      </c>
      <c r="J20" s="280">
        <f>C31+C29+C33</f>
        <v>8.829999999999999E-2</v>
      </c>
      <c r="K20" s="85">
        <f>J20*I20</f>
        <v>325.73869999999994</v>
      </c>
      <c r="L20" s="87">
        <f>F31+F29+F33</f>
        <v>526.42030000000011</v>
      </c>
    </row>
    <row r="21" spans="1:12" ht="15" customHeight="1" x14ac:dyDescent="0.25">
      <c r="A21" s="3" t="s">
        <v>11</v>
      </c>
      <c r="B21" s="5">
        <f t="shared" si="1"/>
        <v>6877.5</v>
      </c>
      <c r="C21" s="19">
        <v>5.0000000000000001E-3</v>
      </c>
      <c r="D21" s="5">
        <f>B21*C21</f>
        <v>34.387500000000003</v>
      </c>
      <c r="E21" s="21"/>
      <c r="F21" s="20"/>
      <c r="H21" s="84" t="s">
        <v>33</v>
      </c>
      <c r="I21" s="85"/>
      <c r="J21" s="93"/>
      <c r="K21" s="85"/>
      <c r="L21" s="90"/>
    </row>
    <row r="22" spans="1:12" ht="15" customHeight="1" x14ac:dyDescent="0.25">
      <c r="A22" s="3" t="s">
        <v>12</v>
      </c>
      <c r="B22" s="5">
        <v>7000</v>
      </c>
      <c r="C22" s="4"/>
      <c r="D22" s="5"/>
      <c r="E22" s="169">
        <v>1.6000000000000001E-4</v>
      </c>
      <c r="F22" s="20">
        <f>B22*E22</f>
        <v>1.1200000000000001</v>
      </c>
      <c r="H22" s="84" t="s">
        <v>34</v>
      </c>
      <c r="I22" s="85"/>
      <c r="J22" s="93"/>
      <c r="K22" s="85"/>
      <c r="L22" s="90"/>
    </row>
    <row r="23" spans="1:12" ht="15" customHeight="1" x14ac:dyDescent="0.25">
      <c r="A23" s="17" t="s">
        <v>14</v>
      </c>
      <c r="B23" s="248"/>
      <c r="C23" s="21"/>
      <c r="D23" s="21"/>
      <c r="E23" s="21"/>
      <c r="F23" s="20"/>
      <c r="H23" s="94" t="s">
        <v>35</v>
      </c>
      <c r="I23" s="95"/>
      <c r="J23" s="93"/>
      <c r="K23" s="85"/>
      <c r="L23" s="90">
        <f>F13+F14</f>
        <v>241.50000000000003</v>
      </c>
    </row>
    <row r="24" spans="1:12" ht="15" customHeight="1" x14ac:dyDescent="0.25">
      <c r="A24" s="3" t="s">
        <v>127</v>
      </c>
      <c r="B24" s="5">
        <v>7000</v>
      </c>
      <c r="C24" s="19">
        <v>9.4999999999999998E-3</v>
      </c>
      <c r="D24" s="5">
        <f>B24*C24</f>
        <v>66.5</v>
      </c>
      <c r="E24" s="19">
        <v>4.0500000000000001E-2</v>
      </c>
      <c r="F24" s="290">
        <f>B24*E24</f>
        <v>283.5</v>
      </c>
      <c r="H24" s="94" t="s">
        <v>37</v>
      </c>
      <c r="I24" s="254"/>
      <c r="J24" s="276"/>
      <c r="K24" s="85"/>
      <c r="L24" s="277"/>
    </row>
    <row r="25" spans="1:12" ht="15" customHeight="1" x14ac:dyDescent="0.25">
      <c r="A25" s="3" t="s">
        <v>128</v>
      </c>
      <c r="B25" s="5">
        <v>7000</v>
      </c>
      <c r="C25" s="21"/>
      <c r="D25" s="22"/>
      <c r="E25" s="19">
        <v>1.5E-3</v>
      </c>
      <c r="F25" s="290">
        <f>B25*E25</f>
        <v>10.5</v>
      </c>
      <c r="H25" s="3" t="s">
        <v>7</v>
      </c>
      <c r="I25" s="85">
        <v>7000</v>
      </c>
      <c r="J25" s="86">
        <f>C24</f>
        <v>9.4999999999999998E-3</v>
      </c>
      <c r="K25" s="85">
        <f>J25*I25</f>
        <v>66.5</v>
      </c>
      <c r="L25" s="246">
        <f>F24+F25</f>
        <v>294</v>
      </c>
    </row>
    <row r="26" spans="1:12" ht="15" customHeight="1" x14ac:dyDescent="0.25">
      <c r="A26" s="17" t="s">
        <v>15</v>
      </c>
      <c r="B26" s="22"/>
      <c r="C26" s="21"/>
      <c r="D26" s="22"/>
      <c r="E26" s="21"/>
      <c r="F26" s="20"/>
      <c r="H26" s="3" t="s">
        <v>38</v>
      </c>
      <c r="I26" s="85">
        <v>7000</v>
      </c>
      <c r="J26" s="100">
        <f>C34</f>
        <v>2.4000000000000001E-4</v>
      </c>
      <c r="K26" s="85">
        <f>J26*I26</f>
        <v>1.68</v>
      </c>
      <c r="L26" s="247">
        <f>F34</f>
        <v>2.52</v>
      </c>
    </row>
    <row r="27" spans="1:12" ht="15" customHeight="1" x14ac:dyDescent="0.25">
      <c r="A27" s="3" t="s">
        <v>8</v>
      </c>
      <c r="B27" s="5">
        <v>3311</v>
      </c>
      <c r="C27" s="19">
        <v>3.1E-2</v>
      </c>
      <c r="D27" s="5">
        <f>B27*C27</f>
        <v>102.64100000000001</v>
      </c>
      <c r="E27" s="19">
        <v>4.65E-2</v>
      </c>
      <c r="F27" s="20">
        <f>B27*E27</f>
        <v>153.9615</v>
      </c>
      <c r="H27" s="94" t="s">
        <v>39</v>
      </c>
      <c r="I27" s="85"/>
      <c r="J27" s="93"/>
      <c r="K27" s="85"/>
      <c r="L27" s="87">
        <f>F12+F15+F17+F22+F42+F43+F44+F18</f>
        <v>283.37175999999999</v>
      </c>
    </row>
    <row r="28" spans="1:12" ht="15" customHeight="1" x14ac:dyDescent="0.25">
      <c r="A28" s="3" t="s">
        <v>95</v>
      </c>
      <c r="B28" s="5">
        <v>3311</v>
      </c>
      <c r="C28" s="19">
        <v>8.0000000000000002E-3</v>
      </c>
      <c r="D28" s="5">
        <f>B28*C28</f>
        <v>26.488</v>
      </c>
      <c r="E28" s="19">
        <v>1.2E-2</v>
      </c>
      <c r="F28" s="20">
        <f>B28*E28</f>
        <v>39.731999999999999</v>
      </c>
      <c r="H28" s="94" t="s">
        <v>41</v>
      </c>
      <c r="I28" s="95"/>
      <c r="J28" s="93"/>
      <c r="K28" s="85"/>
      <c r="L28" s="90"/>
    </row>
    <row r="29" spans="1:12" ht="14.25" customHeight="1" x14ac:dyDescent="0.25">
      <c r="A29" s="3" t="s">
        <v>95</v>
      </c>
      <c r="B29" s="5">
        <f>7000-3311</f>
        <v>3689</v>
      </c>
      <c r="C29" s="19">
        <v>8.9999999999999993E-3</v>
      </c>
      <c r="D29" s="5">
        <f>B29*C29</f>
        <v>33.201000000000001</v>
      </c>
      <c r="E29" s="19">
        <v>1.2999999999999999E-2</v>
      </c>
      <c r="F29" s="20">
        <f>B29*E29</f>
        <v>47.957000000000001</v>
      </c>
      <c r="H29" s="24" t="s">
        <v>42</v>
      </c>
      <c r="I29" s="85">
        <f>B19+B37</f>
        <v>6965.7960924999998</v>
      </c>
      <c r="J29" s="2">
        <f>C37</f>
        <v>6.8000000000000005E-2</v>
      </c>
      <c r="K29" s="85">
        <f>J29*I29</f>
        <v>473.67413429000004</v>
      </c>
      <c r="L29" s="101"/>
    </row>
    <row r="30" spans="1:12" ht="14.25" customHeight="1" x14ac:dyDescent="0.25">
      <c r="A30" s="17" t="s">
        <v>16</v>
      </c>
      <c r="B30" s="22"/>
      <c r="C30" s="21"/>
      <c r="D30" s="22"/>
      <c r="E30" s="22"/>
      <c r="F30" s="291"/>
      <c r="H30" s="24" t="s">
        <v>43</v>
      </c>
      <c r="I30" s="85">
        <f t="shared" ref="I30" si="2">B20+B38</f>
        <v>6965.7960924999998</v>
      </c>
      <c r="J30" s="2">
        <f>C38+C39</f>
        <v>2.9000000000000001E-2</v>
      </c>
      <c r="K30" s="85">
        <f>J30*I30</f>
        <v>202.00808668249999</v>
      </c>
      <c r="L30" s="101"/>
    </row>
    <row r="31" spans="1:12" ht="14.25" customHeight="1" x14ac:dyDescent="0.25">
      <c r="A31" s="3" t="s">
        <v>133</v>
      </c>
      <c r="B31" s="5">
        <f>B29</f>
        <v>3689</v>
      </c>
      <c r="C31" s="19">
        <v>7.8E-2</v>
      </c>
      <c r="D31" s="292">
        <f>B31*C31</f>
        <v>287.74200000000002</v>
      </c>
      <c r="E31" s="128">
        <v>0.1275</v>
      </c>
      <c r="F31" s="20">
        <f t="shared" ref="F31:F36" si="3">E31*B31</f>
        <v>470.34750000000003</v>
      </c>
      <c r="H31" s="94" t="s">
        <v>44</v>
      </c>
      <c r="I31" s="85"/>
      <c r="J31" s="103"/>
      <c r="K31" s="85"/>
      <c r="L31" s="104"/>
    </row>
    <row r="32" spans="1:12" ht="14.25" customHeight="1" thickBot="1" x14ac:dyDescent="0.3">
      <c r="A32" s="3" t="s">
        <v>134</v>
      </c>
      <c r="B32" s="5">
        <v>3311</v>
      </c>
      <c r="C32" s="19">
        <v>1.2999999999999999E-3</v>
      </c>
      <c r="D32" s="292">
        <f>B32*C32</f>
        <v>4.3042999999999996</v>
      </c>
      <c r="E32" s="128">
        <v>2.2000000000000001E-3</v>
      </c>
      <c r="F32" s="20">
        <f t="shared" si="3"/>
        <v>7.2842000000000002</v>
      </c>
      <c r="H32" s="94" t="s">
        <v>45</v>
      </c>
      <c r="I32" s="106"/>
      <c r="J32" s="188"/>
      <c r="K32" s="174">
        <f>SUM(K12:K30)</f>
        <v>1473.3994209725001</v>
      </c>
      <c r="L32" s="174">
        <f>SUM(L9:L30)</f>
        <v>3100.2772599999998</v>
      </c>
    </row>
    <row r="33" spans="1:12" ht="14.25" customHeight="1" x14ac:dyDescent="0.25">
      <c r="A33" s="3" t="s">
        <v>134</v>
      </c>
      <c r="B33" s="5">
        <f>7000-3311</f>
        <v>3689</v>
      </c>
      <c r="C33" s="19">
        <v>1.2999999999999999E-3</v>
      </c>
      <c r="D33" s="292">
        <f>B33*C33</f>
        <v>4.7957000000000001</v>
      </c>
      <c r="E33" s="128">
        <v>2.2000000000000001E-3</v>
      </c>
      <c r="F33" s="20">
        <f t="shared" si="3"/>
        <v>8.1158000000000001</v>
      </c>
      <c r="K33" s="644" t="s">
        <v>46</v>
      </c>
      <c r="L33" s="645"/>
    </row>
    <row r="34" spans="1:12" ht="14.25" customHeight="1" x14ac:dyDescent="0.25">
      <c r="A34" s="3" t="s">
        <v>137</v>
      </c>
      <c r="B34" s="5">
        <v>7000</v>
      </c>
      <c r="C34" s="169">
        <v>2.4000000000000001E-4</v>
      </c>
      <c r="D34" s="292">
        <f>B34*C34</f>
        <v>1.68</v>
      </c>
      <c r="E34" s="293">
        <v>3.6000000000000002E-4</v>
      </c>
      <c r="F34" s="294">
        <f t="shared" si="3"/>
        <v>2.52</v>
      </c>
      <c r="H34" s="112"/>
      <c r="I34" s="112"/>
      <c r="J34" s="189"/>
      <c r="K34" s="646">
        <f>I7-K32</f>
        <v>7026.6005790274994</v>
      </c>
      <c r="L34" s="647"/>
    </row>
    <row r="35" spans="1:12" ht="36" customHeight="1" x14ac:dyDescent="0.25">
      <c r="A35" s="3" t="s">
        <v>130</v>
      </c>
      <c r="B35" s="292">
        <v>3311</v>
      </c>
      <c r="C35" s="19">
        <v>4.1999999999999997E-3</v>
      </c>
      <c r="D35" s="292">
        <f>B35*C35</f>
        <v>13.906199999999998</v>
      </c>
      <c r="E35" s="295">
        <v>8.0000000000000002E-3</v>
      </c>
      <c r="F35" s="294">
        <f t="shared" si="3"/>
        <v>26.488</v>
      </c>
      <c r="H35" s="126"/>
      <c r="I35" s="118"/>
      <c r="J35" s="189"/>
      <c r="K35" s="175" t="s">
        <v>47</v>
      </c>
      <c r="L35" s="176" t="s">
        <v>48</v>
      </c>
    </row>
    <row r="36" spans="1:12" ht="28.5" customHeight="1" thickBot="1" x14ac:dyDescent="0.3">
      <c r="A36" s="3" t="s">
        <v>136</v>
      </c>
      <c r="B36" s="5">
        <v>3311</v>
      </c>
      <c r="C36" s="21"/>
      <c r="D36" s="292"/>
      <c r="E36" s="295">
        <v>1.9E-2</v>
      </c>
      <c r="F36" s="20">
        <f t="shared" si="3"/>
        <v>62.908999999999999</v>
      </c>
      <c r="J36" s="189"/>
      <c r="K36" s="177">
        <f>I7+L32</f>
        <v>11600.277259999999</v>
      </c>
      <c r="L36" s="178">
        <f>7000*1.8%</f>
        <v>126.00000000000001</v>
      </c>
    </row>
    <row r="37" spans="1:12" ht="22.5" customHeight="1" x14ac:dyDescent="0.25">
      <c r="A37" s="3" t="s">
        <v>131</v>
      </c>
      <c r="B37" s="296">
        <f>+F35+F36*0.9825</f>
        <v>88.2960925</v>
      </c>
      <c r="C37" s="19">
        <v>6.8000000000000005E-2</v>
      </c>
      <c r="D37" s="297">
        <f>C37*B37</f>
        <v>6.0041342900000005</v>
      </c>
      <c r="E37" s="22"/>
      <c r="F37" s="291"/>
      <c r="H37" s="191"/>
      <c r="I37" s="112"/>
      <c r="J37" s="189"/>
      <c r="K37" s="117"/>
      <c r="L37" s="112"/>
    </row>
    <row r="38" spans="1:12" ht="21.75" customHeight="1" x14ac:dyDescent="0.25">
      <c r="A38" s="3" t="s">
        <v>132</v>
      </c>
      <c r="B38" s="292">
        <f>B37</f>
        <v>88.2960925</v>
      </c>
      <c r="C38" s="19">
        <v>2.4E-2</v>
      </c>
      <c r="D38" s="297">
        <f>C38*B38</f>
        <v>2.1191062199999999</v>
      </c>
      <c r="E38" s="22"/>
      <c r="F38" s="291"/>
      <c r="H38" s="190"/>
      <c r="I38" s="117"/>
      <c r="J38" s="189"/>
      <c r="K38" s="117"/>
      <c r="L38" s="112"/>
    </row>
    <row r="39" spans="1:12" ht="14.25" customHeight="1" x14ac:dyDescent="0.25">
      <c r="A39" s="3" t="s">
        <v>18</v>
      </c>
      <c r="B39" s="292">
        <f>B38</f>
        <v>88.2960925</v>
      </c>
      <c r="C39" s="19">
        <v>5.0000000000000001E-3</v>
      </c>
      <c r="D39" s="297">
        <f>C39*B39</f>
        <v>0.4414804625</v>
      </c>
      <c r="E39" s="22"/>
      <c r="F39" s="291"/>
      <c r="H39" s="95"/>
      <c r="I39" s="127"/>
      <c r="J39" s="127"/>
    </row>
    <row r="40" spans="1:12" ht="14.25" customHeight="1" x14ac:dyDescent="0.25">
      <c r="A40" s="298"/>
      <c r="B40" s="22"/>
      <c r="C40" s="21"/>
      <c r="D40" s="299"/>
      <c r="E40" s="22"/>
      <c r="F40" s="291"/>
      <c r="H40" s="171"/>
      <c r="I40" s="171"/>
      <c r="J40" s="170"/>
      <c r="K40" s="171"/>
      <c r="L40" s="171"/>
    </row>
    <row r="41" spans="1:12" ht="14.25" customHeight="1" x14ac:dyDescent="0.25">
      <c r="A41" s="300" t="s">
        <v>19</v>
      </c>
      <c r="B41" s="22"/>
      <c r="C41" s="21"/>
      <c r="D41" s="299"/>
      <c r="E41" s="22"/>
      <c r="F41" s="291"/>
      <c r="H41" s="192"/>
      <c r="I41" s="170"/>
      <c r="J41" s="170"/>
      <c r="K41" s="170"/>
      <c r="L41" s="170"/>
    </row>
    <row r="42" spans="1:12" ht="14.25" customHeight="1" x14ac:dyDescent="0.25">
      <c r="A42" s="52" t="s">
        <v>20</v>
      </c>
      <c r="B42" s="299">
        <v>7000</v>
      </c>
      <c r="C42" s="21"/>
      <c r="D42" s="299"/>
      <c r="E42" s="128">
        <v>6.7999999999999996E-3</v>
      </c>
      <c r="F42" s="301">
        <f>E42*B42</f>
        <v>47.599999999999994</v>
      </c>
      <c r="H42" s="170"/>
      <c r="I42" s="170"/>
      <c r="J42" s="170"/>
      <c r="K42" s="170"/>
      <c r="L42" s="170"/>
    </row>
    <row r="43" spans="1:12" ht="14.25" customHeight="1" x14ac:dyDescent="0.25">
      <c r="A43" s="52" t="s">
        <v>21</v>
      </c>
      <c r="B43" s="299">
        <v>7000</v>
      </c>
      <c r="C43" s="21"/>
      <c r="D43" s="299"/>
      <c r="E43" s="128">
        <v>0.01</v>
      </c>
      <c r="F43" s="301">
        <f>E43*B43</f>
        <v>70</v>
      </c>
      <c r="H43" s="170"/>
      <c r="I43" s="170"/>
      <c r="J43" s="170"/>
      <c r="K43" s="170"/>
      <c r="L43" s="170"/>
    </row>
    <row r="44" spans="1:12" ht="14.25" customHeight="1" x14ac:dyDescent="0.25">
      <c r="A44" s="52" t="s">
        <v>169</v>
      </c>
      <c r="B44" s="299">
        <v>7000</v>
      </c>
      <c r="C44" s="21"/>
      <c r="D44" s="299"/>
      <c r="E44" s="128">
        <v>4.4999999999999997E-3</v>
      </c>
      <c r="F44" s="301">
        <f>E44*B44</f>
        <v>31.499999999999996</v>
      </c>
      <c r="H44" s="170"/>
      <c r="I44" s="170"/>
      <c r="J44" s="170"/>
      <c r="K44" s="170"/>
      <c r="L44" s="170"/>
    </row>
    <row r="45" spans="1:12" ht="14.25" customHeight="1" thickBot="1" x14ac:dyDescent="0.3">
      <c r="A45" s="302" t="s">
        <v>22</v>
      </c>
      <c r="B45" s="28"/>
      <c r="C45" s="32"/>
      <c r="D45" s="303">
        <f>SUM(D9:D44)</f>
        <v>1473.3994209725001</v>
      </c>
      <c r="E45" s="304"/>
      <c r="F45" s="305">
        <f>SUM(F9:F44)</f>
        <v>3100.2772599999994</v>
      </c>
      <c r="H45" s="170"/>
      <c r="I45" s="170"/>
      <c r="J45" s="170"/>
      <c r="K45" s="170"/>
      <c r="L45" s="170"/>
    </row>
    <row r="46" spans="1:12" ht="14.25" customHeight="1" x14ac:dyDescent="0.2">
      <c r="A46" s="161"/>
      <c r="B46" s="173"/>
      <c r="C46" s="173"/>
      <c r="D46" s="173"/>
      <c r="E46" s="173"/>
      <c r="F46" s="173"/>
    </row>
    <row r="47" spans="1:12" ht="14.25" customHeight="1" x14ac:dyDescent="0.25">
      <c r="A47" s="161"/>
      <c r="B47" s="161"/>
      <c r="C47" s="161"/>
      <c r="D47" s="165"/>
      <c r="E47" s="161"/>
      <c r="F47" s="165"/>
    </row>
    <row r="48" spans="1:12" ht="14.25" customHeight="1" x14ac:dyDescent="0.25">
      <c r="A48" s="161"/>
      <c r="B48" s="161"/>
      <c r="C48" s="161"/>
      <c r="D48" s="161"/>
      <c r="E48" s="161"/>
      <c r="F48" s="161"/>
    </row>
    <row r="49" spans="1:7" ht="14.25" customHeight="1" x14ac:dyDescent="0.25">
      <c r="A49" s="161"/>
      <c r="B49" s="161"/>
      <c r="C49" s="161"/>
      <c r="D49" s="161"/>
      <c r="E49" s="161"/>
      <c r="F49" s="161"/>
    </row>
    <row r="50" spans="1:7" ht="14.25" customHeight="1" x14ac:dyDescent="0.25">
      <c r="A50" s="161"/>
      <c r="B50" s="161"/>
      <c r="C50" s="161"/>
      <c r="D50" s="161"/>
      <c r="E50" s="161"/>
      <c r="F50" s="161"/>
    </row>
    <row r="51" spans="1:7" ht="14.25" customHeight="1" x14ac:dyDescent="0.25">
      <c r="A51" s="161"/>
      <c r="B51" s="161"/>
      <c r="C51" s="161"/>
      <c r="D51" s="161"/>
      <c r="E51" s="161"/>
      <c r="F51" s="161"/>
      <c r="G51" s="172"/>
    </row>
    <row r="52" spans="1:7" ht="14.25" customHeight="1" x14ac:dyDescent="0.25">
      <c r="A52" s="161"/>
      <c r="B52" s="161"/>
      <c r="C52" s="161"/>
      <c r="D52" s="161"/>
      <c r="E52" s="161"/>
      <c r="F52" s="161"/>
    </row>
    <row r="53" spans="1:7" ht="14.25" customHeight="1" x14ac:dyDescent="0.25">
      <c r="A53" s="161"/>
      <c r="B53" s="161"/>
      <c r="C53" s="161"/>
      <c r="D53" s="161"/>
      <c r="E53" s="161"/>
      <c r="F53" s="161"/>
    </row>
    <row r="54" spans="1:7" ht="14.25" customHeight="1" x14ac:dyDescent="0.25">
      <c r="A54" s="161"/>
      <c r="B54" s="161"/>
      <c r="C54" s="161"/>
      <c r="D54" s="161"/>
      <c r="E54" s="161"/>
      <c r="F54" s="161"/>
    </row>
    <row r="55" spans="1:7" ht="24" customHeight="1" x14ac:dyDescent="0.25"/>
    <row r="56" spans="1:7" ht="24" customHeight="1" x14ac:dyDescent="0.25"/>
    <row r="57" spans="1:7" ht="24" customHeight="1" x14ac:dyDescent="0.25"/>
  </sheetData>
  <mergeCells count="15">
    <mergeCell ref="A5:E5"/>
    <mergeCell ref="H5:L5"/>
    <mergeCell ref="L8:L9"/>
    <mergeCell ref="K33:L33"/>
    <mergeCell ref="K34:L34"/>
    <mergeCell ref="F7:F8"/>
    <mergeCell ref="H8:H9"/>
    <mergeCell ref="I8:I9"/>
    <mergeCell ref="J8:J9"/>
    <mergeCell ref="K8:K9"/>
    <mergeCell ref="A7:A8"/>
    <mergeCell ref="B7:B8"/>
    <mergeCell ref="C7:C8"/>
    <mergeCell ref="D7:D8"/>
    <mergeCell ref="E7:E8"/>
  </mergeCells>
  <pageMargins left="0" right="0" top="0" bottom="0" header="0" footer="0"/>
  <pageSetup paperSize="9" orientation="landscape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35C7-2DFA-4FCC-BBF8-9B2A097C6347}">
  <dimension ref="A1:I45"/>
  <sheetViews>
    <sheetView workbookViewId="0">
      <selection sqref="A1:E1048576"/>
    </sheetView>
  </sheetViews>
  <sheetFormatPr baseColWidth="10" defaultRowHeight="12" x14ac:dyDescent="0.25"/>
  <cols>
    <col min="1" max="1" width="46.28515625" style="76" customWidth="1"/>
    <col min="2" max="2" width="16" style="76" customWidth="1"/>
    <col min="3" max="3" width="14.140625" style="76" customWidth="1"/>
    <col min="4" max="4" width="14.7109375" style="76" customWidth="1"/>
    <col min="5" max="5" width="13.85546875" style="76" customWidth="1"/>
    <col min="6" max="6" width="21.7109375" style="76" customWidth="1"/>
    <col min="7" max="8" width="0" style="76" hidden="1" customWidth="1"/>
    <col min="9" max="9" width="14.28515625" style="76" hidden="1" customWidth="1"/>
    <col min="10" max="16384" width="11.42578125" style="76"/>
  </cols>
  <sheetData>
    <row r="1" spans="1:9" ht="18" x14ac:dyDescent="0.25">
      <c r="A1" s="74" t="s">
        <v>0</v>
      </c>
      <c r="B1" s="75"/>
      <c r="C1" s="75"/>
      <c r="D1" s="75"/>
      <c r="I1" s="75"/>
    </row>
    <row r="2" spans="1:9" ht="15" customHeight="1" thickBot="1" x14ac:dyDescent="0.3">
      <c r="C2" s="77"/>
      <c r="D2" s="77"/>
      <c r="E2" s="77"/>
      <c r="I2" s="77"/>
    </row>
    <row r="3" spans="1:9" ht="24" customHeight="1" thickBot="1" x14ac:dyDescent="0.3">
      <c r="A3" s="78" t="s">
        <v>1</v>
      </c>
      <c r="B3" s="79" t="e">
        <f>+' bulletin cadre'!#REF!</f>
        <v>#REF!</v>
      </c>
      <c r="C3" s="80"/>
      <c r="D3" s="80"/>
      <c r="E3" s="80"/>
      <c r="I3" s="80"/>
    </row>
    <row r="4" spans="1:9" ht="18" customHeight="1" x14ac:dyDescent="0.25">
      <c r="A4" s="648"/>
      <c r="B4" s="650" t="s">
        <v>2</v>
      </c>
      <c r="C4" s="650" t="s">
        <v>3</v>
      </c>
      <c r="D4" s="650" t="s">
        <v>4</v>
      </c>
      <c r="E4" s="642" t="s">
        <v>6</v>
      </c>
      <c r="I4" s="650" t="s">
        <v>5</v>
      </c>
    </row>
    <row r="5" spans="1:9" ht="9.75" customHeight="1" x14ac:dyDescent="0.25">
      <c r="A5" s="649"/>
      <c r="B5" s="651"/>
      <c r="C5" s="651"/>
      <c r="D5" s="651"/>
      <c r="E5" s="643"/>
      <c r="I5" s="651"/>
    </row>
    <row r="6" spans="1:9" ht="18" customHeight="1" x14ac:dyDescent="0.25">
      <c r="A6" s="81" t="s">
        <v>23</v>
      </c>
      <c r="B6" s="82"/>
      <c r="C6" s="82"/>
      <c r="D6" s="82"/>
      <c r="E6" s="83"/>
      <c r="I6" s="82"/>
    </row>
    <row r="7" spans="1:9" ht="17.25" customHeight="1" x14ac:dyDescent="0.25">
      <c r="A7" s="84" t="s">
        <v>24</v>
      </c>
      <c r="B7" s="85" t="e">
        <f>$B$3</f>
        <v>#REF!</v>
      </c>
      <c r="C7" s="86">
        <v>7.4999999999999997E-3</v>
      </c>
      <c r="D7" s="85" t="e">
        <f>B7*C7</f>
        <v>#REF!</v>
      </c>
      <c r="E7" s="87" t="e">
        <f>B7*I7</f>
        <v>#REF!</v>
      </c>
      <c r="I7" s="86">
        <f>'[1]v 12 Grille de cotisations'!D9</f>
        <v>0.12889999999999999</v>
      </c>
    </row>
    <row r="8" spans="1:9" ht="17.25" customHeight="1" x14ac:dyDescent="0.25">
      <c r="A8" s="84" t="s">
        <v>25</v>
      </c>
      <c r="B8" s="85">
        <v>3269</v>
      </c>
      <c r="C8" s="86"/>
      <c r="D8" s="85"/>
      <c r="E8" s="87">
        <f>B8*I8</f>
        <v>49.034999999999997</v>
      </c>
      <c r="I8" s="86">
        <v>1.4999999999999999E-2</v>
      </c>
    </row>
    <row r="9" spans="1:9" ht="17.25" customHeight="1" x14ac:dyDescent="0.25">
      <c r="A9" s="84" t="s">
        <v>26</v>
      </c>
      <c r="B9" s="85" t="e">
        <f>$B$3</f>
        <v>#REF!</v>
      </c>
      <c r="C9" s="86" t="e">
        <f>' bulletin cadre'!#REF!</f>
        <v>#REF!</v>
      </c>
      <c r="D9" s="85" t="e">
        <f>B9*C9</f>
        <v>#REF!</v>
      </c>
      <c r="E9" s="87" t="e">
        <f>B9*I9</f>
        <v>#REF!</v>
      </c>
      <c r="I9" s="86" t="e">
        <f>' bulletin cadre'!#REF!</f>
        <v>#REF!</v>
      </c>
    </row>
    <row r="10" spans="1:9" ht="17.25" customHeight="1" x14ac:dyDescent="0.25">
      <c r="A10" s="88" t="s">
        <v>26</v>
      </c>
      <c r="B10" s="85"/>
      <c r="C10" s="86"/>
      <c r="D10" s="89">
        <f>' bulletin cadre'!D35</f>
        <v>13.906199999999998</v>
      </c>
      <c r="E10" s="87">
        <f>' bulletin cadre'!F35</f>
        <v>26.488</v>
      </c>
      <c r="I10" s="86"/>
    </row>
    <row r="11" spans="1:9" ht="17.25" customHeight="1" x14ac:dyDescent="0.25">
      <c r="A11" s="81" t="s">
        <v>27</v>
      </c>
      <c r="B11" s="85" t="e">
        <f>B3</f>
        <v>#REF!</v>
      </c>
      <c r="C11" s="91"/>
      <c r="D11" s="92"/>
      <c r="E11" s="87" t="e">
        <f>B11*I11</f>
        <v>#REF!</v>
      </c>
      <c r="I11" s="86">
        <f>'[2]corrigé exercice'!E13</f>
        <v>2.5000000000000001E-2</v>
      </c>
    </row>
    <row r="12" spans="1:9" ht="17.25" customHeight="1" x14ac:dyDescent="0.25">
      <c r="A12" s="81" t="s">
        <v>8</v>
      </c>
      <c r="B12" s="85"/>
      <c r="C12" s="91"/>
      <c r="D12" s="92"/>
      <c r="E12" s="90"/>
      <c r="I12" s="86"/>
    </row>
    <row r="13" spans="1:9" ht="17.25" customHeight="1" x14ac:dyDescent="0.25">
      <c r="A13" s="84" t="s">
        <v>28</v>
      </c>
      <c r="B13" s="85">
        <v>3269</v>
      </c>
      <c r="C13" s="86">
        <f>'[1]v 12 Grille de cotisations'!C22</f>
        <v>6.9000000000000006E-2</v>
      </c>
      <c r="D13" s="85">
        <f>B13*C13</f>
        <v>225.56100000000001</v>
      </c>
      <c r="E13" s="87">
        <f>B13*I13</f>
        <v>279.49950000000001</v>
      </c>
      <c r="I13" s="86">
        <f>'[1]v 12 Grille de cotisations'!D22</f>
        <v>8.5500000000000007E-2</v>
      </c>
    </row>
    <row r="14" spans="1:9" ht="17.25" customHeight="1" x14ac:dyDescent="0.25">
      <c r="A14" s="84" t="s">
        <v>29</v>
      </c>
      <c r="B14" s="85" t="e">
        <f>B3</f>
        <v>#REF!</v>
      </c>
      <c r="C14" s="86">
        <f>'[1]v 12 Grille de cotisations'!C10</f>
        <v>4.0000000000000001E-3</v>
      </c>
      <c r="D14" s="85" t="e">
        <f>B14*C14</f>
        <v>#REF!</v>
      </c>
      <c r="E14" s="87" t="e">
        <f>B14*I14</f>
        <v>#REF!</v>
      </c>
      <c r="I14" s="86">
        <f>'[1]v 12 Grille de cotisations'!D10</f>
        <v>1.9E-2</v>
      </c>
    </row>
    <row r="15" spans="1:9" ht="17.25" customHeight="1" x14ac:dyDescent="0.25">
      <c r="A15" s="84" t="s">
        <v>30</v>
      </c>
      <c r="B15" s="85">
        <v>3269</v>
      </c>
      <c r="C15" s="93">
        <f>3.1%+0.8%+0.13%</f>
        <v>4.0300000000000002E-2</v>
      </c>
      <c r="D15" s="85">
        <f>B15*C15</f>
        <v>131.7407</v>
      </c>
      <c r="E15" s="121">
        <f>B15*I15</f>
        <v>198.42830000000004</v>
      </c>
      <c r="I15" s="86">
        <f>4.65%+1.2%+0.22%</f>
        <v>6.0700000000000011E-2</v>
      </c>
    </row>
    <row r="16" spans="1:9" ht="17.25" customHeight="1" x14ac:dyDescent="0.25">
      <c r="A16" s="84" t="s">
        <v>31</v>
      </c>
      <c r="B16" s="85"/>
      <c r="C16" s="93"/>
      <c r="D16" s="85"/>
      <c r="E16" s="90"/>
      <c r="I16" s="86"/>
    </row>
    <row r="17" spans="1:9" ht="17.25" customHeight="1" x14ac:dyDescent="0.25">
      <c r="A17" s="84" t="s">
        <v>32</v>
      </c>
      <c r="B17" s="85" t="e">
        <f>B14-B15</f>
        <v>#REF!</v>
      </c>
      <c r="C17" s="93">
        <f>' bulletin cadre'!C31+' bulletin cadre'!C29+' bulletin cadre'!C32</f>
        <v>8.829999999999999E-2</v>
      </c>
      <c r="D17" s="85" t="e">
        <f>C17*B17</f>
        <v>#REF!</v>
      </c>
      <c r="E17" s="122" t="e">
        <f>I17*B17</f>
        <v>#REF!</v>
      </c>
      <c r="I17" s="86">
        <f>1.3%+0.22%+12.75%</f>
        <v>0.14269999999999999</v>
      </c>
    </row>
    <row r="18" spans="1:9" ht="17.25" customHeight="1" x14ac:dyDescent="0.25">
      <c r="A18" s="84" t="s">
        <v>33</v>
      </c>
      <c r="B18" s="85"/>
      <c r="C18" s="93"/>
      <c r="D18" s="85"/>
      <c r="E18" s="90"/>
      <c r="I18" s="86"/>
    </row>
    <row r="19" spans="1:9" ht="17.25" customHeight="1" x14ac:dyDescent="0.25">
      <c r="A19" s="84" t="s">
        <v>34</v>
      </c>
      <c r="B19" s="85"/>
      <c r="C19" s="93"/>
      <c r="D19" s="85"/>
      <c r="E19" s="90"/>
      <c r="I19" s="86"/>
    </row>
    <row r="20" spans="1:9" ht="17.25" customHeight="1" x14ac:dyDescent="0.25">
      <c r="A20" s="94" t="s">
        <v>35</v>
      </c>
      <c r="B20" s="95" t="e">
        <f>B7</f>
        <v>#REF!</v>
      </c>
      <c r="C20" s="93"/>
      <c r="D20" s="85"/>
      <c r="E20" s="87" t="e">
        <f>B20*I20</f>
        <v>#REF!</v>
      </c>
      <c r="I20" s="86">
        <v>5.2499999999999998E-2</v>
      </c>
    </row>
    <row r="21" spans="1:9" ht="17.25" customHeight="1" x14ac:dyDescent="0.25">
      <c r="A21" s="94" t="s">
        <v>37</v>
      </c>
      <c r="B21" s="96"/>
      <c r="C21" s="97"/>
      <c r="D21" s="98"/>
      <c r="E21" s="90"/>
      <c r="I21" s="99"/>
    </row>
    <row r="22" spans="1:9" ht="17.25" customHeight="1" x14ac:dyDescent="0.25">
      <c r="A22" s="94" t="s">
        <v>7</v>
      </c>
      <c r="B22" s="85" t="e">
        <f t="shared" ref="B22:B23" si="0">$B$3</f>
        <v>#REF!</v>
      </c>
      <c r="C22" s="86">
        <v>2.4E-2</v>
      </c>
      <c r="D22" s="85" t="e">
        <f t="shared" ref="D22:D23" si="1">B22*C22</f>
        <v>#REF!</v>
      </c>
      <c r="E22" s="87" t="e">
        <f>B22*I22</f>
        <v>#REF!</v>
      </c>
      <c r="I22" s="86">
        <v>4.2000000000000003E-2</v>
      </c>
    </row>
    <row r="23" spans="1:9" ht="17.25" customHeight="1" x14ac:dyDescent="0.25">
      <c r="A23" s="94" t="s">
        <v>38</v>
      </c>
      <c r="B23" s="85" t="e">
        <f t="shared" si="0"/>
        <v>#REF!</v>
      </c>
      <c r="C23" s="100">
        <v>2.4000000000000001E-4</v>
      </c>
      <c r="D23" s="85" t="e">
        <f t="shared" si="1"/>
        <v>#REF!</v>
      </c>
      <c r="E23" s="87" t="e">
        <f>B23*I23</f>
        <v>#REF!</v>
      </c>
      <c r="I23" s="100">
        <v>3.6000000000000002E-4</v>
      </c>
    </row>
    <row r="24" spans="1:9" ht="17.25" customHeight="1" x14ac:dyDescent="0.25">
      <c r="A24" s="94" t="s">
        <v>39</v>
      </c>
      <c r="B24" s="95">
        <v>3269</v>
      </c>
      <c r="C24" s="93"/>
      <c r="D24" s="85"/>
      <c r="E24" s="87">
        <f>B24*I24</f>
        <v>3.2690000000000001</v>
      </c>
      <c r="I24" s="86">
        <v>1E-3</v>
      </c>
    </row>
    <row r="25" spans="1:9" ht="17.25" customHeight="1" x14ac:dyDescent="0.25">
      <c r="A25" s="124" t="s">
        <v>40</v>
      </c>
      <c r="B25" s="125" t="e">
        <f>B3</f>
        <v>#REF!</v>
      </c>
      <c r="C25" s="97"/>
      <c r="D25" s="98"/>
      <c r="E25" s="123" t="e">
        <f>B25*I25</f>
        <v>#REF!</v>
      </c>
      <c r="I25" s="99">
        <f>1%+0.3%+0.01%+0.016%+0.68%+1%</f>
        <v>3.0060000000000003E-2</v>
      </c>
    </row>
    <row r="26" spans="1:9" ht="17.25" customHeight="1" x14ac:dyDescent="0.25">
      <c r="A26" s="94" t="s">
        <v>41</v>
      </c>
      <c r="B26" s="95"/>
      <c r="C26" s="93"/>
      <c r="D26" s="85"/>
      <c r="E26" s="90"/>
      <c r="I26" s="86"/>
    </row>
    <row r="27" spans="1:9" ht="17.25" customHeight="1" x14ac:dyDescent="0.25">
      <c r="A27" s="84" t="s">
        <v>42</v>
      </c>
      <c r="B27" s="85" t="e">
        <f>(B3*0.9825)+E10+E9+E8</f>
        <v>#REF!</v>
      </c>
      <c r="C27" s="86">
        <v>2.9000000000000001E-2</v>
      </c>
      <c r="D27" s="85" t="e">
        <f t="shared" ref="D27:D28" si="2">B27*C27</f>
        <v>#REF!</v>
      </c>
      <c r="E27" s="101"/>
      <c r="F27" s="102"/>
      <c r="I27" s="91"/>
    </row>
    <row r="28" spans="1:9" ht="17.25" customHeight="1" x14ac:dyDescent="0.25">
      <c r="A28" s="84" t="s">
        <v>43</v>
      </c>
      <c r="B28" s="85" t="e">
        <f>B27</f>
        <v>#REF!</v>
      </c>
      <c r="C28" s="86">
        <v>5.0999999999999997E-2</v>
      </c>
      <c r="D28" s="85" t="e">
        <f t="shared" si="2"/>
        <v>#REF!</v>
      </c>
      <c r="E28" s="101"/>
      <c r="I28" s="91"/>
    </row>
    <row r="29" spans="1:9" ht="17.25" customHeight="1" x14ac:dyDescent="0.25">
      <c r="A29" s="94" t="s">
        <v>44</v>
      </c>
      <c r="B29" s="85"/>
      <c r="C29" s="103"/>
      <c r="D29" s="85"/>
      <c r="E29" s="104"/>
      <c r="I29" s="105"/>
    </row>
    <row r="30" spans="1:9" ht="17.25" customHeight="1" x14ac:dyDescent="0.25">
      <c r="A30" s="94" t="s">
        <v>45</v>
      </c>
      <c r="B30" s="106"/>
      <c r="C30" s="82"/>
      <c r="D30" s="107" t="e">
        <f>SUM(D7:D29)</f>
        <v>#REF!</v>
      </c>
      <c r="E30" s="107" t="e">
        <f>SUM(E7:E29)</f>
        <v>#REF!</v>
      </c>
      <c r="G30" s="108" t="e">
        <f>2841.87-E30</f>
        <v>#REF!</v>
      </c>
      <c r="H30" s="109" t="e">
        <f>G30/6000</f>
        <v>#REF!</v>
      </c>
      <c r="I30" s="92"/>
    </row>
    <row r="31" spans="1:9" ht="17.25" customHeight="1" thickBot="1" x14ac:dyDescent="0.3">
      <c r="D31" s="654" t="s">
        <v>46</v>
      </c>
      <c r="E31" s="655"/>
      <c r="I31" s="110"/>
    </row>
    <row r="32" spans="1:9" ht="17.25" customHeight="1" x14ac:dyDescent="0.25">
      <c r="A32" s="111"/>
      <c r="B32" s="112"/>
      <c r="C32" s="113"/>
      <c r="D32" s="656" t="e">
        <f>B3-D30</f>
        <v>#REF!</v>
      </c>
      <c r="E32" s="655"/>
      <c r="I32" s="112"/>
    </row>
    <row r="33" spans="1:9" ht="25.5" customHeight="1" x14ac:dyDescent="0.25">
      <c r="A33" s="114"/>
      <c r="B33" s="112"/>
      <c r="C33" s="113"/>
      <c r="D33" s="115" t="s">
        <v>47</v>
      </c>
      <c r="E33" s="115" t="s">
        <v>48</v>
      </c>
      <c r="I33" s="112"/>
    </row>
    <row r="34" spans="1:9" ht="17.25" customHeight="1" x14ac:dyDescent="0.25">
      <c r="A34" s="126" t="s">
        <v>69</v>
      </c>
      <c r="B34" s="118" t="e">
        <f>' bulletin cadre'!#REF!</f>
        <v>#REF!</v>
      </c>
      <c r="C34" s="113"/>
      <c r="D34" s="116" t="e">
        <f>B3+E30</f>
        <v>#REF!</v>
      </c>
      <c r="E34" s="116"/>
      <c r="I34" s="112"/>
    </row>
    <row r="35" spans="1:9" ht="17.25" customHeight="1" x14ac:dyDescent="0.25">
      <c r="A35" s="114"/>
      <c r="B35" s="112"/>
      <c r="C35" s="113"/>
      <c r="D35" s="117"/>
      <c r="E35" s="112"/>
      <c r="I35" s="112"/>
    </row>
    <row r="36" spans="1:9" ht="17.25" customHeight="1" x14ac:dyDescent="0.25">
      <c r="A36" s="114"/>
      <c r="B36" s="112"/>
      <c r="C36" s="113"/>
      <c r="D36" s="117"/>
      <c r="E36" s="112"/>
      <c r="I36" s="112"/>
    </row>
    <row r="37" spans="1:9" ht="23.25" customHeight="1" x14ac:dyDescent="0.25">
      <c r="B37" s="127"/>
      <c r="C37" s="127"/>
      <c r="E37" s="80"/>
      <c r="I37" s="80"/>
    </row>
    <row r="38" spans="1:9" ht="24" customHeight="1" x14ac:dyDescent="0.25">
      <c r="A38" s="119"/>
      <c r="B38" s="119"/>
      <c r="C38" s="119"/>
      <c r="D38" s="120"/>
      <c r="E38" s="120"/>
      <c r="I38" s="119"/>
    </row>
    <row r="39" spans="1:9" ht="24" customHeight="1" x14ac:dyDescent="0.25">
      <c r="A39" s="119"/>
      <c r="B39" s="119"/>
      <c r="C39" s="119"/>
      <c r="D39" s="119"/>
      <c r="E39" s="119"/>
      <c r="I39" s="119"/>
    </row>
    <row r="40" spans="1:9" x14ac:dyDescent="0.25">
      <c r="A40" s="119"/>
      <c r="B40" s="119"/>
      <c r="C40" s="119"/>
      <c r="D40" s="119"/>
      <c r="E40" s="119"/>
      <c r="I40" s="119"/>
    </row>
    <row r="41" spans="1:9" x14ac:dyDescent="0.25">
      <c r="A41" s="119"/>
      <c r="B41" s="119"/>
      <c r="C41" s="119"/>
      <c r="D41" s="119"/>
      <c r="E41" s="119"/>
      <c r="I41" s="119"/>
    </row>
    <row r="42" spans="1:9" x14ac:dyDescent="0.25">
      <c r="A42" s="119"/>
      <c r="B42" s="119"/>
      <c r="C42" s="119"/>
      <c r="D42" s="119"/>
      <c r="E42" s="119"/>
      <c r="I42" s="119"/>
    </row>
    <row r="43" spans="1:9" x14ac:dyDescent="0.25">
      <c r="A43" s="119"/>
      <c r="B43" s="119"/>
      <c r="C43" s="119"/>
      <c r="D43" s="119"/>
      <c r="E43" s="119"/>
      <c r="I43" s="119"/>
    </row>
    <row r="44" spans="1:9" x14ac:dyDescent="0.25">
      <c r="A44" s="119"/>
      <c r="B44" s="119"/>
      <c r="C44" s="119"/>
      <c r="D44" s="119"/>
      <c r="E44" s="119"/>
      <c r="I44" s="119"/>
    </row>
    <row r="45" spans="1:9" x14ac:dyDescent="0.25">
      <c r="A45" s="119"/>
      <c r="B45" s="119"/>
      <c r="C45" s="119"/>
      <c r="D45" s="119"/>
      <c r="E45" s="119"/>
      <c r="I45" s="119"/>
    </row>
  </sheetData>
  <mergeCells count="8">
    <mergeCell ref="I4:I5"/>
    <mergeCell ref="D31:E31"/>
    <mergeCell ref="D32:E3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943D-8472-4860-B56E-23E45689FECE}">
  <dimension ref="A1:E57"/>
  <sheetViews>
    <sheetView topLeftCell="A13" zoomScale="90" zoomScaleNormal="90" workbookViewId="0">
      <selection activeCell="A13" sqref="A13:E13"/>
    </sheetView>
  </sheetViews>
  <sheetFormatPr baseColWidth="10" defaultRowHeight="12" x14ac:dyDescent="0.25"/>
  <cols>
    <col min="1" max="1" width="62.85546875" style="1" customWidth="1"/>
    <col min="2" max="2" width="42.42578125" style="1" bestFit="1" customWidth="1"/>
    <col min="3" max="3" width="21.140625" style="1" customWidth="1"/>
    <col min="4" max="4" width="20.7109375" style="1" customWidth="1"/>
    <col min="5" max="5" width="22.5703125" style="1" customWidth="1"/>
    <col min="6" max="16384" width="11.42578125" style="1"/>
  </cols>
  <sheetData>
    <row r="1" spans="1:5" ht="23.25" x14ac:dyDescent="0.25">
      <c r="A1" s="149" t="s">
        <v>105</v>
      </c>
      <c r="B1" s="147"/>
      <c r="C1" s="148"/>
      <c r="D1" s="148"/>
      <c r="E1" s="148"/>
    </row>
    <row r="2" spans="1:5" ht="14.25" x14ac:dyDescent="0.25">
      <c r="D2" s="13"/>
      <c r="E2" s="13"/>
    </row>
    <row r="3" spans="1:5" ht="24" customHeight="1" thickBot="1" x14ac:dyDescent="0.3">
      <c r="A3" s="130"/>
      <c r="B3" s="131"/>
      <c r="C3" s="129"/>
      <c r="D3" s="132"/>
      <c r="E3" s="132"/>
    </row>
    <row r="4" spans="1:5" ht="18" customHeight="1" thickBot="1" x14ac:dyDescent="0.3">
      <c r="A4" s="671" t="s">
        <v>102</v>
      </c>
      <c r="B4" s="671" t="s">
        <v>103</v>
      </c>
      <c r="C4" s="671" t="s">
        <v>2</v>
      </c>
      <c r="D4" s="671" t="s">
        <v>71</v>
      </c>
      <c r="E4" s="671" t="s">
        <v>101</v>
      </c>
    </row>
    <row r="5" spans="1:5" ht="24.75" customHeight="1" thickBot="1" x14ac:dyDescent="0.3">
      <c r="A5" s="672"/>
      <c r="B5" s="671"/>
      <c r="C5" s="671"/>
      <c r="D5" s="671"/>
      <c r="E5" s="671"/>
    </row>
    <row r="6" spans="1:5" ht="20.25" customHeight="1" thickBot="1" x14ac:dyDescent="0.3">
      <c r="A6" s="665" t="s">
        <v>23</v>
      </c>
      <c r="B6" s="666"/>
      <c r="C6" s="666"/>
      <c r="D6" s="666"/>
      <c r="E6" s="666"/>
    </row>
    <row r="7" spans="1:5" ht="17.25" customHeight="1" thickBot="1" x14ac:dyDescent="0.3">
      <c r="A7" s="250" t="s">
        <v>24</v>
      </c>
      <c r="B7" s="194" t="s">
        <v>50</v>
      </c>
      <c r="C7" s="134" t="s">
        <v>77</v>
      </c>
      <c r="D7" s="182"/>
      <c r="E7" s="182">
        <v>0.13</v>
      </c>
    </row>
    <row r="8" spans="1:5" ht="17.25" customHeight="1" thickBot="1" x14ac:dyDescent="0.3">
      <c r="A8" s="250" t="s">
        <v>25</v>
      </c>
      <c r="B8" s="136" t="s">
        <v>78</v>
      </c>
      <c r="C8" s="662" t="s">
        <v>79</v>
      </c>
      <c r="D8" s="663"/>
      <c r="E8" s="664"/>
    </row>
    <row r="9" spans="1:5" ht="17.25" customHeight="1" thickBot="1" x14ac:dyDescent="0.3">
      <c r="A9" s="250" t="s">
        <v>26</v>
      </c>
      <c r="B9" s="137" t="s">
        <v>17</v>
      </c>
      <c r="C9" s="662" t="s">
        <v>79</v>
      </c>
      <c r="D9" s="663"/>
      <c r="E9" s="664"/>
    </row>
    <row r="10" spans="1:5" ht="17.25" customHeight="1" thickBot="1" x14ac:dyDescent="0.3">
      <c r="A10" s="660"/>
      <c r="B10" s="661"/>
      <c r="C10" s="661"/>
      <c r="D10" s="661"/>
      <c r="E10" s="661"/>
    </row>
    <row r="11" spans="1:5" ht="17.25" customHeight="1" thickBot="1" x14ac:dyDescent="0.3">
      <c r="A11" s="250" t="s">
        <v>27</v>
      </c>
      <c r="B11" s="14" t="s">
        <v>56</v>
      </c>
      <c r="C11" s="134" t="s">
        <v>77</v>
      </c>
      <c r="D11" s="138"/>
      <c r="E11" s="182" t="s">
        <v>81</v>
      </c>
    </row>
    <row r="12" spans="1:5" ht="17.25" customHeight="1" thickBot="1" x14ac:dyDescent="0.3">
      <c r="A12" s="660"/>
      <c r="B12" s="661"/>
      <c r="C12" s="661"/>
      <c r="D12" s="661"/>
      <c r="E12" s="661"/>
    </row>
    <row r="13" spans="1:5" ht="17.25" customHeight="1" thickBot="1" x14ac:dyDescent="0.3">
      <c r="A13" s="665" t="s">
        <v>8</v>
      </c>
      <c r="B13" s="666"/>
      <c r="C13" s="666"/>
      <c r="D13" s="666"/>
      <c r="E13" s="666"/>
    </row>
    <row r="14" spans="1:5" ht="17.25" customHeight="1" thickBot="1" x14ac:dyDescent="0.3">
      <c r="A14" s="250" t="s">
        <v>28</v>
      </c>
      <c r="B14" s="14" t="s">
        <v>82</v>
      </c>
      <c r="C14" s="139" t="s">
        <v>80</v>
      </c>
      <c r="D14" s="182">
        <v>6.9000000000000006E-2</v>
      </c>
      <c r="E14" s="183">
        <v>8.5500000000000007E-2</v>
      </c>
    </row>
    <row r="15" spans="1:5" ht="17.25" customHeight="1" thickBot="1" x14ac:dyDescent="0.3">
      <c r="A15" s="250" t="s">
        <v>29</v>
      </c>
      <c r="B15" s="14" t="s">
        <v>83</v>
      </c>
      <c r="C15" s="134" t="s">
        <v>77</v>
      </c>
      <c r="D15" s="182">
        <v>4.0000000000000001E-3</v>
      </c>
      <c r="E15" s="183">
        <v>1.9E-2</v>
      </c>
    </row>
    <row r="16" spans="1:5" ht="17.25" customHeight="1" thickBot="1" x14ac:dyDescent="0.3">
      <c r="A16" s="657" t="s">
        <v>74</v>
      </c>
      <c r="B16" s="140" t="s">
        <v>94</v>
      </c>
      <c r="C16" s="141" t="s">
        <v>84</v>
      </c>
      <c r="D16" s="142">
        <v>3.7999999999999999E-2</v>
      </c>
      <c r="E16" s="179">
        <v>4.65E-2</v>
      </c>
    </row>
    <row r="17" spans="1:5" ht="17.25" customHeight="1" thickBot="1" x14ac:dyDescent="0.3">
      <c r="A17" s="658"/>
      <c r="B17" s="140" t="s">
        <v>95</v>
      </c>
      <c r="C17" s="141" t="s">
        <v>84</v>
      </c>
      <c r="D17" s="142">
        <v>8.0000000000000002E-3</v>
      </c>
      <c r="E17" s="179">
        <v>1.2E-2</v>
      </c>
    </row>
    <row r="18" spans="1:5" ht="17.25" customHeight="1" thickBot="1" x14ac:dyDescent="0.3">
      <c r="A18" s="659"/>
      <c r="B18" s="181" t="s">
        <v>112</v>
      </c>
      <c r="C18" s="141"/>
      <c r="D18" s="182">
        <f>SUM(D16:D17)</f>
        <v>4.5999999999999999E-2</v>
      </c>
      <c r="E18" s="183">
        <f>SUM(E16:E17)</f>
        <v>5.8499999999999996E-2</v>
      </c>
    </row>
    <row r="19" spans="1:5" ht="17.25" customHeight="1" thickBot="1" x14ac:dyDescent="0.3">
      <c r="A19" s="657" t="s">
        <v>75</v>
      </c>
      <c r="B19" s="140" t="s">
        <v>94</v>
      </c>
      <c r="C19" s="141" t="s">
        <v>96</v>
      </c>
      <c r="D19" s="142">
        <v>8.1000000000000003E-2</v>
      </c>
      <c r="E19" s="179">
        <v>0.1215</v>
      </c>
    </row>
    <row r="20" spans="1:5" ht="17.25" customHeight="1" thickBot="1" x14ac:dyDescent="0.3">
      <c r="A20" s="658"/>
      <c r="B20" s="140" t="s">
        <v>95</v>
      </c>
      <c r="C20" s="141" t="s">
        <v>96</v>
      </c>
      <c r="D20" s="142">
        <v>8.9999999999999993E-3</v>
      </c>
      <c r="E20" s="179">
        <v>1.2999999999999999E-2</v>
      </c>
    </row>
    <row r="21" spans="1:5" ht="17.25" customHeight="1" thickBot="1" x14ac:dyDescent="0.3">
      <c r="A21" s="659"/>
      <c r="B21" s="181" t="s">
        <v>112</v>
      </c>
      <c r="C21" s="141"/>
      <c r="D21" s="182">
        <f>SUM(D19:D20)</f>
        <v>0.09</v>
      </c>
      <c r="E21" s="183">
        <f>SUM(E19:E20)</f>
        <v>0.13450000000000001</v>
      </c>
    </row>
    <row r="22" spans="1:5" ht="17.25" customHeight="1" thickBot="1" x14ac:dyDescent="0.3">
      <c r="A22" s="250" t="s">
        <v>34</v>
      </c>
      <c r="B22" s="136"/>
      <c r="C22" s="144"/>
      <c r="D22" s="145"/>
      <c r="E22" s="144"/>
    </row>
    <row r="23" spans="1:5" ht="17.25" customHeight="1" thickBot="1" x14ac:dyDescent="0.3">
      <c r="A23" s="660"/>
      <c r="B23" s="661"/>
      <c r="C23" s="661"/>
      <c r="D23" s="661"/>
      <c r="E23" s="661"/>
    </row>
    <row r="24" spans="1:5" ht="17.25" customHeight="1" thickBot="1" x14ac:dyDescent="0.3">
      <c r="A24" s="250" t="s">
        <v>36</v>
      </c>
      <c r="B24" s="14" t="s">
        <v>53</v>
      </c>
      <c r="C24" s="136"/>
      <c r="D24" s="136"/>
      <c r="E24" s="184" t="s">
        <v>85</v>
      </c>
    </row>
    <row r="25" spans="1:5" ht="21.75" customHeight="1" thickBot="1" x14ac:dyDescent="0.3">
      <c r="A25" s="660"/>
      <c r="B25" s="661"/>
      <c r="C25" s="661"/>
      <c r="D25" s="661"/>
      <c r="E25" s="661"/>
    </row>
    <row r="26" spans="1:5" ht="17.25" customHeight="1" thickBot="1" x14ac:dyDescent="0.3">
      <c r="A26" s="657" t="s">
        <v>37</v>
      </c>
      <c r="B26" s="14" t="s">
        <v>86</v>
      </c>
      <c r="C26" s="134" t="s">
        <v>87</v>
      </c>
      <c r="D26" s="135">
        <v>9.4999999999999998E-3</v>
      </c>
      <c r="E26" s="179">
        <v>4.0500000000000001E-2</v>
      </c>
    </row>
    <row r="27" spans="1:5" ht="17.25" customHeight="1" thickBot="1" x14ac:dyDescent="0.3">
      <c r="A27" s="658"/>
      <c r="B27" s="136" t="s">
        <v>59</v>
      </c>
      <c r="C27" s="134" t="s">
        <v>87</v>
      </c>
      <c r="D27" s="136"/>
      <c r="E27" s="179">
        <v>1.5E-3</v>
      </c>
    </row>
    <row r="28" spans="1:5" ht="17.25" customHeight="1" thickBot="1" x14ac:dyDescent="0.3">
      <c r="A28" s="659"/>
      <c r="B28" s="181" t="s">
        <v>112</v>
      </c>
      <c r="C28" s="141"/>
      <c r="D28" s="182">
        <f>SUM(D26:D27)</f>
        <v>9.4999999999999998E-3</v>
      </c>
      <c r="E28" s="183">
        <f>SUM(E26:E27)</f>
        <v>4.2000000000000003E-2</v>
      </c>
    </row>
    <row r="29" spans="1:5" ht="17.25" customHeight="1" thickBot="1" x14ac:dyDescent="0.3">
      <c r="A29" s="660"/>
      <c r="B29" s="661"/>
      <c r="C29" s="661"/>
      <c r="D29" s="661"/>
      <c r="E29" s="661"/>
    </row>
    <row r="30" spans="1:5" ht="17.25" customHeight="1" thickBot="1" x14ac:dyDescent="0.3">
      <c r="A30" s="657" t="s">
        <v>76</v>
      </c>
      <c r="B30" s="14" t="s">
        <v>52</v>
      </c>
      <c r="C30" s="134" t="s">
        <v>88</v>
      </c>
      <c r="D30" s="145"/>
      <c r="E30" s="134" t="s">
        <v>81</v>
      </c>
    </row>
    <row r="31" spans="1:5" ht="17.25" customHeight="1" thickBot="1" x14ac:dyDescent="0.3">
      <c r="A31" s="658"/>
      <c r="B31" s="14" t="s">
        <v>54</v>
      </c>
      <c r="C31" s="139" t="s">
        <v>89</v>
      </c>
      <c r="D31" s="136"/>
      <c r="E31" s="139" t="s">
        <v>90</v>
      </c>
    </row>
    <row r="32" spans="1:5" ht="23.25" customHeight="1" thickBot="1" x14ac:dyDescent="0.3">
      <c r="A32" s="658"/>
      <c r="B32" s="14" t="s">
        <v>55</v>
      </c>
      <c r="C32" s="134" t="s">
        <v>88</v>
      </c>
      <c r="D32" s="136"/>
      <c r="E32" s="179">
        <v>3.0000000000000001E-3</v>
      </c>
    </row>
    <row r="33" spans="1:5" ht="17.25" customHeight="1" thickBot="1" x14ac:dyDescent="0.3">
      <c r="A33" s="658"/>
      <c r="B33" s="14" t="s">
        <v>12</v>
      </c>
      <c r="C33" s="139" t="s">
        <v>88</v>
      </c>
      <c r="D33" s="136"/>
      <c r="E33" s="180">
        <v>1.6000000000000001E-4</v>
      </c>
    </row>
    <row r="34" spans="1:5" ht="17.25" customHeight="1" thickBot="1" x14ac:dyDescent="0.3">
      <c r="A34" s="658"/>
      <c r="B34" s="14" t="s">
        <v>20</v>
      </c>
      <c r="C34" s="136"/>
      <c r="D34" s="136"/>
      <c r="E34" s="179">
        <v>6.7999999999999996E-3</v>
      </c>
    </row>
    <row r="35" spans="1:5" ht="17.25" customHeight="1" thickBot="1" x14ac:dyDescent="0.3">
      <c r="A35" s="658"/>
      <c r="B35" s="14" t="s">
        <v>67</v>
      </c>
      <c r="C35" s="136"/>
      <c r="D35" s="136"/>
      <c r="E35" s="139" t="s">
        <v>91</v>
      </c>
    </row>
    <row r="36" spans="1:5" ht="17.25" customHeight="1" thickBot="1" x14ac:dyDescent="0.3">
      <c r="A36" s="658"/>
      <c r="B36" s="136" t="s">
        <v>97</v>
      </c>
      <c r="C36" s="136"/>
      <c r="D36" s="136"/>
      <c r="E36" s="179">
        <v>4.4999999999999997E-3</v>
      </c>
    </row>
    <row r="37" spans="1:5" ht="23.25" customHeight="1" thickBot="1" x14ac:dyDescent="0.3">
      <c r="A37" s="658"/>
      <c r="B37" s="136" t="s">
        <v>92</v>
      </c>
      <c r="C37" s="146" t="s">
        <v>93</v>
      </c>
      <c r="D37" s="136"/>
      <c r="E37" s="179">
        <v>8.0000000000000002E-3</v>
      </c>
    </row>
    <row r="38" spans="1:5" ht="24.75" thickBot="1" x14ac:dyDescent="0.3">
      <c r="A38" s="659"/>
      <c r="B38" s="181" t="s">
        <v>112</v>
      </c>
      <c r="D38" s="136"/>
      <c r="E38" s="185" t="s">
        <v>120</v>
      </c>
    </row>
    <row r="39" spans="1:5" ht="17.25" customHeight="1" thickBot="1" x14ac:dyDescent="0.3">
      <c r="A39" s="660"/>
      <c r="B39" s="661"/>
      <c r="C39" s="661"/>
      <c r="D39" s="661"/>
      <c r="E39" s="661"/>
    </row>
    <row r="40" spans="1:5" ht="21" customHeight="1" thickBot="1" x14ac:dyDescent="0.3">
      <c r="A40" s="250" t="s">
        <v>41</v>
      </c>
      <c r="B40" s="194"/>
      <c r="C40" s="194"/>
      <c r="D40" s="194"/>
      <c r="E40" s="194"/>
    </row>
    <row r="41" spans="1:5" ht="18" customHeight="1" thickBot="1" x14ac:dyDescent="0.3">
      <c r="A41" s="660"/>
      <c r="B41" s="661"/>
      <c r="C41" s="661"/>
      <c r="D41" s="661"/>
      <c r="E41" s="661"/>
    </row>
    <row r="42" spans="1:5" ht="18" customHeight="1" thickBot="1" x14ac:dyDescent="0.3">
      <c r="A42" s="250" t="s">
        <v>42</v>
      </c>
      <c r="B42" s="136"/>
      <c r="C42" s="673" t="s">
        <v>98</v>
      </c>
      <c r="D42" s="674">
        <v>6.8000000000000005E-2</v>
      </c>
      <c r="E42" s="660"/>
    </row>
    <row r="43" spans="1:5" ht="18" customHeight="1" thickBot="1" x14ac:dyDescent="0.3">
      <c r="A43" s="136"/>
      <c r="B43" s="136"/>
      <c r="C43" s="661"/>
      <c r="D43" s="675"/>
      <c r="E43" s="661"/>
    </row>
    <row r="44" spans="1:5" ht="18" customHeight="1" thickBot="1" x14ac:dyDescent="0.3">
      <c r="A44" s="660"/>
      <c r="B44" s="661"/>
      <c r="C44" s="661"/>
      <c r="D44" s="661"/>
      <c r="E44" s="661"/>
    </row>
    <row r="45" spans="1:5" ht="18" customHeight="1" thickBot="1" x14ac:dyDescent="0.3">
      <c r="B45" s="660"/>
      <c r="C45" s="661"/>
      <c r="D45" s="661"/>
      <c r="E45" s="661"/>
    </row>
    <row r="46" spans="1:5" ht="18" customHeight="1" thickBot="1" x14ac:dyDescent="0.3">
      <c r="A46" s="657" t="s">
        <v>43</v>
      </c>
      <c r="B46" s="136" t="s">
        <v>99</v>
      </c>
      <c r="C46" s="673" t="s">
        <v>98</v>
      </c>
      <c r="D46" s="179">
        <v>2.4E-2</v>
      </c>
      <c r="E46" s="660"/>
    </row>
    <row r="47" spans="1:5" ht="18" customHeight="1" thickBot="1" x14ac:dyDescent="0.3">
      <c r="A47" s="658"/>
      <c r="B47" s="136" t="s">
        <v>100</v>
      </c>
      <c r="C47" s="661"/>
      <c r="D47" s="179">
        <v>5.0000000000000001E-3</v>
      </c>
      <c r="E47" s="661"/>
    </row>
    <row r="48" spans="1:5" ht="18" customHeight="1" thickBot="1" x14ac:dyDescent="0.3">
      <c r="A48" s="659"/>
      <c r="B48" s="181" t="s">
        <v>112</v>
      </c>
      <c r="C48" s="143"/>
      <c r="D48" s="183">
        <f>SUM(D46:D47)</f>
        <v>2.9000000000000001E-2</v>
      </c>
      <c r="E48" s="143"/>
    </row>
    <row r="49" spans="1:5" ht="18" customHeight="1" thickBot="1" x14ac:dyDescent="0.3">
      <c r="A49" s="660"/>
      <c r="B49" s="661"/>
      <c r="C49" s="661"/>
      <c r="D49" s="661"/>
      <c r="E49" s="661"/>
    </row>
    <row r="50" spans="1:5" ht="18" customHeight="1" thickBot="1" x14ac:dyDescent="0.3">
      <c r="A50" s="250" t="s">
        <v>44</v>
      </c>
      <c r="B50" s="194"/>
      <c r="C50" s="194"/>
      <c r="D50" s="194"/>
      <c r="E50" s="194"/>
    </row>
    <row r="51" spans="1:5" ht="18" customHeight="1" thickBot="1" x14ac:dyDescent="0.3">
      <c r="A51" s="660"/>
      <c r="B51" s="661"/>
      <c r="C51" s="661"/>
      <c r="D51" s="661"/>
      <c r="E51" s="661"/>
    </row>
    <row r="52" spans="1:5" ht="18" customHeight="1" thickBot="1" x14ac:dyDescent="0.3">
      <c r="A52" s="250" t="s">
        <v>45</v>
      </c>
      <c r="B52" s="136"/>
      <c r="C52" s="144"/>
      <c r="D52" s="263"/>
      <c r="E52" s="264"/>
    </row>
    <row r="53" spans="1:5" ht="18" customHeight="1" thickBot="1" x14ac:dyDescent="0.3">
      <c r="A53" s="258"/>
      <c r="B53" s="130"/>
      <c r="C53" s="259"/>
      <c r="D53" s="135"/>
      <c r="E53" s="260"/>
    </row>
    <row r="54" spans="1:5" ht="18" customHeight="1" thickBot="1" x14ac:dyDescent="0.3">
      <c r="A54" s="258"/>
      <c r="B54" s="130"/>
      <c r="C54" s="259"/>
      <c r="D54" s="667" t="s">
        <v>121</v>
      </c>
      <c r="E54" s="668"/>
    </row>
    <row r="55" spans="1:5" ht="18" customHeight="1" thickBot="1" x14ac:dyDescent="0.3">
      <c r="A55" s="258"/>
      <c r="B55" s="130"/>
      <c r="C55" s="259"/>
      <c r="D55" s="669"/>
      <c r="E55" s="670"/>
    </row>
    <row r="56" spans="1:5" ht="24.75" thickBot="1" x14ac:dyDescent="0.3">
      <c r="A56" s="258"/>
      <c r="B56" s="130"/>
      <c r="C56" s="259"/>
      <c r="D56" s="261" t="s">
        <v>47</v>
      </c>
      <c r="E56" s="262" t="s">
        <v>122</v>
      </c>
    </row>
    <row r="57" spans="1:5" ht="64.5" customHeight="1" thickBot="1" x14ac:dyDescent="0.3">
      <c r="A57" s="130"/>
      <c r="B57" s="133"/>
      <c r="C57" s="133"/>
      <c r="D57" s="187" t="s">
        <v>116</v>
      </c>
      <c r="E57" s="186" t="s">
        <v>117</v>
      </c>
    </row>
  </sheetData>
  <mergeCells count="32">
    <mergeCell ref="A6:E6"/>
    <mergeCell ref="A13:E13"/>
    <mergeCell ref="D54:E54"/>
    <mergeCell ref="D55:E55"/>
    <mergeCell ref="B4:B5"/>
    <mergeCell ref="C4:C5"/>
    <mergeCell ref="D4:D5"/>
    <mergeCell ref="E4:E5"/>
    <mergeCell ref="A4:A5"/>
    <mergeCell ref="A10:E10"/>
    <mergeCell ref="A12:E12"/>
    <mergeCell ref="C46:C47"/>
    <mergeCell ref="A29:E29"/>
    <mergeCell ref="C42:C43"/>
    <mergeCell ref="D42:D43"/>
    <mergeCell ref="A39:E39"/>
    <mergeCell ref="A30:A38"/>
    <mergeCell ref="A44:E44"/>
    <mergeCell ref="A49:E49"/>
    <mergeCell ref="A51:E51"/>
    <mergeCell ref="C8:E8"/>
    <mergeCell ref="C9:E9"/>
    <mergeCell ref="A16:A18"/>
    <mergeCell ref="A19:A21"/>
    <mergeCell ref="A26:A28"/>
    <mergeCell ref="A23:E23"/>
    <mergeCell ref="A25:E25"/>
    <mergeCell ref="A41:E41"/>
    <mergeCell ref="E42:E43"/>
    <mergeCell ref="E46:E47"/>
    <mergeCell ref="B45:E45"/>
    <mergeCell ref="A46:A48"/>
  </mergeCells>
  <pageMargins left="0" right="0" top="0" bottom="0" header="0" footer="0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5</vt:i4>
      </vt:variant>
    </vt:vector>
  </HeadingPairs>
  <TitlesOfParts>
    <vt:vector size="18" baseType="lpstr">
      <vt:lpstr>Bulletin non-cadre</vt:lpstr>
      <vt:lpstr> bulletin simplif non-cadre</vt:lpstr>
      <vt:lpstr>DONNEES DES CAS</vt:lpstr>
      <vt:lpstr>CALCULS PREALABLES</vt:lpstr>
      <vt:lpstr>ETAT DES COTIS APP1</vt:lpstr>
      <vt:lpstr>Bulletin clarifié APP1</vt:lpstr>
      <vt:lpstr> bulletin cadre</vt:lpstr>
      <vt:lpstr>bulletin cadre simplifié</vt:lpstr>
      <vt:lpstr>Décomposition non-cadre</vt:lpstr>
      <vt:lpstr>Décomposition cadre</vt:lpstr>
      <vt:lpstr>temps partiel</vt:lpstr>
      <vt:lpstr>temps complet</vt:lpstr>
      <vt:lpstr> enonce NC</vt:lpstr>
      <vt:lpstr>' bulletin cadre'!_Toc409093540</vt:lpstr>
      <vt:lpstr>' bulletin simplif non-cadre'!_Toc409093540</vt:lpstr>
      <vt:lpstr>' enonce NC'!_Toc409093540</vt:lpstr>
      <vt:lpstr>'Bulletin non-cadre'!_Toc409093540</vt:lpstr>
      <vt:lpstr>'ETAT DES COTIS APP1'!_Toc409093540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henry</dc:creator>
  <cp:lastModifiedBy>ARKHOS</cp:lastModifiedBy>
  <cp:lastPrinted>2018-01-31T09:55:16Z</cp:lastPrinted>
  <dcterms:created xsi:type="dcterms:W3CDTF">2017-10-11T09:58:25Z</dcterms:created>
  <dcterms:modified xsi:type="dcterms:W3CDTF">2022-08-31T05:57:50Z</dcterms:modified>
</cp:coreProperties>
</file>