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BUREAU 2\FOAD YT\PAIE\FILLON 2022\"/>
    </mc:Choice>
  </mc:AlternateContent>
  <xr:revisionPtr revIDLastSave="0" documentId="8_{39EB6FC2-E536-4AA8-9DE8-CA4844E7BE89}" xr6:coauthVersionLast="47" xr6:coauthVersionMax="47" xr10:uidLastSave="{00000000-0000-0000-0000-000000000000}"/>
  <bookViews>
    <workbookView xWindow="3015" yWindow="0" windowWidth="18000" windowHeight="9360" activeTab="3" xr2:uid="{D8111861-9DD4-48AB-9AD5-798A18F65592}"/>
  </bookViews>
  <sheets>
    <sheet name="Planning" sheetId="21" r:id="rId1"/>
    <sheet name="REGULARISATION" sheetId="2" r:id="rId2"/>
    <sheet name="MAQUETTE BULLETIN" sheetId="19" r:id="rId3"/>
    <sheet name="Régularisation mensuelle" sheetId="2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2" l="1"/>
  <c r="E7" i="22" s="1"/>
  <c r="C6" i="22"/>
  <c r="C7" i="22" s="1"/>
  <c r="C8" i="22" s="1"/>
  <c r="C9" i="22" s="1"/>
  <c r="C10" i="22" s="1"/>
  <c r="C11" i="22" s="1"/>
  <c r="C12" i="22" s="1"/>
  <c r="C13" i="22" s="1"/>
  <c r="C14" i="22" s="1"/>
  <c r="C15" i="22" s="1"/>
  <c r="C16" i="22" s="1"/>
  <c r="C17" i="22" s="1"/>
  <c r="F17" i="22" s="1"/>
  <c r="F57" i="19"/>
  <c r="D35" i="19"/>
  <c r="D34" i="19"/>
  <c r="D33" i="19"/>
  <c r="F6" i="22" l="1"/>
  <c r="G6" i="22" s="1"/>
  <c r="F7" i="22"/>
  <c r="G7" i="22" s="1"/>
  <c r="F15" i="22"/>
  <c r="F11" i="22"/>
  <c r="F14" i="22"/>
  <c r="F10" i="22"/>
  <c r="F13" i="22"/>
  <c r="F9" i="22"/>
  <c r="F16" i="22"/>
  <c r="F12" i="22"/>
  <c r="F8" i="22"/>
  <c r="E8" i="22"/>
  <c r="K71" i="2"/>
  <c r="B143" i="19"/>
  <c r="B145" i="19" s="1"/>
  <c r="B138" i="19"/>
  <c r="B139" i="19" s="1"/>
  <c r="B129" i="19"/>
  <c r="B130" i="19" s="1"/>
  <c r="B132" i="19" s="1"/>
  <c r="I10" i="21"/>
  <c r="H7" i="22" l="1"/>
  <c r="E9" i="22"/>
  <c r="I6" i="22"/>
  <c r="H6" i="22"/>
  <c r="I7" i="22"/>
  <c r="B163" i="19"/>
  <c r="B133" i="19"/>
  <c r="B134" i="19" s="1"/>
  <c r="D77" i="19" s="1"/>
  <c r="B149" i="19"/>
  <c r="B150" i="19" s="1"/>
  <c r="E10" i="22" l="1"/>
  <c r="I8" i="22"/>
  <c r="G8" i="22"/>
  <c r="H8" i="22" s="1"/>
  <c r="B164" i="19"/>
  <c r="B165" i="19" s="1"/>
  <c r="B166" i="19" s="1"/>
  <c r="B84" i="19" s="1"/>
  <c r="E11" i="22" l="1"/>
  <c r="G9" i="22"/>
  <c r="H9" i="22" s="1"/>
  <c r="I9" i="22"/>
  <c r="D27" i="19"/>
  <c r="E49" i="19"/>
  <c r="D21" i="19"/>
  <c r="F56" i="19"/>
  <c r="B70" i="19"/>
  <c r="F70" i="19"/>
  <c r="C20" i="19"/>
  <c r="D117" i="19"/>
  <c r="B118" i="19"/>
  <c r="D118" i="19" s="1"/>
  <c r="C96" i="19"/>
  <c r="C84" i="19"/>
  <c r="B60" i="19"/>
  <c r="F60" i="19" s="1"/>
  <c r="B55" i="19"/>
  <c r="F55" i="19" s="1"/>
  <c r="D48" i="19"/>
  <c r="E45" i="19"/>
  <c r="C37" i="19"/>
  <c r="B37" i="19"/>
  <c r="C25" i="19"/>
  <c r="D25" i="19" s="1"/>
  <c r="C24" i="19"/>
  <c r="D24" i="19" s="1"/>
  <c r="D22" i="19"/>
  <c r="G30" i="2"/>
  <c r="F48" i="2"/>
  <c r="F49" i="2"/>
  <c r="F50" i="2"/>
  <c r="F51" i="2"/>
  <c r="F52" i="2"/>
  <c r="F53" i="2"/>
  <c r="F54" i="2"/>
  <c r="F55" i="2"/>
  <c r="F56" i="2"/>
  <c r="F57" i="2"/>
  <c r="F58" i="2"/>
  <c r="F47" i="2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D58" i="2"/>
  <c r="D57" i="2"/>
  <c r="D56" i="2"/>
  <c r="D55" i="2"/>
  <c r="D54" i="2"/>
  <c r="D53" i="2"/>
  <c r="D52" i="2"/>
  <c r="D51" i="2"/>
  <c r="D50" i="2"/>
  <c r="D49" i="2"/>
  <c r="D48" i="2"/>
  <c r="D47" i="2"/>
  <c r="C47" i="2"/>
  <c r="C48" i="2" s="1"/>
  <c r="D30" i="2"/>
  <c r="G10" i="22" l="1"/>
  <c r="H10" i="22" s="1"/>
  <c r="I10" i="22"/>
  <c r="E12" i="22"/>
  <c r="B68" i="19"/>
  <c r="D68" i="19"/>
  <c r="B67" i="19"/>
  <c r="D67" i="19" s="1"/>
  <c r="D37" i="19"/>
  <c r="D41" i="19" s="1"/>
  <c r="D55" i="19"/>
  <c r="D60" i="19"/>
  <c r="H48" i="2"/>
  <c r="I48" i="2" s="1"/>
  <c r="C49" i="2"/>
  <c r="C50" i="2" s="1"/>
  <c r="C51" i="2" s="1"/>
  <c r="C52" i="2" s="1"/>
  <c r="C53" i="2" s="1"/>
  <c r="C54" i="2" s="1"/>
  <c r="C55" i="2" s="1"/>
  <c r="C56" i="2" s="1"/>
  <c r="C57" i="2" s="1"/>
  <c r="C58" i="2" s="1"/>
  <c r="H47" i="2"/>
  <c r="G11" i="22" l="1"/>
  <c r="H11" i="22" s="1"/>
  <c r="I11" i="22"/>
  <c r="E13" i="22"/>
  <c r="I22" i="19"/>
  <c r="B46" i="19" s="1"/>
  <c r="B59" i="19"/>
  <c r="F59" i="19" s="1"/>
  <c r="B90" i="19"/>
  <c r="B119" i="19" s="1"/>
  <c r="B120" i="19" s="1"/>
  <c r="B45" i="19"/>
  <c r="F47" i="19" s="1"/>
  <c r="B57" i="19"/>
  <c r="B52" i="19"/>
  <c r="F52" i="19" s="1"/>
  <c r="H49" i="2"/>
  <c r="I49" i="2" s="1"/>
  <c r="J48" i="2"/>
  <c r="K48" i="2" s="1"/>
  <c r="I47" i="2"/>
  <c r="J47" i="2" s="1"/>
  <c r="K47" i="2" s="1"/>
  <c r="H50" i="2"/>
  <c r="G12" i="22" l="1"/>
  <c r="H12" i="22" s="1"/>
  <c r="I12" i="22"/>
  <c r="E14" i="22"/>
  <c r="B110" i="19"/>
  <c r="D110" i="19" s="1"/>
  <c r="B96" i="19"/>
  <c r="D96" i="19" s="1"/>
  <c r="B109" i="19"/>
  <c r="D109" i="19" s="1"/>
  <c r="D52" i="19"/>
  <c r="B54" i="19"/>
  <c r="F54" i="19" s="1"/>
  <c r="B47" i="19"/>
  <c r="F49" i="19" s="1"/>
  <c r="B53" i="19"/>
  <c r="F53" i="19" s="1"/>
  <c r="F48" i="19"/>
  <c r="B104" i="19"/>
  <c r="D104" i="19" s="1"/>
  <c r="B49" i="19"/>
  <c r="B51" i="19"/>
  <c r="F51" i="19" s="1"/>
  <c r="J49" i="2"/>
  <c r="K49" i="2" s="1"/>
  <c r="H51" i="2"/>
  <c r="I51" i="2" s="1"/>
  <c r="I50" i="2"/>
  <c r="I13" i="22" l="1"/>
  <c r="G13" i="22"/>
  <c r="H13" i="22" s="1"/>
  <c r="E15" i="22"/>
  <c r="D106" i="19"/>
  <c r="B65" i="19"/>
  <c r="B66" i="19" s="1"/>
  <c r="B111" i="19" s="1"/>
  <c r="D111" i="19" s="1"/>
  <c r="D51" i="19"/>
  <c r="D53" i="19"/>
  <c r="D120" i="19"/>
  <c r="D119" i="19"/>
  <c r="D121" i="19" s="1"/>
  <c r="D54" i="19"/>
  <c r="F61" i="19"/>
  <c r="J51" i="2"/>
  <c r="J50" i="2"/>
  <c r="K50" i="2" s="1"/>
  <c r="H52" i="2"/>
  <c r="G14" i="22" l="1"/>
  <c r="H14" i="22" s="1"/>
  <c r="I14" i="22"/>
  <c r="E16" i="22"/>
  <c r="D113" i="19"/>
  <c r="F81" i="19" s="1"/>
  <c r="D66" i="19"/>
  <c r="D65" i="19"/>
  <c r="F86" i="19"/>
  <c r="F87" i="19"/>
  <c r="K51" i="2"/>
  <c r="H53" i="2"/>
  <c r="I52" i="2"/>
  <c r="J52" i="2" s="1"/>
  <c r="K52" i="2" s="1"/>
  <c r="G16" i="22" l="1"/>
  <c r="E17" i="22"/>
  <c r="G17" i="22" s="1"/>
  <c r="I15" i="22"/>
  <c r="G15" i="22"/>
  <c r="H15" i="22" s="1"/>
  <c r="D71" i="19"/>
  <c r="F80" i="19" s="1"/>
  <c r="B91" i="19"/>
  <c r="H54" i="2"/>
  <c r="I53" i="2"/>
  <c r="J53" i="2" s="1"/>
  <c r="K53" i="2" s="1"/>
  <c r="H17" i="22" l="1"/>
  <c r="H16" i="22"/>
  <c r="I54" i="2"/>
  <c r="J54" i="2" s="1"/>
  <c r="K54" i="2" s="1"/>
  <c r="H55" i="2"/>
  <c r="F84" i="19" l="1"/>
  <c r="F85" i="19" s="1"/>
  <c r="I55" i="2"/>
  <c r="J55" i="2" s="1"/>
  <c r="K55" i="2" s="1"/>
  <c r="H56" i="2"/>
  <c r="H57" i="2" l="1"/>
  <c r="I56" i="2"/>
  <c r="J56" i="2" s="1"/>
  <c r="K56" i="2" s="1"/>
  <c r="I57" i="2" l="1"/>
  <c r="J57" i="2" s="1"/>
  <c r="K57" i="2" s="1"/>
  <c r="H58" i="2" l="1"/>
  <c r="I58" i="2" s="1"/>
  <c r="J58" i="2" s="1"/>
  <c r="K58" i="2" s="1"/>
  <c r="D31" i="2" l="1"/>
  <c r="D32" i="2"/>
  <c r="D33" i="2"/>
  <c r="D34" i="2"/>
  <c r="D35" i="2"/>
  <c r="D36" i="2"/>
  <c r="D37" i="2"/>
  <c r="D38" i="2"/>
  <c r="D39" i="2"/>
  <c r="D40" i="2"/>
  <c r="D41" i="2"/>
  <c r="E85" i="2" l="1"/>
  <c r="C85" i="2"/>
  <c r="C86" i="2" s="1"/>
  <c r="C87" i="2" s="1"/>
  <c r="C88" i="2" s="1"/>
  <c r="C89" i="2" s="1"/>
  <c r="E66" i="2"/>
  <c r="C66" i="2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F41" i="2"/>
  <c r="F40" i="2"/>
  <c r="F39" i="2"/>
  <c r="F38" i="2"/>
  <c r="F37" i="2"/>
  <c r="F36" i="2"/>
  <c r="F35" i="2"/>
  <c r="F34" i="2"/>
  <c r="F33" i="2"/>
  <c r="F32" i="2"/>
  <c r="F31" i="2"/>
  <c r="F30" i="2"/>
  <c r="C30" i="2"/>
  <c r="H30" i="2" s="1"/>
  <c r="I30" i="2" s="1"/>
  <c r="D22" i="2"/>
  <c r="D21" i="2"/>
  <c r="D20" i="2"/>
  <c r="D19" i="2"/>
  <c r="D18" i="2"/>
  <c r="D17" i="2"/>
  <c r="D16" i="2"/>
  <c r="D15" i="2"/>
  <c r="D14" i="2"/>
  <c r="D13" i="2"/>
  <c r="D12" i="2"/>
  <c r="D11" i="2"/>
  <c r="E11" i="2" s="1"/>
  <c r="C11" i="2"/>
  <c r="F11" i="2" s="1"/>
  <c r="G11" i="2" s="1"/>
  <c r="G31" i="2" l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F85" i="2"/>
  <c r="E67" i="2"/>
  <c r="F66" i="2"/>
  <c r="I66" i="2" s="1"/>
  <c r="E12" i="2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C12" i="2"/>
  <c r="C13" i="2" s="1"/>
  <c r="C90" i="2"/>
  <c r="C31" i="2"/>
  <c r="H31" i="2" s="1"/>
  <c r="G85" i="2"/>
  <c r="H85" i="2" s="1"/>
  <c r="H11" i="2"/>
  <c r="E86" i="2"/>
  <c r="J30" i="2" l="1"/>
  <c r="K30" i="2" s="1"/>
  <c r="F13" i="2"/>
  <c r="I31" i="2"/>
  <c r="J31" i="2" s="1"/>
  <c r="E68" i="2"/>
  <c r="F67" i="2"/>
  <c r="I67" i="2" s="1"/>
  <c r="F12" i="2"/>
  <c r="G12" i="2" s="1"/>
  <c r="H12" i="2" s="1"/>
  <c r="C32" i="2"/>
  <c r="H32" i="2" s="1"/>
  <c r="I32" i="2" s="1"/>
  <c r="C91" i="2"/>
  <c r="C14" i="2"/>
  <c r="E87" i="2"/>
  <c r="F86" i="2"/>
  <c r="G86" i="2"/>
  <c r="H86" i="2" s="1"/>
  <c r="G66" i="2"/>
  <c r="H66" i="2" s="1"/>
  <c r="K31" i="2" l="1"/>
  <c r="J32" i="2"/>
  <c r="K32" i="2" s="1"/>
  <c r="G67" i="2"/>
  <c r="H67" i="2" s="1"/>
  <c r="G13" i="2"/>
  <c r="H13" i="2" s="1"/>
  <c r="F68" i="2"/>
  <c r="E69" i="2"/>
  <c r="F14" i="2"/>
  <c r="G14" i="2" s="1"/>
  <c r="H14" i="2" s="1"/>
  <c r="C15" i="2"/>
  <c r="C33" i="2"/>
  <c r="C92" i="2"/>
  <c r="F87" i="2"/>
  <c r="E88" i="2"/>
  <c r="G87" i="2"/>
  <c r="H87" i="2" s="1"/>
  <c r="H33" i="2" l="1"/>
  <c r="I33" i="2" s="1"/>
  <c r="J33" i="2" s="1"/>
  <c r="K33" i="2" s="1"/>
  <c r="F69" i="2"/>
  <c r="E70" i="2"/>
  <c r="I68" i="2"/>
  <c r="G68" i="2"/>
  <c r="H68" i="2" s="1"/>
  <c r="F15" i="2"/>
  <c r="G15" i="2" s="1"/>
  <c r="H15" i="2" s="1"/>
  <c r="C16" i="2"/>
  <c r="C93" i="2"/>
  <c r="E89" i="2"/>
  <c r="F88" i="2"/>
  <c r="G88" i="2"/>
  <c r="H88" i="2" s="1"/>
  <c r="C34" i="2"/>
  <c r="H34" i="2" l="1"/>
  <c r="I34" i="2" s="1"/>
  <c r="J34" i="2" s="1"/>
  <c r="F70" i="2"/>
  <c r="E71" i="2"/>
  <c r="G69" i="2"/>
  <c r="H69" i="2" s="1"/>
  <c r="I69" i="2"/>
  <c r="C94" i="2"/>
  <c r="F89" i="2"/>
  <c r="E90" i="2"/>
  <c r="G89" i="2"/>
  <c r="H89" i="2" s="1"/>
  <c r="F16" i="2"/>
  <c r="G16" i="2" s="1"/>
  <c r="H16" i="2" s="1"/>
  <c r="C17" i="2"/>
  <c r="C35" i="2"/>
  <c r="H35" i="2" l="1"/>
  <c r="I35" i="2" s="1"/>
  <c r="J35" i="2" s="1"/>
  <c r="F71" i="2"/>
  <c r="E72" i="2"/>
  <c r="I70" i="2"/>
  <c r="G70" i="2"/>
  <c r="H70" i="2" s="1"/>
  <c r="E91" i="2"/>
  <c r="F90" i="2"/>
  <c r="G90" i="2"/>
  <c r="H90" i="2" s="1"/>
  <c r="C36" i="2"/>
  <c r="K34" i="2"/>
  <c r="F17" i="2"/>
  <c r="G17" i="2" s="1"/>
  <c r="H17" i="2" s="1"/>
  <c r="C18" i="2"/>
  <c r="C95" i="2"/>
  <c r="H36" i="2" l="1"/>
  <c r="I36" i="2" s="1"/>
  <c r="J36" i="2" s="1"/>
  <c r="K36" i="2" s="1"/>
  <c r="F72" i="2"/>
  <c r="E73" i="2"/>
  <c r="I71" i="2"/>
  <c r="G71" i="2"/>
  <c r="H71" i="2" s="1"/>
  <c r="F69" i="19" s="1"/>
  <c r="F71" i="19" s="1"/>
  <c r="C96" i="2"/>
  <c r="C19" i="2"/>
  <c r="F18" i="2"/>
  <c r="G18" i="2" s="1"/>
  <c r="H18" i="2" s="1"/>
  <c r="K35" i="2"/>
  <c r="F91" i="2"/>
  <c r="E92" i="2"/>
  <c r="G91" i="2"/>
  <c r="H91" i="2" s="1"/>
  <c r="C37" i="2"/>
  <c r="H37" i="2" l="1"/>
  <c r="I37" i="2" s="1"/>
  <c r="J37" i="2" s="1"/>
  <c r="K37" i="2" s="1"/>
  <c r="F73" i="2"/>
  <c r="E74" i="2"/>
  <c r="G72" i="2"/>
  <c r="H72" i="2" s="1"/>
  <c r="I72" i="2"/>
  <c r="E93" i="2"/>
  <c r="F92" i="2"/>
  <c r="G92" i="2"/>
  <c r="H92" i="2" s="1"/>
  <c r="C20" i="2"/>
  <c r="F19" i="2"/>
  <c r="G19" i="2" s="1"/>
  <c r="H19" i="2" s="1"/>
  <c r="C38" i="2"/>
  <c r="H38" i="2" l="1"/>
  <c r="I38" i="2" s="1"/>
  <c r="J38" i="2" s="1"/>
  <c r="K38" i="2" s="1"/>
  <c r="F74" i="2"/>
  <c r="E75" i="2"/>
  <c r="I73" i="2"/>
  <c r="G73" i="2"/>
  <c r="H73" i="2" s="1"/>
  <c r="F20" i="2"/>
  <c r="G20" i="2" s="1"/>
  <c r="H20" i="2" s="1"/>
  <c r="C21" i="2"/>
  <c r="F93" i="2"/>
  <c r="E94" i="2"/>
  <c r="G93" i="2"/>
  <c r="H93" i="2" s="1"/>
  <c r="C39" i="2"/>
  <c r="H39" i="2" l="1"/>
  <c r="I39" i="2" s="1"/>
  <c r="J39" i="2" s="1"/>
  <c r="K39" i="2" s="1"/>
  <c r="F75" i="2"/>
  <c r="E76" i="2"/>
  <c r="G74" i="2"/>
  <c r="H74" i="2" s="1"/>
  <c r="I74" i="2"/>
  <c r="E95" i="2"/>
  <c r="F94" i="2"/>
  <c r="G94" i="2"/>
  <c r="H94" i="2" s="1"/>
  <c r="F21" i="2"/>
  <c r="G21" i="2" s="1"/>
  <c r="H21" i="2" s="1"/>
  <c r="C22" i="2"/>
  <c r="F22" i="2" s="1"/>
  <c r="C40" i="2"/>
  <c r="H40" i="2" l="1"/>
  <c r="I40" i="2" s="1"/>
  <c r="J40" i="2" s="1"/>
  <c r="K40" i="2" s="1"/>
  <c r="F76" i="2"/>
  <c r="E77" i="2"/>
  <c r="F77" i="2" s="1"/>
  <c r="G75" i="2"/>
  <c r="H75" i="2" s="1"/>
  <c r="I75" i="2"/>
  <c r="C41" i="2"/>
  <c r="H41" i="2" s="1"/>
  <c r="I41" i="2" s="1"/>
  <c r="G22" i="2"/>
  <c r="H22" i="2" s="1"/>
  <c r="F95" i="2"/>
  <c r="E96" i="2"/>
  <c r="G95" i="2"/>
  <c r="H95" i="2" s="1"/>
  <c r="J41" i="2" l="1"/>
  <c r="G77" i="2"/>
  <c r="G76" i="2"/>
  <c r="H76" i="2" s="1"/>
  <c r="F96" i="2"/>
  <c r="G96" i="2"/>
  <c r="H96" i="2" s="1"/>
  <c r="H77" i="2" l="1"/>
  <c r="K41" i="2" l="1"/>
</calcChain>
</file>

<file path=xl/sharedStrings.xml><?xml version="1.0" encoding="utf-8"?>
<sst xmlns="http://schemas.openxmlformats.org/spreadsheetml/2006/main" count="295" uniqueCount="229">
  <si>
    <t>Salaire de base</t>
  </si>
  <si>
    <t>Heures supplémentaires à 150%</t>
  </si>
  <si>
    <t>Indemnité pour congés payés</t>
  </si>
  <si>
    <t>Prime d'ancienneté</t>
  </si>
  <si>
    <t>Salaire brut</t>
  </si>
  <si>
    <t>Assiettes</t>
  </si>
  <si>
    <t>Taux</t>
  </si>
  <si>
    <t>Retenues
salariales</t>
  </si>
  <si>
    <t>Retenues
patronales</t>
  </si>
  <si>
    <t>SANTE</t>
  </si>
  <si>
    <t xml:space="preserve">Complémentaire santé </t>
  </si>
  <si>
    <t xml:space="preserve">Accident du travail - Maladies professionnelles </t>
  </si>
  <si>
    <t>Retraite</t>
  </si>
  <si>
    <t xml:space="preserve">Sécurité sociale plafonnée </t>
  </si>
  <si>
    <t>Sécurité sociale déplafonnée</t>
  </si>
  <si>
    <t>Complémentaire Tranche 1</t>
  </si>
  <si>
    <t xml:space="preserve">Assurance chômage </t>
  </si>
  <si>
    <t xml:space="preserve">Autres contributions dues par l'employeur </t>
  </si>
  <si>
    <t>Réduction cotisations heures supplémentaires</t>
  </si>
  <si>
    <t>Total de cotisations et contributions</t>
  </si>
  <si>
    <t>NET A PAYER AVANT IMPOT SUR LE REVENU</t>
  </si>
  <si>
    <t>Total versé</t>
  </si>
  <si>
    <t>dont évolution de la rémunération liée à la suppression des cotisations chômage et maladie</t>
  </si>
  <si>
    <t>IMPOT SUR LE REVENU</t>
  </si>
  <si>
    <t>Bases</t>
  </si>
  <si>
    <t>personnalisé</t>
  </si>
  <si>
    <t>Impôt sur le revenu prélevé à la source</t>
  </si>
  <si>
    <t xml:space="preserve">Net payé en euros                                  </t>
  </si>
  <si>
    <t>Allègement de cotisations 
employeur</t>
  </si>
  <si>
    <t>par l'employeur</t>
  </si>
  <si>
    <t>BRUTS</t>
  </si>
  <si>
    <t>CUMULS</t>
  </si>
  <si>
    <t>Dialogue social : 0,016%</t>
  </si>
  <si>
    <t>Solidarité autonomie : 0,30%</t>
  </si>
  <si>
    <t>Apprentissage : 0,68%</t>
  </si>
  <si>
    <t>Fnal 0,10% sur TA</t>
  </si>
  <si>
    <t>AU TOTAL</t>
  </si>
  <si>
    <t xml:space="preserve"> Rubrique dont évolution de la rémunération liée à la suppression des cotisations chômage et maladie</t>
  </si>
  <si>
    <t>Assurance chômage</t>
  </si>
  <si>
    <t>Maladie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</si>
  <si>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</si>
  <si>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</si>
  <si>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</si>
  <si>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</si>
  <si>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</si>
  <si>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</si>
  <si>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</si>
  <si>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</si>
  <si>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BULLETIN DE SALAIRE</t>
  </si>
  <si>
    <t>Employeur</t>
  </si>
  <si>
    <t>Nom :</t>
  </si>
  <si>
    <t>Adresse  :</t>
  </si>
  <si>
    <t>Complément :</t>
  </si>
  <si>
    <t>Code postal :</t>
  </si>
  <si>
    <t>Ville :</t>
  </si>
  <si>
    <t>N° SIRET :</t>
  </si>
  <si>
    <t>Code NAF(APE) :</t>
  </si>
  <si>
    <t>Site d'emploi :</t>
  </si>
  <si>
    <t>Effectif :</t>
  </si>
  <si>
    <t>Convention collective :</t>
  </si>
  <si>
    <t>Salarié</t>
  </si>
  <si>
    <t>Prénom :</t>
  </si>
  <si>
    <t>N° de S.S. :</t>
  </si>
  <si>
    <t>Adresse :</t>
  </si>
  <si>
    <t>CP/ Ville</t>
  </si>
  <si>
    <t>Emploi :</t>
  </si>
  <si>
    <t>Contrat :</t>
  </si>
  <si>
    <t>Position :</t>
  </si>
  <si>
    <t>Embauche :</t>
  </si>
  <si>
    <t>Horaire mensualisé :</t>
  </si>
  <si>
    <t>Autre :</t>
  </si>
  <si>
    <t>Période du :</t>
  </si>
  <si>
    <t>Au :</t>
  </si>
  <si>
    <t>Eléments de revenu brut</t>
  </si>
  <si>
    <t>Montants</t>
  </si>
  <si>
    <t>Nombre/Base</t>
  </si>
  <si>
    <t>Taux/Val unitaire</t>
  </si>
  <si>
    <t>Sécurité sociale - Maladie - Maternité - Invalidité décès</t>
  </si>
  <si>
    <t>Complémentaire incapacité invalidité décès Tranche 1</t>
  </si>
  <si>
    <t>Complémentaire incapacité invalidité décès Tranche 2</t>
  </si>
  <si>
    <t>Contribution équilibre technique CET</t>
  </si>
  <si>
    <t xml:space="preserve"> Famille </t>
  </si>
  <si>
    <t>Cotisations et contributions sociales</t>
  </si>
  <si>
    <t xml:space="preserve">Chômage </t>
  </si>
  <si>
    <t>APEC (Cadres)</t>
  </si>
  <si>
    <t>CSG déductible de l'impôt sur le revenu</t>
  </si>
  <si>
    <t>CSG CRDS non-déductible de l'impôt sur le revenu</t>
  </si>
  <si>
    <t>CSG/CRDS non-déductibles de l'impôt sur le revenu sur heures supplémentaires</t>
  </si>
  <si>
    <t>Montant</t>
  </si>
  <si>
    <t>NET FISCAL</t>
  </si>
  <si>
    <t xml:space="preserve">Payé le </t>
  </si>
  <si>
    <t>Dans votre intérêt et pour vous aider à faire valoir vos droits, conserver ce bulletin de paie sans limitation de durée</t>
  </si>
  <si>
    <t>Acompte</t>
  </si>
  <si>
    <t>Avantage en nature</t>
  </si>
  <si>
    <t>Saisie sur salaires</t>
  </si>
  <si>
    <t>Titres repas</t>
  </si>
  <si>
    <t>Mois en cours</t>
  </si>
  <si>
    <t>Cumuls annuel</t>
  </si>
  <si>
    <t>Salaires bruts</t>
  </si>
  <si>
    <t>Salaires imposables</t>
  </si>
  <si>
    <t>Regularisation mensuelle progressive des plafonds de sécurité sociale</t>
  </si>
  <si>
    <t>Plafond de sécurité sociale</t>
  </si>
  <si>
    <t>MOIS</t>
  </si>
  <si>
    <t>Cumuls bruts</t>
  </si>
  <si>
    <t>Plafonds</t>
  </si>
  <si>
    <t>Plafonds 
cumulés</t>
  </si>
  <si>
    <t>TA/T1 
cumulées</t>
  </si>
  <si>
    <t>TA/T1
du mois</t>
  </si>
  <si>
    <t>TB/T2
 du mois</t>
  </si>
  <si>
    <t>Regularisation mensuelle progressive des cotisations de maladie</t>
  </si>
  <si>
    <t>smics</t>
  </si>
  <si>
    <t>2,5 SMIC</t>
  </si>
  <si>
    <t>CUMUL 2,5 SMIC</t>
  </si>
  <si>
    <t>Assiette 6%
du mois</t>
  </si>
  <si>
    <t>Patronale
maladie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</si>
  <si>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</si>
  <si>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</si>
  <si>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</si>
  <si>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</si>
  <si>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</si>
  <si>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</si>
  <si>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</si>
  <si>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</si>
  <si>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</si>
  <si>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</si>
  <si>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</si>
  <si>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</si>
  <si>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Regularisation mensuelle progressive des cotisations d'allocations familiales</t>
  </si>
  <si>
    <t>3,5 SMIC</t>
  </si>
  <si>
    <t>CUMUL 3,5 SMIC</t>
  </si>
  <si>
    <t>Assiette 1,8%
du mois</t>
  </si>
  <si>
    <t>ALLEGEMENT GENERAL DE COTISATIONS = ALLEGEMENT FILLON</t>
  </si>
  <si>
    <t>coeff maximum cumulé</t>
  </si>
  <si>
    <t>SMICS
 CUMULES</t>
  </si>
  <si>
    <t>COEF ALLEGT
CUMULES</t>
  </si>
  <si>
    <t>ALLEGT 
CUMULES</t>
  </si>
  <si>
    <t>ALLEGT 
DU MOIS</t>
  </si>
  <si>
    <t>Remarque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</si>
  <si>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</si>
  <si>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</si>
  <si>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</si>
  <si>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</si>
  <si>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</si>
  <si>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</si>
  <si>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</si>
  <si>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</si>
  <si>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</si>
  <si>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</si>
  <si>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</si>
  <si>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</si>
  <si>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Regularisation mensuelle progressive de la cotisation CET</t>
  </si>
  <si>
    <t>CET à payer</t>
  </si>
  <si>
    <t>CET 
cumulées</t>
  </si>
  <si>
    <t>CET 
du mois</t>
  </si>
  <si>
    <t>Maintien de salaire</t>
  </si>
  <si>
    <t>Heures supplémentaires à 125%</t>
  </si>
  <si>
    <t>Bonification travail férié ou week end</t>
  </si>
  <si>
    <t>Absences</t>
  </si>
  <si>
    <t>Retenue absence arrêt de travail</t>
  </si>
  <si>
    <t xml:space="preserve">IJSS </t>
  </si>
  <si>
    <t>Retraite Supplémentaire</t>
  </si>
  <si>
    <t>Construction : 0,45%</t>
  </si>
  <si>
    <t xml:space="preserve">Taux de cotisation patronale de maladie </t>
  </si>
  <si>
    <t>Assiette de cotisation APEC</t>
  </si>
  <si>
    <t>Tranche 2</t>
  </si>
  <si>
    <t>Assiette de prime ancienneté</t>
  </si>
  <si>
    <t>Taux de prime d'ancienneté</t>
  </si>
  <si>
    <t>Mutuelle salariale</t>
  </si>
  <si>
    <t>Mutuelle patronale</t>
  </si>
  <si>
    <t>Assiette de cotisations equilibre technique CET</t>
  </si>
  <si>
    <t xml:space="preserve">Tranche 1  </t>
  </si>
  <si>
    <t xml:space="preserve">Taux de cotisation patronale d'allocations familiales </t>
  </si>
  <si>
    <t>Réduction générale de cotisations patronales</t>
  </si>
  <si>
    <t>Cotisations statutaires ou prévues par la convnetion collective</t>
  </si>
  <si>
    <t>Indemnité de précarité</t>
  </si>
  <si>
    <t>Assiette 
 3,45%</t>
  </si>
  <si>
    <t>Assiette 
 7%</t>
  </si>
  <si>
    <t xml:space="preserve">Complément
6% </t>
  </si>
  <si>
    <t>Assiette cumulé
6%</t>
  </si>
  <si>
    <t xml:space="preserve">Complément
1,8% </t>
  </si>
  <si>
    <t>Assiette cumulée
1,8%</t>
  </si>
  <si>
    <t>versement mobilité :</t>
  </si>
  <si>
    <t>Formation :0,55%</t>
  </si>
  <si>
    <r>
      <t>Complémentaire Tranche 2</t>
    </r>
    <r>
      <rPr>
        <sz val="11"/>
        <color rgb="FFFF0000"/>
        <rFont val="Trebuchet MS"/>
        <family val="2"/>
      </rPr>
      <t xml:space="preserve"> </t>
    </r>
  </si>
  <si>
    <t>Cadre</t>
  </si>
  <si>
    <t>Taux d'accident du travail</t>
  </si>
  <si>
    <t>PLANNING</t>
  </si>
  <si>
    <t>Assiette prévoyance salariale</t>
  </si>
  <si>
    <t>Exonération de cotisation employeur sur heures supplémentaires</t>
  </si>
  <si>
    <t>réduction générale de cotisations patronales de Sécurité Sociale</t>
  </si>
  <si>
    <t>ICCP</t>
  </si>
  <si>
    <t>Retenue sur congés payés</t>
  </si>
  <si>
    <t>Assiette prevoyance patronale</t>
  </si>
  <si>
    <t>Taux de prélèvement à la source</t>
  </si>
  <si>
    <t>brut</t>
  </si>
  <si>
    <t>Salaires mars</t>
  </si>
  <si>
    <t>Salaires avril</t>
  </si>
  <si>
    <t>Salaires mai</t>
  </si>
  <si>
    <t>N-3</t>
  </si>
  <si>
    <t>N-2</t>
  </si>
  <si>
    <t>N-1</t>
  </si>
  <si>
    <t>Totaux</t>
  </si>
  <si>
    <t>Par jour</t>
  </si>
  <si>
    <t>Nombre de jours</t>
  </si>
  <si>
    <t>IJSS BRUTES</t>
  </si>
  <si>
    <t>IJSS NETTES</t>
  </si>
  <si>
    <t>Retenue sur salaire</t>
  </si>
  <si>
    <t>Nombre</t>
  </si>
  <si>
    <t>IJSS</t>
  </si>
  <si>
    <t>TAUX</t>
  </si>
  <si>
    <t>% de maintien</t>
  </si>
  <si>
    <t>MAINTIEN</t>
  </si>
  <si>
    <t>IJSS sur maintien</t>
  </si>
  <si>
    <t>IJSS SUR SALAIRE BRUT</t>
  </si>
  <si>
    <t>Mode de calcul de la retenue sur salaires</t>
  </si>
  <si>
    <t>Délai de carence employeur</t>
  </si>
  <si>
    <t>Sur brut ou sur le net</t>
  </si>
  <si>
    <t xml:space="preserve">Durées </t>
  </si>
  <si>
    <t>Subrogation ?</t>
  </si>
  <si>
    <t>calendaires</t>
  </si>
  <si>
    <t>non</t>
  </si>
  <si>
    <t>1554,58*1005,23/1600</t>
  </si>
  <si>
    <t>Salaire imposable</t>
  </si>
  <si>
    <t>IJJSS brutes</t>
  </si>
  <si>
    <t>csg 3,80%</t>
  </si>
  <si>
    <t>IJSS IMPOSABLES</t>
  </si>
  <si>
    <t>BASE IMPOSITION</t>
  </si>
  <si>
    <t>REDUCTION GENERALE DE COTISATIONS PATRONALES RGCP</t>
  </si>
  <si>
    <t>RGCP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</si>
</sst>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,##0.00\ &quot;€&quot;"/>
    <numFmt numFmtId="166" formatCode="0.000%"/>
    <numFmt numFmtId="167" formatCode="0.00000%"/>
    <numFmt numFmtId="168" formatCode="_-* #,##0\ &quot;€&quot;_-;\-* #,##0\ &quot;€&quot;_-;_-* &quot;-&quot;??\ &quot;€&quot;_-;_-@_-"/>
    <numFmt numFmtId="169" formatCode="#,##0.00\ [$€-40C];[Red]\-#,##0.00\ [$€-40C]"/>
    <numFmt numFmtId="170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b/>
      <sz val="11"/>
      <color rgb="FFFF0000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11"/>
      <color rgb="FFFF0000"/>
      <name val="Trebuchet MS"/>
      <family val="2"/>
    </font>
    <font>
      <sz val="8"/>
      <name val="Trebuchet MS"/>
      <family val="2"/>
    </font>
    <font>
      <b/>
      <sz val="14"/>
      <color rgb="FFFF0000"/>
      <name val="Trebuchet MS"/>
      <family val="2"/>
    </font>
    <font>
      <b/>
      <sz val="8"/>
      <name val="Trebuchet MS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286">
    <xf numFmtId="0" fontId="0" fillId="0" borderId="0" xfId="0"/>
    <xf numFmtId="0" fontId="3" fillId="3" borderId="1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8" fontId="9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left" vertical="center"/>
    </xf>
    <xf numFmtId="168" fontId="2" fillId="0" borderId="5" xfId="1" applyNumberFormat="1" applyFont="1" applyBorder="1" applyAlignment="1">
      <alignment vertical="center"/>
    </xf>
    <xf numFmtId="168" fontId="2" fillId="0" borderId="5" xfId="0" applyNumberFormat="1" applyFont="1" applyBorder="1" applyAlignment="1">
      <alignment vertical="center"/>
    </xf>
    <xf numFmtId="168" fontId="2" fillId="2" borderId="6" xfId="0" applyNumberFormat="1" applyFont="1" applyFill="1" applyBorder="1" applyAlignment="1">
      <alignment vertical="center"/>
    </xf>
    <xf numFmtId="168" fontId="10" fillId="10" borderId="5" xfId="0" applyNumberFormat="1" applyFont="1" applyFill="1" applyBorder="1" applyAlignment="1">
      <alignment vertical="center"/>
    </xf>
    <xf numFmtId="168" fontId="2" fillId="11" borderId="5" xfId="0" applyNumberFormat="1" applyFont="1" applyFill="1" applyBorder="1" applyAlignment="1">
      <alignment vertical="center"/>
    </xf>
    <xf numFmtId="17" fontId="2" fillId="0" borderId="11" xfId="0" applyNumberFormat="1" applyFont="1" applyBorder="1" applyAlignment="1">
      <alignment horizontal="left" vertical="center"/>
    </xf>
    <xf numFmtId="168" fontId="2" fillId="0" borderId="7" xfId="1" applyNumberFormat="1" applyFont="1" applyBorder="1" applyAlignment="1">
      <alignment vertical="center"/>
    </xf>
    <xf numFmtId="168" fontId="2" fillId="0" borderId="7" xfId="0" applyNumberFormat="1" applyFont="1" applyBorder="1" applyAlignment="1">
      <alignment vertical="center"/>
    </xf>
    <xf numFmtId="168" fontId="2" fillId="2" borderId="12" xfId="0" applyNumberFormat="1" applyFont="1" applyFill="1" applyBorder="1" applyAlignment="1">
      <alignment vertical="center"/>
    </xf>
    <xf numFmtId="17" fontId="0" fillId="0" borderId="0" xfId="0" applyNumberFormat="1" applyAlignment="1">
      <alignment horizontal="left" vertical="center"/>
    </xf>
    <xf numFmtId="168" fontId="0" fillId="0" borderId="0" xfId="1" applyNumberFormat="1" applyFont="1" applyBorder="1" applyAlignment="1">
      <alignment vertical="center"/>
    </xf>
    <xf numFmtId="168" fontId="0" fillId="0" borderId="0" xfId="0" applyNumberFormat="1" applyAlignment="1">
      <alignment vertical="center"/>
    </xf>
    <xf numFmtId="0" fontId="11" fillId="2" borderId="0" xfId="0" applyFont="1" applyFill="1" applyAlignment="1">
      <alignment vertical="center"/>
    </xf>
    <xf numFmtId="0" fontId="0" fillId="12" borderId="1" xfId="0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0" fillId="12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164" fontId="0" fillId="2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2" borderId="11" xfId="0" applyFill="1" applyBorder="1" applyAlignment="1">
      <alignment vertical="center"/>
    </xf>
    <xf numFmtId="164" fontId="0" fillId="2" borderId="12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12" borderId="5" xfId="0" applyNumberFormat="1" applyFill="1" applyBorder="1" applyAlignment="1">
      <alignment vertical="center"/>
    </xf>
    <xf numFmtId="164" fontId="0" fillId="12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12" borderId="7" xfId="0" applyNumberFormat="1" applyFill="1" applyBorder="1" applyAlignment="1">
      <alignment vertical="center"/>
    </xf>
    <xf numFmtId="164" fontId="0" fillId="12" borderId="7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5" xfId="0" applyNumberFormat="1" applyBorder="1" applyAlignment="1">
      <alignment vertical="center"/>
    </xf>
    <xf numFmtId="8" fontId="2" fillId="2" borderId="5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12" fillId="2" borderId="5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4" fontId="0" fillId="0" borderId="7" xfId="1" applyFon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2" fillId="2" borderId="7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7" fontId="0" fillId="0" borderId="4" xfId="0" applyNumberFormat="1" applyBorder="1" applyAlignment="1">
      <alignment horizontal="left" vertical="center"/>
    </xf>
    <xf numFmtId="168" fontId="0" fillId="0" borderId="5" xfId="1" applyNumberFormat="1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9" fontId="0" fillId="0" borderId="6" xfId="0" applyNumberFormat="1" applyBorder="1" applyAlignment="1">
      <alignment vertical="center"/>
    </xf>
    <xf numFmtId="17" fontId="0" fillId="0" borderId="11" xfId="0" applyNumberFormat="1" applyBorder="1" applyAlignment="1">
      <alignment horizontal="left" vertical="center"/>
    </xf>
    <xf numFmtId="168" fontId="0" fillId="0" borderId="7" xfId="1" applyNumberFormat="1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9" fontId="0" fillId="0" borderId="12" xfId="0" applyNumberForma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10" fontId="15" fillId="12" borderId="6" xfId="0" applyNumberFormat="1" applyFont="1" applyFill="1" applyBorder="1" applyAlignment="1">
      <alignment vertical="center"/>
    </xf>
    <xf numFmtId="44" fontId="15" fillId="12" borderId="6" xfId="1" applyFont="1" applyFill="1" applyBorder="1" applyAlignment="1">
      <alignment vertical="center"/>
    </xf>
    <xf numFmtId="10" fontId="17" fillId="12" borderId="12" xfId="0" applyNumberFormat="1" applyFont="1" applyFill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26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14" fontId="20" fillId="0" borderId="4" xfId="2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44" fontId="14" fillId="8" borderId="6" xfId="0" applyNumberFormat="1" applyFont="1" applyFill="1" applyBorder="1" applyAlignment="1">
      <alignment vertical="center"/>
    </xf>
    <xf numFmtId="0" fontId="14" fillId="8" borderId="6" xfId="0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164" fontId="14" fillId="8" borderId="6" xfId="0" applyNumberFormat="1" applyFont="1" applyFill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21" fillId="3" borderId="14" xfId="0" applyFont="1" applyFill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27" xfId="0" applyNumberFormat="1" applyFont="1" applyBorder="1" applyAlignment="1">
      <alignment vertical="center"/>
    </xf>
    <xf numFmtId="10" fontId="16" fillId="0" borderId="27" xfId="0" applyNumberFormat="1" applyFont="1" applyBorder="1" applyAlignment="1">
      <alignment horizontal="center" vertical="center"/>
    </xf>
    <xf numFmtId="164" fontId="16" fillId="0" borderId="28" xfId="0" applyNumberFormat="1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8" fontId="17" fillId="2" borderId="21" xfId="0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44" fontId="14" fillId="0" borderId="8" xfId="0" applyNumberFormat="1" applyFont="1" applyBorder="1" applyAlignment="1">
      <alignment vertical="center"/>
    </xf>
    <xf numFmtId="10" fontId="14" fillId="0" borderId="8" xfId="0" applyNumberFormat="1" applyFont="1" applyBorder="1" applyAlignment="1">
      <alignment vertical="center"/>
    </xf>
    <xf numFmtId="44" fontId="14" fillId="0" borderId="13" xfId="0" applyNumberFormat="1" applyFont="1" applyBorder="1" applyAlignment="1">
      <alignment vertical="center"/>
    </xf>
    <xf numFmtId="164" fontId="22" fillId="3" borderId="8" xfId="0" applyNumberFormat="1" applyFont="1" applyFill="1" applyBorder="1" applyAlignment="1">
      <alignment horizontal="right" vertical="center" wrapText="1" readingOrder="1"/>
    </xf>
    <xf numFmtId="10" fontId="22" fillId="3" borderId="8" xfId="0" applyNumberFormat="1" applyFont="1" applyFill="1" applyBorder="1" applyAlignment="1">
      <alignment horizontal="right" vertical="center" wrapText="1" readingOrder="1"/>
    </xf>
    <xf numFmtId="8" fontId="22" fillId="3" borderId="13" xfId="0" applyNumberFormat="1" applyFont="1" applyFill="1" applyBorder="1" applyAlignment="1">
      <alignment horizontal="right" vertical="center" wrapText="1" readingOrder="1"/>
    </xf>
    <xf numFmtId="0" fontId="16" fillId="0" borderId="16" xfId="0" applyFont="1" applyBorder="1" applyAlignment="1">
      <alignment vertical="center"/>
    </xf>
    <xf numFmtId="44" fontId="14" fillId="0" borderId="17" xfId="0" applyNumberFormat="1" applyFont="1" applyBorder="1" applyAlignment="1">
      <alignment vertical="center"/>
    </xf>
    <xf numFmtId="167" fontId="14" fillId="0" borderId="17" xfId="0" applyNumberFormat="1" applyFont="1" applyBorder="1" applyAlignment="1">
      <alignment vertical="center"/>
    </xf>
    <xf numFmtId="44" fontId="18" fillId="2" borderId="18" xfId="1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44" fontId="14" fillId="0" borderId="10" xfId="0" applyNumberFormat="1" applyFont="1" applyBorder="1" applyAlignment="1">
      <alignment vertical="center"/>
    </xf>
    <xf numFmtId="8" fontId="14" fillId="0" borderId="8" xfId="0" applyNumberFormat="1" applyFont="1" applyBorder="1" applyAlignment="1">
      <alignment vertical="center"/>
    </xf>
    <xf numFmtId="164" fontId="14" fillId="0" borderId="13" xfId="0" applyNumberFormat="1" applyFont="1" applyBorder="1" applyAlignment="1">
      <alignment vertical="center"/>
    </xf>
    <xf numFmtId="44" fontId="18" fillId="2" borderId="18" xfId="0" applyNumberFormat="1" applyFont="1" applyFill="1" applyBorder="1" applyAlignment="1">
      <alignment vertical="center"/>
    </xf>
    <xf numFmtId="10" fontId="15" fillId="0" borderId="6" xfId="0" applyNumberFormat="1" applyFont="1" applyBorder="1" applyAlignment="1">
      <alignment vertical="center"/>
    </xf>
    <xf numFmtId="44" fontId="14" fillId="0" borderId="0" xfId="0" applyNumberFormat="1" applyFont="1" applyAlignment="1">
      <alignment vertical="center"/>
    </xf>
    <xf numFmtId="0" fontId="17" fillId="6" borderId="1" xfId="2" applyFont="1" applyFill="1" applyBorder="1" applyAlignment="1">
      <alignment horizontal="centerContinuous" vertical="center"/>
    </xf>
    <xf numFmtId="0" fontId="14" fillId="6" borderId="2" xfId="0" applyFont="1" applyFill="1" applyBorder="1" applyAlignment="1">
      <alignment horizontal="centerContinuous" vertical="center"/>
    </xf>
    <xf numFmtId="0" fontId="14" fillId="6" borderId="3" xfId="0" applyFont="1" applyFill="1" applyBorder="1" applyAlignment="1">
      <alignment horizontal="centerContinuous" vertical="center"/>
    </xf>
    <xf numFmtId="0" fontId="19" fillId="0" borderId="4" xfId="2" applyFont="1" applyBorder="1" applyAlignment="1">
      <alignment vertical="center"/>
    </xf>
    <xf numFmtId="0" fontId="19" fillId="5" borderId="4" xfId="2" applyFont="1" applyFill="1" applyBorder="1" applyAlignment="1">
      <alignment horizontal="center" vertical="center"/>
    </xf>
    <xf numFmtId="0" fontId="19" fillId="5" borderId="5" xfId="2" applyFont="1" applyFill="1" applyBorder="1" applyAlignment="1">
      <alignment horizontal="center" vertical="center"/>
    </xf>
    <xf numFmtId="0" fontId="17" fillId="6" borderId="4" xfId="2" applyFont="1" applyFill="1" applyBorder="1" applyAlignment="1">
      <alignment horizontal="centerContinuous" vertical="center"/>
    </xf>
    <xf numFmtId="0" fontId="14" fillId="6" borderId="5" xfId="0" applyFont="1" applyFill="1" applyBorder="1" applyAlignment="1">
      <alignment horizontal="centerContinuous" vertical="center"/>
    </xf>
    <xf numFmtId="0" fontId="14" fillId="6" borderId="6" xfId="0" applyFont="1" applyFill="1" applyBorder="1" applyAlignment="1">
      <alignment horizontal="centerContinuous" vertical="center"/>
    </xf>
    <xf numFmtId="0" fontId="19" fillId="0" borderId="4" xfId="2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/>
    </xf>
    <xf numFmtId="44" fontId="14" fillId="8" borderId="6" xfId="1" applyFont="1" applyFill="1" applyBorder="1" applyAlignment="1">
      <alignment vertical="center"/>
    </xf>
    <xf numFmtId="164" fontId="14" fillId="8" borderId="5" xfId="0" applyNumberFormat="1" applyFont="1" applyFill="1" applyBorder="1" applyAlignment="1">
      <alignment vertical="center"/>
    </xf>
    <xf numFmtId="44" fontId="15" fillId="2" borderId="5" xfId="1" applyFont="1" applyFill="1" applyBorder="1" applyAlignment="1">
      <alignment horizontal="right" vertical="center" wrapText="1"/>
    </xf>
    <xf numFmtId="9" fontId="3" fillId="2" borderId="5" xfId="0" applyNumberFormat="1" applyFont="1" applyFill="1" applyBorder="1" applyAlignment="1">
      <alignment vertical="center"/>
    </xf>
    <xf numFmtId="44" fontId="3" fillId="2" borderId="5" xfId="0" applyNumberFormat="1" applyFont="1" applyFill="1" applyBorder="1" applyAlignment="1">
      <alignment vertical="center"/>
    </xf>
    <xf numFmtId="43" fontId="15" fillId="2" borderId="5" xfId="3" applyFont="1" applyFill="1" applyBorder="1" applyAlignment="1">
      <alignment horizontal="right" vertical="center" wrapText="1"/>
    </xf>
    <xf numFmtId="9" fontId="3" fillId="8" borderId="5" xfId="0" applyNumberFormat="1" applyFont="1" applyFill="1" applyBorder="1" applyAlignment="1">
      <alignment vertical="center"/>
    </xf>
    <xf numFmtId="44" fontId="3" fillId="0" borderId="4" xfId="1" applyFont="1" applyBorder="1" applyAlignment="1">
      <alignment vertical="center"/>
    </xf>
    <xf numFmtId="44" fontId="15" fillId="3" borderId="5" xfId="1" applyFont="1" applyFill="1" applyBorder="1" applyAlignment="1">
      <alignment horizontal="right" vertical="center" wrapText="1"/>
    </xf>
    <xf numFmtId="9" fontId="3" fillId="0" borderId="5" xfId="0" applyNumberFormat="1" applyFont="1" applyBorder="1" applyAlignment="1">
      <alignment vertical="center"/>
    </xf>
    <xf numFmtId="44" fontId="3" fillId="0" borderId="5" xfId="0" applyNumberFormat="1" applyFont="1" applyBorder="1" applyAlignment="1">
      <alignment vertical="center"/>
    </xf>
    <xf numFmtId="0" fontId="21" fillId="3" borderId="4" xfId="0" applyFont="1" applyFill="1" applyBorder="1" applyAlignment="1">
      <alignment horizontal="left" vertical="center" wrapText="1" readingOrder="1"/>
    </xf>
    <xf numFmtId="0" fontId="15" fillId="3" borderId="5" xfId="0" applyFont="1" applyFill="1" applyBorder="1" applyAlignment="1">
      <alignment horizontal="right" vertical="center" wrapText="1"/>
    </xf>
    <xf numFmtId="0" fontId="22" fillId="3" borderId="5" xfId="0" applyFont="1" applyFill="1" applyBorder="1" applyAlignment="1">
      <alignment horizontal="left" vertical="center" wrapText="1" readingOrder="1"/>
    </xf>
    <xf numFmtId="0" fontId="21" fillId="6" borderId="4" xfId="0" applyFont="1" applyFill="1" applyBorder="1" applyAlignment="1">
      <alignment horizontal="left" vertical="center" wrapText="1" readingOrder="1"/>
    </xf>
    <xf numFmtId="0" fontId="21" fillId="6" borderId="5" xfId="0" applyFont="1" applyFill="1" applyBorder="1" applyAlignment="1">
      <alignment horizontal="center" vertical="center" wrapText="1" readingOrder="1"/>
    </xf>
    <xf numFmtId="0" fontId="21" fillId="6" borderId="6" xfId="0" applyFont="1" applyFill="1" applyBorder="1" applyAlignment="1">
      <alignment horizontal="center" vertical="center" wrapText="1" readingOrder="1"/>
    </xf>
    <xf numFmtId="0" fontId="21" fillId="9" borderId="4" xfId="0" applyFont="1" applyFill="1" applyBorder="1" applyAlignment="1">
      <alignment horizontal="left" vertical="center" wrapText="1" readingOrder="1"/>
    </xf>
    <xf numFmtId="0" fontId="15" fillId="9" borderId="5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 readingOrder="1"/>
    </xf>
    <xf numFmtId="0" fontId="21" fillId="9" borderId="6" xfId="0" applyFont="1" applyFill="1" applyBorder="1" applyAlignment="1">
      <alignment horizontal="center" vertical="center" wrapText="1" readingOrder="1"/>
    </xf>
    <xf numFmtId="0" fontId="15" fillId="12" borderId="4" xfId="0" applyFont="1" applyFill="1" applyBorder="1" applyAlignment="1">
      <alignment horizontal="left" vertical="center" wrapText="1" readingOrder="1"/>
    </xf>
    <xf numFmtId="44" fontId="23" fillId="12" borderId="5" xfId="1" applyFont="1" applyFill="1" applyBorder="1" applyAlignment="1">
      <alignment horizontal="right" vertical="center" wrapText="1"/>
    </xf>
    <xf numFmtId="0" fontId="23" fillId="12" borderId="5" xfId="0" applyFont="1" applyFill="1" applyBorder="1" applyAlignment="1">
      <alignment vertical="center" wrapText="1"/>
    </xf>
    <xf numFmtId="44" fontId="23" fillId="12" borderId="5" xfId="1" applyFont="1" applyFill="1" applyBorder="1" applyAlignment="1">
      <alignment vertical="center" wrapText="1"/>
    </xf>
    <xf numFmtId="166" fontId="18" fillId="12" borderId="5" xfId="1" applyNumberFormat="1" applyFont="1" applyFill="1" applyBorder="1" applyAlignment="1">
      <alignment horizontal="right" vertical="center" wrapText="1"/>
    </xf>
    <xf numFmtId="0" fontId="22" fillId="3" borderId="4" xfId="0" applyFont="1" applyFill="1" applyBorder="1" applyAlignment="1">
      <alignment horizontal="left" vertical="center" wrapText="1" readingOrder="1"/>
    </xf>
    <xf numFmtId="10" fontId="22" fillId="3" borderId="5" xfId="0" applyNumberFormat="1" applyFont="1" applyFill="1" applyBorder="1" applyAlignment="1">
      <alignment horizontal="center" vertical="center" wrapText="1" readingOrder="1"/>
    </xf>
    <xf numFmtId="44" fontId="22" fillId="3" borderId="5" xfId="1" applyFont="1" applyFill="1" applyBorder="1" applyAlignment="1">
      <alignment horizontal="right" vertical="center" wrapText="1" readingOrder="1"/>
    </xf>
    <xf numFmtId="166" fontId="18" fillId="3" borderId="5" xfId="1" applyNumberFormat="1" applyFont="1" applyFill="1" applyBorder="1" applyAlignment="1">
      <alignment horizontal="right" vertical="center" wrapText="1" readingOrder="1"/>
    </xf>
    <xf numFmtId="44" fontId="18" fillId="12" borderId="6" xfId="1" applyFont="1" applyFill="1" applyBorder="1" applyAlignment="1">
      <alignment horizontal="right" vertical="center" wrapText="1"/>
    </xf>
    <xf numFmtId="44" fontId="15" fillId="3" borderId="6" xfId="1" applyFont="1" applyFill="1" applyBorder="1" applyAlignment="1">
      <alignment horizontal="right" vertical="center" wrapText="1"/>
    </xf>
    <xf numFmtId="166" fontId="22" fillId="3" borderId="5" xfId="1" applyNumberFormat="1" applyFont="1" applyFill="1" applyBorder="1" applyAlignment="1">
      <alignment horizontal="right" vertical="center" wrapText="1" readingOrder="1"/>
    </xf>
    <xf numFmtId="0" fontId="22" fillId="3" borderId="5" xfId="0" applyFont="1" applyFill="1" applyBorder="1" applyAlignment="1">
      <alignment horizontal="center" vertical="center" wrapText="1" readingOrder="1"/>
    </xf>
    <xf numFmtId="166" fontId="15" fillId="3" borderId="5" xfId="1" applyNumberFormat="1" applyFont="1" applyFill="1" applyBorder="1" applyAlignment="1">
      <alignment horizontal="right" vertical="center" wrapText="1"/>
    </xf>
    <xf numFmtId="0" fontId="21" fillId="9" borderId="5" xfId="0" applyFont="1" applyFill="1" applyBorder="1" applyAlignment="1">
      <alignment horizontal="left" vertical="center" wrapText="1" readingOrder="1"/>
    </xf>
    <xf numFmtId="0" fontId="21" fillId="9" borderId="6" xfId="0" applyFont="1" applyFill="1" applyBorder="1" applyAlignment="1">
      <alignment horizontal="left" vertical="center" wrapText="1" readingOrder="1"/>
    </xf>
    <xf numFmtId="166" fontId="22" fillId="3" borderId="5" xfId="0" applyNumberFormat="1" applyFont="1" applyFill="1" applyBorder="1" applyAlignment="1">
      <alignment horizontal="center" vertical="center" wrapText="1" readingOrder="1"/>
    </xf>
    <xf numFmtId="8" fontId="15" fillId="3" borderId="6" xfId="1" applyNumberFormat="1" applyFont="1" applyFill="1" applyBorder="1" applyAlignment="1">
      <alignment horizontal="right" vertical="center" wrapText="1"/>
    </xf>
    <xf numFmtId="0" fontId="5" fillId="9" borderId="4" xfId="0" applyFont="1" applyFill="1" applyBorder="1" applyAlignment="1">
      <alignment horizontal="left" vertical="center" wrapText="1" readingOrder="1"/>
    </xf>
    <xf numFmtId="166" fontId="22" fillId="3" borderId="5" xfId="0" applyNumberFormat="1" applyFont="1" applyFill="1" applyBorder="1" applyAlignment="1">
      <alignment horizontal="right" vertical="center" wrapText="1" readingOrder="1"/>
    </xf>
    <xf numFmtId="0" fontId="5" fillId="3" borderId="4" xfId="0" applyFont="1" applyFill="1" applyBorder="1" applyAlignment="1">
      <alignment horizontal="left" vertical="center" wrapText="1" readingOrder="1"/>
    </xf>
    <xf numFmtId="43" fontId="15" fillId="3" borderId="5" xfId="3" applyFont="1" applyFill="1" applyBorder="1" applyAlignment="1">
      <alignment horizontal="right" vertical="center" wrapText="1"/>
    </xf>
    <xf numFmtId="0" fontId="21" fillId="3" borderId="5" xfId="0" applyFont="1" applyFill="1" applyBorder="1" applyAlignment="1">
      <alignment horizontal="center" vertical="center" wrapText="1" readingOrder="1"/>
    </xf>
    <xf numFmtId="44" fontId="21" fillId="3" borderId="5" xfId="1" applyFont="1" applyFill="1" applyBorder="1" applyAlignment="1">
      <alignment horizontal="right" vertical="center" wrapText="1" readingOrder="1"/>
    </xf>
    <xf numFmtId="44" fontId="21" fillId="3" borderId="6" xfId="1" applyFont="1" applyFill="1" applyBorder="1" applyAlignment="1">
      <alignment horizontal="right" vertical="center" wrapText="1" readingOrder="1"/>
    </xf>
    <xf numFmtId="0" fontId="18" fillId="3" borderId="4" xfId="0" applyFont="1" applyFill="1" applyBorder="1" applyAlignment="1">
      <alignment horizontal="left" vertical="center" wrapText="1" readingOrder="1"/>
    </xf>
    <xf numFmtId="44" fontId="17" fillId="3" borderId="6" xfId="1" applyFont="1" applyFill="1" applyBorder="1" applyAlignment="1">
      <alignment horizontal="right" vertical="center" wrapText="1"/>
    </xf>
    <xf numFmtId="44" fontId="22" fillId="2" borderId="5" xfId="1" applyFont="1" applyFill="1" applyBorder="1" applyAlignment="1">
      <alignment horizontal="right" vertical="center" wrapText="1" readingOrder="1"/>
    </xf>
    <xf numFmtId="0" fontId="21" fillId="2" borderId="5" xfId="0" applyFont="1" applyFill="1" applyBorder="1" applyAlignment="1">
      <alignment horizontal="center" vertical="center" wrapText="1" readingOrder="1"/>
    </xf>
    <xf numFmtId="44" fontId="21" fillId="2" borderId="5" xfId="1" applyFont="1" applyFill="1" applyBorder="1" applyAlignment="1">
      <alignment horizontal="right" vertical="center" wrapText="1" readingOrder="1"/>
    </xf>
    <xf numFmtId="44" fontId="15" fillId="2" borderId="6" xfId="1" applyNumberFormat="1" applyFont="1" applyFill="1" applyBorder="1" applyAlignment="1">
      <alignment horizontal="right" vertical="center" wrapText="1"/>
    </xf>
    <xf numFmtId="0" fontId="21" fillId="4" borderId="5" xfId="0" applyFont="1" applyFill="1" applyBorder="1" applyAlignment="1">
      <alignment horizontal="center" vertical="center" wrapText="1" readingOrder="1"/>
    </xf>
    <xf numFmtId="0" fontId="21" fillId="4" borderId="5" xfId="0" applyFont="1" applyFill="1" applyBorder="1" applyAlignment="1">
      <alignment horizontal="right" vertical="center" wrapText="1" readingOrder="1"/>
    </xf>
    <xf numFmtId="0" fontId="21" fillId="4" borderId="6" xfId="0" applyFont="1" applyFill="1" applyBorder="1" applyAlignment="1">
      <alignment horizontal="center" vertical="center" wrapText="1" readingOrder="1"/>
    </xf>
    <xf numFmtId="44" fontId="15" fillId="3" borderId="5" xfId="1" applyFont="1" applyFill="1" applyBorder="1" applyAlignment="1">
      <alignment horizontal="center" vertical="center" wrapText="1"/>
    </xf>
    <xf numFmtId="10" fontId="17" fillId="3" borderId="5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right" vertical="center" wrapText="1" readingOrder="1"/>
    </xf>
    <xf numFmtId="44" fontId="15" fillId="3" borderId="6" xfId="0" applyNumberFormat="1" applyFont="1" applyFill="1" applyBorder="1" applyAlignment="1">
      <alignment horizontal="right" vertical="center" wrapText="1"/>
    </xf>
    <xf numFmtId="44" fontId="15" fillId="3" borderId="5" xfId="1" applyFont="1" applyFill="1" applyBorder="1" applyAlignment="1">
      <alignment vertical="center" wrapText="1"/>
    </xf>
    <xf numFmtId="0" fontId="21" fillId="3" borderId="5" xfId="0" applyFont="1" applyFill="1" applyBorder="1" applyAlignment="1">
      <alignment horizontal="left" vertical="center" wrapText="1" readingOrder="1"/>
    </xf>
    <xf numFmtId="0" fontId="21" fillId="3" borderId="5" xfId="0" applyFont="1" applyFill="1" applyBorder="1" applyAlignment="1">
      <alignment horizontal="justify" vertical="center" wrapText="1" readingOrder="1"/>
    </xf>
    <xf numFmtId="44" fontId="21" fillId="3" borderId="5" xfId="1" applyFont="1" applyFill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44" fontId="22" fillId="3" borderId="5" xfId="1" applyFont="1" applyFill="1" applyBorder="1" applyAlignment="1">
      <alignment horizontal="left" vertical="center" wrapText="1" readingOrder="1"/>
    </xf>
    <xf numFmtId="0" fontId="14" fillId="0" borderId="5" xfId="0" applyFont="1" applyBorder="1" applyAlignment="1">
      <alignment vertical="center" wrapText="1" readingOrder="1"/>
    </xf>
    <xf numFmtId="0" fontId="26" fillId="0" borderId="11" xfId="2" applyFont="1" applyBorder="1" applyAlignment="1">
      <alignment horizontal="left" vertical="center"/>
    </xf>
    <xf numFmtId="0" fontId="24" fillId="0" borderId="7" xfId="2" applyFont="1" applyBorder="1" applyAlignment="1">
      <alignment horizontal="center" vertical="center"/>
    </xf>
    <xf numFmtId="44" fontId="17" fillId="3" borderId="12" xfId="0" applyNumberFormat="1" applyFont="1" applyFill="1" applyBorder="1" applyAlignment="1">
      <alignment horizontal="right" vertical="center" wrapText="1"/>
    </xf>
    <xf numFmtId="0" fontId="17" fillId="13" borderId="1" xfId="0" applyFont="1" applyFill="1" applyBorder="1" applyAlignment="1">
      <alignment vertical="center"/>
    </xf>
    <xf numFmtId="10" fontId="17" fillId="13" borderId="3" xfId="0" applyNumberFormat="1" applyFont="1" applyFill="1" applyBorder="1" applyAlignment="1">
      <alignment vertical="center"/>
    </xf>
    <xf numFmtId="0" fontId="15" fillId="13" borderId="4" xfId="0" applyFont="1" applyFill="1" applyBorder="1" applyAlignment="1">
      <alignment vertical="center"/>
    </xf>
    <xf numFmtId="10" fontId="17" fillId="13" borderId="6" xfId="0" applyNumberFormat="1" applyFont="1" applyFill="1" applyBorder="1" applyAlignment="1">
      <alignment vertical="center"/>
    </xf>
    <xf numFmtId="0" fontId="21" fillId="0" borderId="4" xfId="0" applyFont="1" applyFill="1" applyBorder="1" applyAlignment="1">
      <alignment horizontal="left" vertical="center" wrapText="1" readingOrder="1"/>
    </xf>
    <xf numFmtId="170" fontId="0" fillId="0" borderId="0" xfId="0" applyNumberFormat="1" applyAlignment="1">
      <alignment vertical="center"/>
    </xf>
    <xf numFmtId="0" fontId="16" fillId="2" borderId="4" xfId="0" applyFont="1" applyFill="1" applyBorder="1" applyAlignment="1">
      <alignment vertical="center"/>
    </xf>
    <xf numFmtId="2" fontId="14" fillId="0" borderId="5" xfId="0" applyNumberFormat="1" applyFont="1" applyFill="1" applyBorder="1" applyAlignment="1">
      <alignment vertical="center"/>
    </xf>
    <xf numFmtId="165" fontId="14" fillId="0" borderId="5" xfId="0" applyNumberFormat="1" applyFont="1" applyFill="1" applyBorder="1" applyAlignment="1">
      <alignment horizontal="right" vertical="center"/>
    </xf>
    <xf numFmtId="44" fontId="14" fillId="0" borderId="5" xfId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44" fontId="14" fillId="0" borderId="5" xfId="1" applyFont="1" applyFill="1" applyBorder="1" applyAlignment="1">
      <alignment horizontal="right" vertical="center"/>
    </xf>
    <xf numFmtId="44" fontId="14" fillId="0" borderId="5" xfId="0" applyNumberFormat="1" applyFont="1" applyFill="1" applyBorder="1" applyAlignment="1">
      <alignment vertical="center"/>
    </xf>
    <xf numFmtId="165" fontId="14" fillId="0" borderId="5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44" fontId="14" fillId="0" borderId="5" xfId="1" applyFont="1" applyFill="1" applyBorder="1" applyAlignment="1">
      <alignment horizontal="center" vertical="center"/>
    </xf>
    <xf numFmtId="8" fontId="14" fillId="0" borderId="5" xfId="0" applyNumberFormat="1" applyFont="1" applyFill="1" applyBorder="1" applyAlignment="1">
      <alignment vertical="center"/>
    </xf>
    <xf numFmtId="44" fontId="15" fillId="0" borderId="5" xfId="1" applyFont="1" applyFill="1" applyBorder="1" applyAlignment="1">
      <alignment horizontal="right" vertical="center" wrapText="1"/>
    </xf>
    <xf numFmtId="9" fontId="3" fillId="0" borderId="5" xfId="0" applyNumberFormat="1" applyFont="1" applyFill="1" applyBorder="1" applyAlignment="1">
      <alignment vertical="center"/>
    </xf>
    <xf numFmtId="44" fontId="3" fillId="0" borderId="5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44" fontId="14" fillId="0" borderId="0" xfId="1" applyFont="1" applyAlignment="1">
      <alignment vertical="center"/>
    </xf>
    <xf numFmtId="10" fontId="14" fillId="0" borderId="0" xfId="0" applyNumberFormat="1" applyFont="1" applyAlignment="1">
      <alignment vertical="center"/>
    </xf>
    <xf numFmtId="44" fontId="17" fillId="2" borderId="5" xfId="1" applyFont="1" applyFill="1" applyBorder="1" applyAlignment="1">
      <alignment horizontal="center" vertical="center" wrapText="1"/>
    </xf>
    <xf numFmtId="44" fontId="21" fillId="2" borderId="5" xfId="1" applyFont="1" applyFill="1" applyBorder="1" applyAlignment="1">
      <alignment horizontal="left" vertical="center" wrapText="1" readingOrder="1"/>
    </xf>
    <xf numFmtId="44" fontId="14" fillId="2" borderId="0" xfId="1" applyFont="1" applyFill="1" applyAlignment="1">
      <alignment vertical="center"/>
    </xf>
    <xf numFmtId="0" fontId="29" fillId="0" borderId="1" xfId="0" applyFont="1" applyBorder="1" applyAlignment="1">
      <alignment vertical="center"/>
    </xf>
    <xf numFmtId="44" fontId="16" fillId="2" borderId="6" xfId="1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4" fontId="14" fillId="0" borderId="6" xfId="1" applyFont="1" applyBorder="1" applyAlignment="1">
      <alignment vertical="center"/>
    </xf>
    <xf numFmtId="44" fontId="14" fillId="0" borderId="12" xfId="0" applyNumberFormat="1" applyFont="1" applyBorder="1" applyAlignment="1">
      <alignment vertical="center"/>
    </xf>
    <xf numFmtId="9" fontId="14" fillId="0" borderId="6" xfId="0" applyNumberFormat="1" applyFont="1" applyBorder="1" applyAlignment="1">
      <alignment vertical="center"/>
    </xf>
    <xf numFmtId="44" fontId="14" fillId="0" borderId="12" xfId="1" applyFont="1" applyBorder="1" applyAlignment="1">
      <alignment vertical="center"/>
    </xf>
    <xf numFmtId="44" fontId="14" fillId="0" borderId="6" xfId="0" applyNumberFormat="1" applyFont="1" applyBorder="1" applyAlignment="1">
      <alignment vertical="center"/>
    </xf>
    <xf numFmtId="44" fontId="14" fillId="2" borderId="12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19" fillId="7" borderId="5" xfId="2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1" fillId="3" borderId="4" xfId="0" applyFont="1" applyFill="1" applyBorder="1" applyAlignment="1">
      <alignment horizontal="center" vertical="center" wrapText="1" readingOrder="1"/>
    </xf>
    <xf numFmtId="44" fontId="22" fillId="4" borderId="5" xfId="1" applyFont="1" applyFill="1" applyBorder="1" applyAlignment="1">
      <alignment horizontal="center" vertical="center" wrapText="1" readingOrder="1"/>
    </xf>
    <xf numFmtId="0" fontId="21" fillId="4" borderId="5" xfId="0" applyFont="1" applyFill="1" applyBorder="1" applyAlignment="1">
      <alignment horizontal="right" vertical="center" wrapText="1" readingOrder="1"/>
    </xf>
    <xf numFmtId="0" fontId="18" fillId="2" borderId="15" xfId="0" applyFont="1" applyFill="1" applyBorder="1" applyAlignment="1">
      <alignment horizontal="left" vertical="center" wrapText="1" readingOrder="1"/>
    </xf>
    <xf numFmtId="0" fontId="18" fillId="2" borderId="9" xfId="0" applyFont="1" applyFill="1" applyBorder="1" applyAlignment="1">
      <alignment horizontal="left" vertical="center" wrapText="1" readingOrder="1"/>
    </xf>
    <xf numFmtId="0" fontId="18" fillId="2" borderId="10" xfId="0" applyFont="1" applyFill="1" applyBorder="1" applyAlignment="1">
      <alignment horizontal="left" vertical="center" wrapText="1" readingOrder="1"/>
    </xf>
    <xf numFmtId="0" fontId="18" fillId="2" borderId="22" xfId="0" applyFont="1" applyFill="1" applyBorder="1" applyAlignment="1">
      <alignment horizontal="left" vertical="center" wrapText="1" readingOrder="1"/>
    </xf>
    <xf numFmtId="0" fontId="18" fillId="2" borderId="23" xfId="0" applyFont="1" applyFill="1" applyBorder="1" applyAlignment="1">
      <alignment horizontal="left" vertical="center" wrapText="1" readingOrder="1"/>
    </xf>
    <xf numFmtId="0" fontId="18" fillId="2" borderId="24" xfId="0" applyFont="1" applyFill="1" applyBorder="1" applyAlignment="1">
      <alignment horizontal="left" vertical="center" wrapText="1" readingOrder="1"/>
    </xf>
    <xf numFmtId="0" fontId="22" fillId="3" borderId="4" xfId="0" applyFont="1" applyFill="1" applyBorder="1" applyAlignment="1">
      <alignment horizontal="left" vertical="center" wrapText="1" readingOrder="1"/>
    </xf>
    <xf numFmtId="44" fontId="22" fillId="3" borderId="5" xfId="1" applyFont="1" applyFill="1" applyBorder="1" applyAlignment="1">
      <alignment horizontal="left" vertical="center" wrapText="1" readingOrder="1"/>
    </xf>
    <xf numFmtId="0" fontId="14" fillId="0" borderId="5" xfId="0" applyFont="1" applyBorder="1" applyAlignment="1">
      <alignment vertical="center" wrapText="1" readingOrder="1"/>
    </xf>
    <xf numFmtId="0" fontId="25" fillId="2" borderId="25" xfId="0" applyFont="1" applyFill="1" applyBorder="1" applyAlignment="1">
      <alignment horizontal="left" vertical="center" wrapText="1" readingOrder="1"/>
    </xf>
    <xf numFmtId="0" fontId="14" fillId="0" borderId="0" xfId="0" applyFont="1" applyBorder="1" applyAlignment="1">
      <alignment vertical="center"/>
    </xf>
    <xf numFmtId="44" fontId="4" fillId="3" borderId="9" xfId="0" applyNumberFormat="1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 wrapText="1"/>
    </xf>
    <xf numFmtId="166" fontId="4" fillId="3" borderId="9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8" fontId="5" fillId="3" borderId="10" xfId="0" applyNumberFormat="1" applyFont="1" applyFill="1" applyBorder="1" applyAlignment="1">
      <alignment horizontal="right" vertical="center" wrapText="1"/>
    </xf>
    <xf numFmtId="8" fontId="5" fillId="3" borderId="13" xfId="0" applyNumberFormat="1" applyFont="1" applyFill="1" applyBorder="1" applyAlignment="1">
      <alignment horizontal="right" vertical="center" wrapText="1"/>
    </xf>
    <xf numFmtId="8" fontId="5" fillId="3" borderId="18" xfId="0" applyNumberFormat="1" applyFont="1" applyFill="1" applyBorder="1" applyAlignment="1">
      <alignment horizontal="right" vertical="center" wrapText="1"/>
    </xf>
    <xf numFmtId="43" fontId="2" fillId="12" borderId="2" xfId="3" applyFont="1" applyFill="1" applyBorder="1" applyAlignment="1">
      <alignment horizontal="center" vertical="center" wrapText="1"/>
    </xf>
    <xf numFmtId="43" fontId="0" fillId="12" borderId="5" xfId="3" applyFont="1" applyFill="1" applyBorder="1" applyAlignment="1">
      <alignment horizontal="center" vertical="center"/>
    </xf>
    <xf numFmtId="43" fontId="0" fillId="12" borderId="7" xfId="3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43" fontId="2" fillId="2" borderId="2" xfId="3" applyFont="1" applyFill="1" applyBorder="1" applyAlignment="1">
      <alignment horizontal="center" vertical="center" wrapText="1"/>
    </xf>
    <xf numFmtId="43" fontId="0" fillId="2" borderId="5" xfId="3" applyFont="1" applyFill="1" applyBorder="1" applyAlignment="1">
      <alignment horizontal="center" vertical="center"/>
    </xf>
    <xf numFmtId="44" fontId="0" fillId="0" borderId="5" xfId="0" applyNumberFormat="1" applyFill="1" applyBorder="1" applyAlignment="1">
      <alignment vertical="center"/>
    </xf>
    <xf numFmtId="8" fontId="2" fillId="0" borderId="5" xfId="0" applyNumberFormat="1" applyFont="1" applyFill="1" applyBorder="1" applyAlignment="1">
      <alignment vertical="center"/>
    </xf>
    <xf numFmtId="44" fontId="2" fillId="0" borderId="5" xfId="0" applyNumberFormat="1" applyFont="1" applyFill="1" applyBorder="1" applyAlignment="1">
      <alignment vertical="center"/>
    </xf>
    <xf numFmtId="44" fontId="12" fillId="0" borderId="5" xfId="0" applyNumberFormat="1" applyFon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8" fontId="2" fillId="0" borderId="7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4">
    <cellStyle name="Milliers" xfId="3" builtinId="3"/>
    <cellStyle name="Monétaire" xfId="1" builtinId="4"/>
    <cellStyle name="Normal" xfId="0" builtinId="0"/>
    <cellStyle name="Normal_Fiche de paie TEPA plus 20 salariés" xfId="2" xr:uid="{D2FFD95D-0B33-4BDD-AEB6-D806BF9E5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9</xdr:row>
      <xdr:rowOff>219074</xdr:rowOff>
    </xdr:from>
    <xdr:to>
      <xdr:col>16</xdr:col>
      <xdr:colOff>266700</xdr:colOff>
      <xdr:row>18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371B6E1-1D54-4B95-9CA0-AFDD55E1FDC0}"/>
            </a:ext>
          </a:extLst>
        </xdr:cNvPr>
        <xdr:cNvSpPr txBox="1"/>
      </xdr:nvSpPr>
      <xdr:spPr>
        <a:xfrm>
          <a:off x="8458200" y="2095499"/>
          <a:ext cx="6076950" cy="1809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DONNEES</a:t>
          </a:r>
          <a:r>
            <a:rPr lang="fr-FR" sz="1400" b="1" baseline="0"/>
            <a:t> A SAISIR :</a:t>
          </a:r>
        </a:p>
        <a:p>
          <a:r>
            <a:rPr lang="fr-FR" sz="1400" b="1" baseline="0"/>
            <a:t>	Les salaires bruts</a:t>
          </a:r>
        </a:p>
        <a:p>
          <a:r>
            <a:rPr lang="fr-FR" sz="1400" b="1" baseline="0"/>
            <a:t>	Les montants mensuels de SMIC</a:t>
          </a:r>
        </a:p>
        <a:p>
          <a:endParaRPr lang="fr-FR" sz="1400" b="1" baseline="0"/>
        </a:p>
        <a:p>
          <a:r>
            <a:rPr lang="fr-FR" sz="1600" b="1" baseline="0">
              <a:solidFill>
                <a:srgbClr val="FF0000"/>
              </a:solidFill>
            </a:rPr>
            <a:t>NB : Ce tableau s'applique à des salaires cumulés ne dépassant jamais 4 plafonds mensuels soit 13 712 euros mensuels</a:t>
          </a:r>
        </a:p>
      </xdr:txBody>
    </xdr:sp>
    <xdr:clientData/>
  </xdr:twoCellAnchor>
  <xdr:twoCellAnchor>
    <xdr:from>
      <xdr:col>11</xdr:col>
      <xdr:colOff>400050</xdr:colOff>
      <xdr:row>28</xdr:row>
      <xdr:rowOff>0</xdr:rowOff>
    </xdr:from>
    <xdr:to>
      <xdr:col>16</xdr:col>
      <xdr:colOff>371475</xdr:colOff>
      <xdr:row>29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5A7B6B7-B0A4-4242-A771-454A24BC4776}"/>
            </a:ext>
          </a:extLst>
        </xdr:cNvPr>
        <xdr:cNvSpPr txBox="1"/>
      </xdr:nvSpPr>
      <xdr:spPr>
        <a:xfrm>
          <a:off x="11010900" y="5810250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45</xdr:row>
      <xdr:rowOff>0</xdr:rowOff>
    </xdr:from>
    <xdr:to>
      <xdr:col>18</xdr:col>
      <xdr:colOff>133350</xdr:colOff>
      <xdr:row>46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8BB59F6-605F-48BD-99D9-92B849A9B8D4}"/>
            </a:ext>
          </a:extLst>
        </xdr:cNvPr>
        <xdr:cNvSpPr txBox="1"/>
      </xdr:nvSpPr>
      <xdr:spPr>
        <a:xfrm>
          <a:off x="12896850" y="9363075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63</xdr:row>
      <xdr:rowOff>190500</xdr:rowOff>
    </xdr:from>
    <xdr:to>
      <xdr:col>14</xdr:col>
      <xdr:colOff>428625</xdr:colOff>
      <xdr:row>65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E29ABDD-E139-42FB-9764-D933CF9D95B4}"/>
            </a:ext>
          </a:extLst>
        </xdr:cNvPr>
        <xdr:cNvSpPr txBox="1"/>
      </xdr:nvSpPr>
      <xdr:spPr>
        <a:xfrm>
          <a:off x="9382125" y="14554200"/>
          <a:ext cx="3790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FCF4A5F-D47D-467D-A301-DF1F1B166AA3}"/>
            </a:ext>
          </a:extLst>
        </xdr:cNvPr>
        <xdr:cNvSpPr txBox="1"/>
      </xdr:nvSpPr>
      <xdr:spPr>
        <a:xfrm>
          <a:off x="9524" y="38100"/>
          <a:ext cx="9191626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E75C-F372-4DC4-BB10-B8E77AD73DA9}">
  <dimension ref="A1:L36"/>
  <sheetViews>
    <sheetView workbookViewId="0">
      <selection activeCell="L6" sqref="L6"/>
    </sheetView>
  </sheetViews>
  <sheetFormatPr baseColWidth="10" defaultRowHeight="15" x14ac:dyDescent="0.25"/>
  <cols>
    <col min="1" max="1" width="20.7109375" style="6" bestFit="1" customWidth="1"/>
    <col min="2" max="4" width="11.42578125" style="6"/>
    <col min="5" max="5" width="12.5703125" style="6" bestFit="1" customWidth="1"/>
    <col min="6" max="16384" width="11.42578125" style="6"/>
  </cols>
  <sheetData>
    <row r="1" spans="1:12" x14ac:dyDescent="0.25">
      <c r="E1" s="6" t="s">
        <v>195</v>
      </c>
      <c r="F1" s="6">
        <v>1600</v>
      </c>
      <c r="H1" s="224" t="s">
        <v>214</v>
      </c>
      <c r="I1" s="223"/>
      <c r="J1" s="223"/>
      <c r="K1" s="223"/>
      <c r="L1" s="6" t="s">
        <v>219</v>
      </c>
    </row>
    <row r="2" spans="1:12" x14ac:dyDescent="0.25">
      <c r="A2" s="6" t="s">
        <v>186</v>
      </c>
      <c r="E2" s="6" t="s">
        <v>196</v>
      </c>
      <c r="F2" s="6">
        <v>1600</v>
      </c>
      <c r="H2" s="224" t="s">
        <v>210</v>
      </c>
      <c r="I2" s="223"/>
      <c r="J2" s="223"/>
      <c r="K2" s="223"/>
      <c r="L2" s="225">
        <v>0.9</v>
      </c>
    </row>
    <row r="3" spans="1:12" x14ac:dyDescent="0.25">
      <c r="E3" s="6" t="s">
        <v>197</v>
      </c>
      <c r="F3" s="6">
        <v>1600</v>
      </c>
      <c r="H3" s="224" t="s">
        <v>215</v>
      </c>
      <c r="I3" s="223"/>
      <c r="J3" s="223"/>
      <c r="K3" s="223"/>
      <c r="L3" s="6">
        <v>7</v>
      </c>
    </row>
    <row r="4" spans="1:12" x14ac:dyDescent="0.25">
      <c r="A4" s="207">
        <v>44347</v>
      </c>
      <c r="B4" s="35">
        <v>7</v>
      </c>
      <c r="C4" s="35"/>
      <c r="H4" s="224" t="s">
        <v>216</v>
      </c>
      <c r="I4" s="223"/>
      <c r="J4" s="223"/>
      <c r="K4" s="223"/>
      <c r="L4" s="6" t="s">
        <v>194</v>
      </c>
    </row>
    <row r="5" spans="1:12" x14ac:dyDescent="0.25">
      <c r="A5" s="207">
        <v>44348</v>
      </c>
      <c r="B5" s="35">
        <v>7</v>
      </c>
      <c r="C5" s="35"/>
      <c r="H5" s="224" t="s">
        <v>217</v>
      </c>
      <c r="I5" s="223"/>
      <c r="J5" s="223"/>
      <c r="K5" s="223"/>
      <c r="L5" s="6">
        <v>14</v>
      </c>
    </row>
    <row r="6" spans="1:12" x14ac:dyDescent="0.25">
      <c r="A6" s="207">
        <v>44349</v>
      </c>
      <c r="B6" s="35">
        <v>7</v>
      </c>
      <c r="C6" s="35"/>
      <c r="H6" s="224" t="s">
        <v>218</v>
      </c>
      <c r="I6" s="223"/>
      <c r="J6" s="223"/>
      <c r="K6" s="223"/>
      <c r="L6" s="6" t="s">
        <v>220</v>
      </c>
    </row>
    <row r="7" spans="1:12" x14ac:dyDescent="0.25">
      <c r="A7" s="207">
        <v>44350</v>
      </c>
      <c r="B7" s="35">
        <v>7</v>
      </c>
      <c r="C7" s="35"/>
    </row>
    <row r="8" spans="1:12" x14ac:dyDescent="0.25">
      <c r="A8" s="207">
        <v>44351</v>
      </c>
      <c r="B8" s="35">
        <v>7</v>
      </c>
      <c r="C8" s="35"/>
    </row>
    <row r="9" spans="1:12" x14ac:dyDescent="0.25">
      <c r="A9" s="207">
        <v>44352</v>
      </c>
    </row>
    <row r="10" spans="1:12" ht="15.75" thickBot="1" x14ac:dyDescent="0.3">
      <c r="A10" s="207">
        <v>44353</v>
      </c>
      <c r="I10" s="6">
        <f>1.8*1554.58</f>
        <v>2798.2440000000001</v>
      </c>
    </row>
    <row r="11" spans="1:12" x14ac:dyDescent="0.25">
      <c r="A11" s="207">
        <v>44354</v>
      </c>
      <c r="B11" s="242" t="s">
        <v>39</v>
      </c>
      <c r="C11" s="35"/>
    </row>
    <row r="12" spans="1:12" x14ac:dyDescent="0.25">
      <c r="A12" s="207">
        <v>44355</v>
      </c>
      <c r="B12" s="243"/>
      <c r="C12" s="35"/>
    </row>
    <row r="13" spans="1:12" x14ac:dyDescent="0.25">
      <c r="A13" s="207">
        <v>44356</v>
      </c>
      <c r="B13" s="243"/>
      <c r="C13" s="35"/>
    </row>
    <row r="14" spans="1:12" x14ac:dyDescent="0.25">
      <c r="A14" s="207">
        <v>44357</v>
      </c>
      <c r="B14" s="243"/>
      <c r="C14" s="35"/>
    </row>
    <row r="15" spans="1:12" x14ac:dyDescent="0.25">
      <c r="A15" s="207">
        <v>44358</v>
      </c>
      <c r="B15" s="243"/>
      <c r="C15" s="35"/>
    </row>
    <row r="16" spans="1:12" x14ac:dyDescent="0.25">
      <c r="A16" s="207">
        <v>44359</v>
      </c>
      <c r="B16" s="243"/>
    </row>
    <row r="17" spans="1:3" x14ac:dyDescent="0.25">
      <c r="A17" s="207">
        <v>44360</v>
      </c>
      <c r="B17" s="243"/>
      <c r="C17" s="35"/>
    </row>
    <row r="18" spans="1:3" x14ac:dyDescent="0.25">
      <c r="A18" s="207">
        <v>44361</v>
      </c>
      <c r="B18" s="243"/>
      <c r="C18" s="35"/>
    </row>
    <row r="19" spans="1:3" x14ac:dyDescent="0.25">
      <c r="A19" s="207">
        <v>44362</v>
      </c>
      <c r="B19" s="243"/>
      <c r="C19" s="35"/>
    </row>
    <row r="20" spans="1:3" x14ac:dyDescent="0.25">
      <c r="A20" s="207">
        <v>44363</v>
      </c>
      <c r="B20" s="243"/>
      <c r="C20" s="35"/>
    </row>
    <row r="21" spans="1:3" x14ac:dyDescent="0.25">
      <c r="A21" s="207">
        <v>44364</v>
      </c>
      <c r="B21" s="243"/>
      <c r="C21" s="35"/>
    </row>
    <row r="22" spans="1:3" x14ac:dyDescent="0.25">
      <c r="A22" s="207">
        <v>44365</v>
      </c>
      <c r="B22" s="243"/>
    </row>
    <row r="23" spans="1:3" x14ac:dyDescent="0.25">
      <c r="A23" s="207">
        <v>44366</v>
      </c>
      <c r="B23" s="243"/>
    </row>
    <row r="24" spans="1:3" ht="15.75" thickBot="1" x14ac:dyDescent="0.3">
      <c r="A24" s="207">
        <v>44367</v>
      </c>
      <c r="B24" s="244"/>
    </row>
    <row r="25" spans="1:3" x14ac:dyDescent="0.25">
      <c r="A25" s="207">
        <v>44368</v>
      </c>
      <c r="B25" s="35">
        <v>7</v>
      </c>
      <c r="C25" s="35"/>
    </row>
    <row r="26" spans="1:3" x14ac:dyDescent="0.25">
      <c r="A26" s="207">
        <v>44369</v>
      </c>
      <c r="B26" s="35">
        <v>7</v>
      </c>
      <c r="C26" s="35"/>
    </row>
    <row r="27" spans="1:3" x14ac:dyDescent="0.25">
      <c r="A27" s="207">
        <v>44370</v>
      </c>
      <c r="B27" s="35">
        <v>7</v>
      </c>
      <c r="C27" s="35"/>
    </row>
    <row r="28" spans="1:3" x14ac:dyDescent="0.25">
      <c r="A28" s="207">
        <v>44371</v>
      </c>
      <c r="B28" s="35">
        <v>7</v>
      </c>
      <c r="C28" s="35"/>
    </row>
    <row r="29" spans="1:3" x14ac:dyDescent="0.25">
      <c r="A29" s="207">
        <v>44372</v>
      </c>
      <c r="B29" s="35">
        <v>7</v>
      </c>
      <c r="C29" s="35"/>
    </row>
    <row r="30" spans="1:3" x14ac:dyDescent="0.25">
      <c r="A30" s="207">
        <v>44373</v>
      </c>
    </row>
    <row r="31" spans="1:3" x14ac:dyDescent="0.25">
      <c r="A31" s="207">
        <v>44374</v>
      </c>
    </row>
    <row r="32" spans="1:3" x14ac:dyDescent="0.25">
      <c r="A32" s="207">
        <v>44375</v>
      </c>
      <c r="B32" s="35">
        <v>7</v>
      </c>
      <c r="C32" s="35"/>
    </row>
    <row r="33" spans="1:3" x14ac:dyDescent="0.25">
      <c r="A33" s="207">
        <v>44376</v>
      </c>
      <c r="B33" s="35">
        <v>7</v>
      </c>
      <c r="C33" s="35"/>
    </row>
    <row r="34" spans="1:3" x14ac:dyDescent="0.25">
      <c r="A34" s="207">
        <v>44377</v>
      </c>
      <c r="B34" s="35">
        <v>7</v>
      </c>
      <c r="C34" s="35"/>
    </row>
    <row r="35" spans="1:3" x14ac:dyDescent="0.25">
      <c r="A35" s="207">
        <v>44378</v>
      </c>
      <c r="B35" s="35">
        <v>7</v>
      </c>
      <c r="C35" s="35"/>
    </row>
    <row r="36" spans="1:3" x14ac:dyDescent="0.25">
      <c r="A36" s="207">
        <v>44379</v>
      </c>
      <c r="B36" s="35">
        <v>7</v>
      </c>
      <c r="C36" s="35"/>
    </row>
  </sheetData>
  <mergeCells count="1">
    <mergeCell ref="B11:B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E46AD-3674-416C-9783-9078F179C61B}">
  <sheetPr>
    <tabColor rgb="FFFF0000"/>
  </sheetPr>
  <dimension ref="A6:N96"/>
  <sheetViews>
    <sheetView workbookViewId="0">
      <selection activeCell="E20" sqref="E20"/>
    </sheetView>
  </sheetViews>
  <sheetFormatPr baseColWidth="10" defaultRowHeight="15" x14ac:dyDescent="0.25"/>
  <cols>
    <col min="1" max="1" width="21.42578125" style="6" customWidth="1"/>
    <col min="2" max="2" width="13" style="6" bestFit="1" customWidth="1"/>
    <col min="3" max="3" width="12.7109375" style="6" bestFit="1" customWidth="1"/>
    <col min="4" max="5" width="16.85546875" style="6" bestFit="1" customWidth="1"/>
    <col min="6" max="6" width="12.42578125" style="6" bestFit="1" customWidth="1"/>
    <col min="7" max="7" width="12.85546875" style="6" customWidth="1"/>
    <col min="8" max="8" width="13" style="6" bestFit="1" customWidth="1"/>
    <col min="9" max="9" width="13.7109375" style="6" customWidth="1"/>
    <col min="10" max="10" width="14.42578125" style="6" customWidth="1"/>
    <col min="11" max="11" width="11.85546875" style="6" bestFit="1" customWidth="1"/>
    <col min="12" max="12" width="11.5703125" style="6" bestFit="1" customWidth="1"/>
    <col min="13" max="16384" width="11.42578125" style="6"/>
  </cols>
  <sheetData>
    <row r="6" spans="1:8" ht="23.25" x14ac:dyDescent="0.25">
      <c r="A6" s="4" t="s">
        <v>100</v>
      </c>
      <c r="B6" s="5"/>
      <c r="C6" s="5"/>
      <c r="D6" s="5"/>
      <c r="E6" s="5"/>
      <c r="F6" s="5"/>
      <c r="G6" s="5"/>
      <c r="H6" s="5"/>
    </row>
    <row r="8" spans="1:8" ht="18.75" x14ac:dyDescent="0.25">
      <c r="A8" s="7" t="s">
        <v>101</v>
      </c>
      <c r="D8" s="8">
        <v>3428</v>
      </c>
    </row>
    <row r="9" spans="1:8" ht="15.75" thickBot="1" x14ac:dyDescent="0.3"/>
    <row r="10" spans="1:8" ht="30" x14ac:dyDescent="0.25">
      <c r="A10" s="9" t="s">
        <v>102</v>
      </c>
      <c r="B10" s="10" t="s">
        <v>98</v>
      </c>
      <c r="C10" s="10" t="s">
        <v>103</v>
      </c>
      <c r="D10" s="10" t="s">
        <v>104</v>
      </c>
      <c r="E10" s="11" t="s">
        <v>105</v>
      </c>
      <c r="F10" s="11" t="s">
        <v>106</v>
      </c>
      <c r="G10" s="11" t="s">
        <v>107</v>
      </c>
      <c r="H10" s="12" t="s">
        <v>108</v>
      </c>
    </row>
    <row r="11" spans="1:8" x14ac:dyDescent="0.25">
      <c r="A11" s="13">
        <v>43831</v>
      </c>
      <c r="B11" s="14">
        <v>2000</v>
      </c>
      <c r="C11" s="15">
        <f>B11</f>
        <v>2000</v>
      </c>
      <c r="D11" s="15">
        <f>$D$8</f>
        <v>3428</v>
      </c>
      <c r="E11" s="15">
        <f>D11</f>
        <v>3428</v>
      </c>
      <c r="F11" s="15">
        <f>MIN(C11,E11)</f>
        <v>2000</v>
      </c>
      <c r="G11" s="15">
        <f>F11</f>
        <v>2000</v>
      </c>
      <c r="H11" s="16">
        <f t="shared" ref="H11:H22" si="0">B11-G11</f>
        <v>0</v>
      </c>
    </row>
    <row r="12" spans="1:8" x14ac:dyDescent="0.25">
      <c r="A12" s="13">
        <v>43862</v>
      </c>
      <c r="B12" s="14">
        <v>2000</v>
      </c>
      <c r="C12" s="15">
        <f>C11+B12</f>
        <v>4000</v>
      </c>
      <c r="D12" s="15">
        <f t="shared" ref="D12:D22" si="1">$D$8</f>
        <v>3428</v>
      </c>
      <c r="E12" s="15">
        <f>E11+D12</f>
        <v>6856</v>
      </c>
      <c r="F12" s="17">
        <f t="shared" ref="F12:F22" si="2">MIN(C12,E12)</f>
        <v>4000</v>
      </c>
      <c r="G12" s="18">
        <f>F12-F11</f>
        <v>2000</v>
      </c>
      <c r="H12" s="16">
        <f>B12-G12</f>
        <v>0</v>
      </c>
    </row>
    <row r="13" spans="1:8" x14ac:dyDescent="0.25">
      <c r="A13" s="13">
        <v>43891</v>
      </c>
      <c r="B13" s="14">
        <v>2000</v>
      </c>
      <c r="C13" s="15">
        <f>C12+B13</f>
        <v>6000</v>
      </c>
      <c r="D13" s="15">
        <f t="shared" si="1"/>
        <v>3428</v>
      </c>
      <c r="E13" s="15">
        <f t="shared" ref="E13:E22" si="3">E12+D13</f>
        <v>10284</v>
      </c>
      <c r="F13" s="15">
        <f>MIN(C13,E13)</f>
        <v>6000</v>
      </c>
      <c r="G13" s="15">
        <f>F13-F12</f>
        <v>2000</v>
      </c>
      <c r="H13" s="16">
        <f t="shared" si="0"/>
        <v>0</v>
      </c>
    </row>
    <row r="14" spans="1:8" x14ac:dyDescent="0.25">
      <c r="A14" s="13">
        <v>43922</v>
      </c>
      <c r="B14" s="14">
        <v>2000</v>
      </c>
      <c r="C14" s="15">
        <f t="shared" ref="C14:C22" si="4">C13+B14</f>
        <v>8000</v>
      </c>
      <c r="D14" s="15">
        <f t="shared" si="1"/>
        <v>3428</v>
      </c>
      <c r="E14" s="15">
        <f t="shared" si="3"/>
        <v>13712</v>
      </c>
      <c r="F14" s="15">
        <f t="shared" si="2"/>
        <v>8000</v>
      </c>
      <c r="G14" s="15">
        <f t="shared" ref="G14:G22" si="5">F14-F13</f>
        <v>2000</v>
      </c>
      <c r="H14" s="16">
        <f t="shared" si="0"/>
        <v>0</v>
      </c>
    </row>
    <row r="15" spans="1:8" x14ac:dyDescent="0.25">
      <c r="A15" s="13">
        <v>43952</v>
      </c>
      <c r="B15" s="14">
        <v>2000</v>
      </c>
      <c r="C15" s="15">
        <f t="shared" si="4"/>
        <v>10000</v>
      </c>
      <c r="D15" s="15">
        <f t="shared" si="1"/>
        <v>3428</v>
      </c>
      <c r="E15" s="15">
        <f t="shared" si="3"/>
        <v>17140</v>
      </c>
      <c r="F15" s="15">
        <f t="shared" si="2"/>
        <v>10000</v>
      </c>
      <c r="G15" s="15">
        <f t="shared" si="5"/>
        <v>2000</v>
      </c>
      <c r="H15" s="16">
        <f t="shared" si="0"/>
        <v>0</v>
      </c>
    </row>
    <row r="16" spans="1:8" x14ac:dyDescent="0.25">
      <c r="A16" s="13">
        <v>43983</v>
      </c>
      <c r="B16" s="14">
        <v>4400</v>
      </c>
      <c r="C16" s="15">
        <f t="shared" si="4"/>
        <v>14400</v>
      </c>
      <c r="D16" s="15">
        <f t="shared" si="1"/>
        <v>3428</v>
      </c>
      <c r="E16" s="15">
        <f t="shared" si="3"/>
        <v>20568</v>
      </c>
      <c r="F16" s="15">
        <f t="shared" si="2"/>
        <v>14400</v>
      </c>
      <c r="G16" s="15">
        <f t="shared" si="5"/>
        <v>4400</v>
      </c>
      <c r="H16" s="16">
        <f t="shared" si="0"/>
        <v>0</v>
      </c>
    </row>
    <row r="17" spans="1:11" x14ac:dyDescent="0.25">
      <c r="A17" s="13">
        <v>44013</v>
      </c>
      <c r="B17" s="14"/>
      <c r="C17" s="15">
        <f t="shared" si="4"/>
        <v>14400</v>
      </c>
      <c r="D17" s="15">
        <f t="shared" si="1"/>
        <v>3428</v>
      </c>
      <c r="E17" s="15">
        <f t="shared" si="3"/>
        <v>23996</v>
      </c>
      <c r="F17" s="15">
        <f t="shared" si="2"/>
        <v>14400</v>
      </c>
      <c r="G17" s="15">
        <f t="shared" si="5"/>
        <v>0</v>
      </c>
      <c r="H17" s="16">
        <f t="shared" si="0"/>
        <v>0</v>
      </c>
    </row>
    <row r="18" spans="1:11" x14ac:dyDescent="0.25">
      <c r="A18" s="13">
        <v>44044</v>
      </c>
      <c r="B18" s="14"/>
      <c r="C18" s="15">
        <f t="shared" si="4"/>
        <v>14400</v>
      </c>
      <c r="D18" s="15">
        <f t="shared" si="1"/>
        <v>3428</v>
      </c>
      <c r="E18" s="15">
        <f t="shared" si="3"/>
        <v>27424</v>
      </c>
      <c r="F18" s="15">
        <f t="shared" si="2"/>
        <v>14400</v>
      </c>
      <c r="G18" s="15">
        <f t="shared" si="5"/>
        <v>0</v>
      </c>
      <c r="H18" s="16">
        <f t="shared" si="0"/>
        <v>0</v>
      </c>
    </row>
    <row r="19" spans="1:11" x14ac:dyDescent="0.25">
      <c r="A19" s="13">
        <v>44075</v>
      </c>
      <c r="B19" s="14"/>
      <c r="C19" s="15">
        <f t="shared" si="4"/>
        <v>14400</v>
      </c>
      <c r="D19" s="15">
        <f t="shared" si="1"/>
        <v>3428</v>
      </c>
      <c r="E19" s="15">
        <f t="shared" si="3"/>
        <v>30852</v>
      </c>
      <c r="F19" s="15">
        <f t="shared" si="2"/>
        <v>14400</v>
      </c>
      <c r="G19" s="15">
        <f t="shared" si="5"/>
        <v>0</v>
      </c>
      <c r="H19" s="16">
        <f t="shared" si="0"/>
        <v>0</v>
      </c>
    </row>
    <row r="20" spans="1:11" x14ac:dyDescent="0.25">
      <c r="A20" s="13">
        <v>44105</v>
      </c>
      <c r="B20" s="14"/>
      <c r="C20" s="15">
        <f t="shared" si="4"/>
        <v>14400</v>
      </c>
      <c r="D20" s="15">
        <f t="shared" si="1"/>
        <v>3428</v>
      </c>
      <c r="E20" s="15">
        <f t="shared" si="3"/>
        <v>34280</v>
      </c>
      <c r="F20" s="15">
        <f t="shared" si="2"/>
        <v>14400</v>
      </c>
      <c r="G20" s="15">
        <f t="shared" si="5"/>
        <v>0</v>
      </c>
      <c r="H20" s="16">
        <f t="shared" si="0"/>
        <v>0</v>
      </c>
    </row>
    <row r="21" spans="1:11" x14ac:dyDescent="0.25">
      <c r="A21" s="13">
        <v>44136</v>
      </c>
      <c r="B21" s="14"/>
      <c r="C21" s="15">
        <f t="shared" si="4"/>
        <v>14400</v>
      </c>
      <c r="D21" s="15">
        <f t="shared" si="1"/>
        <v>3428</v>
      </c>
      <c r="E21" s="15">
        <f t="shared" si="3"/>
        <v>37708</v>
      </c>
      <c r="F21" s="15">
        <f t="shared" si="2"/>
        <v>14400</v>
      </c>
      <c r="G21" s="15">
        <f t="shared" si="5"/>
        <v>0</v>
      </c>
      <c r="H21" s="16">
        <f t="shared" si="0"/>
        <v>0</v>
      </c>
    </row>
    <row r="22" spans="1:11" ht="15.75" thickBot="1" x14ac:dyDescent="0.3">
      <c r="A22" s="19">
        <v>44166</v>
      </c>
      <c r="B22" s="20"/>
      <c r="C22" s="21">
        <f t="shared" si="4"/>
        <v>14400</v>
      </c>
      <c r="D22" s="21">
        <f t="shared" si="1"/>
        <v>3428</v>
      </c>
      <c r="E22" s="21">
        <f t="shared" si="3"/>
        <v>41136</v>
      </c>
      <c r="F22" s="21">
        <f t="shared" si="2"/>
        <v>14400</v>
      </c>
      <c r="G22" s="21">
        <f t="shared" si="5"/>
        <v>0</v>
      </c>
      <c r="H22" s="22">
        <f t="shared" si="0"/>
        <v>0</v>
      </c>
    </row>
    <row r="23" spans="1:11" x14ac:dyDescent="0.25">
      <c r="A23" s="23"/>
      <c r="B23" s="24"/>
      <c r="C23" s="25"/>
      <c r="D23" s="25"/>
      <c r="E23" s="25"/>
      <c r="F23" s="25"/>
      <c r="G23" s="25"/>
      <c r="H23" s="25"/>
    </row>
    <row r="24" spans="1:11" x14ac:dyDescent="0.25">
      <c r="A24" s="23"/>
      <c r="B24" s="24"/>
      <c r="C24" s="25"/>
      <c r="D24" s="25"/>
      <c r="E24" s="25"/>
      <c r="F24" s="25"/>
      <c r="G24" s="25"/>
      <c r="H24" s="25"/>
    </row>
    <row r="26" spans="1:11" ht="23.25" x14ac:dyDescent="0.25">
      <c r="A26" s="26" t="s">
        <v>109</v>
      </c>
      <c r="B26" s="5"/>
      <c r="C26" s="5"/>
      <c r="D26" s="5"/>
      <c r="E26" s="5"/>
      <c r="F26" s="5"/>
      <c r="G26" s="5"/>
      <c r="H26" s="5"/>
    </row>
    <row r="28" spans="1:11" ht="15.75" thickBot="1" x14ac:dyDescent="0.3"/>
    <row r="29" spans="1:11" ht="45" x14ac:dyDescent="0.25">
      <c r="A29" s="27"/>
      <c r="B29" s="28" t="s">
        <v>98</v>
      </c>
      <c r="C29" s="28" t="s">
        <v>103</v>
      </c>
      <c r="D29" s="29" t="s">
        <v>176</v>
      </c>
      <c r="E29" s="29" t="s">
        <v>110</v>
      </c>
      <c r="F29" s="29" t="s">
        <v>111</v>
      </c>
      <c r="G29" s="29" t="s">
        <v>112</v>
      </c>
      <c r="H29" s="11" t="s">
        <v>177</v>
      </c>
      <c r="I29" s="29" t="s">
        <v>178</v>
      </c>
      <c r="J29" s="30" t="s">
        <v>113</v>
      </c>
      <c r="K29" s="31" t="s">
        <v>114</v>
      </c>
    </row>
    <row r="30" spans="1:11" x14ac:dyDescent="0.25">
      <c r="A30" s="32" t="s">
        <v>115</v>
      </c>
      <c r="B30" s="39"/>
      <c r="C30" s="39">
        <f>B30</f>
        <v>0</v>
      </c>
      <c r="D30" s="41">
        <f>+B30</f>
        <v>0</v>
      </c>
      <c r="E30" s="39">
        <v>1554.58</v>
      </c>
      <c r="F30" s="39">
        <f t="shared" ref="F30:F41" si="6">2.5*E30</f>
        <v>3886.45</v>
      </c>
      <c r="G30" s="39">
        <f>F30</f>
        <v>3886.45</v>
      </c>
      <c r="H30" s="78" t="str">
        <f t="shared" ref="H30:H32" si="7">IF(C30&gt;G30,"OUI","")</f>
        <v/>
      </c>
      <c r="I30" s="40">
        <f>IF(H30="OUI",C30,0)</f>
        <v>0</v>
      </c>
      <c r="J30" s="41">
        <f>I30</f>
        <v>0</v>
      </c>
      <c r="K30" s="34">
        <f>(D30*7%)+(J30*6%)</f>
        <v>0</v>
      </c>
    </row>
    <row r="31" spans="1:11" x14ac:dyDescent="0.25">
      <c r="A31" s="32" t="s">
        <v>116</v>
      </c>
      <c r="B31" s="39"/>
      <c r="C31" s="39">
        <f>C30+B31</f>
        <v>0</v>
      </c>
      <c r="D31" s="41">
        <f t="shared" ref="D31:D41" si="8">B31</f>
        <v>0</v>
      </c>
      <c r="E31" s="39">
        <v>1554.58</v>
      </c>
      <c r="F31" s="39">
        <f t="shared" si="6"/>
        <v>3886.45</v>
      </c>
      <c r="G31" s="39">
        <f t="shared" ref="G31:G41" si="9">G30+F31</f>
        <v>7772.9</v>
      </c>
      <c r="H31" s="78" t="str">
        <f>IF(C31&gt;G31,"OUI","")</f>
        <v/>
      </c>
      <c r="I31" s="40">
        <f>IF(H31="OUI",C31,0)</f>
        <v>0</v>
      </c>
      <c r="J31" s="41">
        <f t="shared" ref="J31:J41" si="10">I31-I30</f>
        <v>0</v>
      </c>
      <c r="K31" s="34">
        <f t="shared" ref="K31:K33" si="11">(D31*7%)+(J31*6%)</f>
        <v>0</v>
      </c>
    </row>
    <row r="32" spans="1:11" x14ac:dyDescent="0.25">
      <c r="A32" s="32" t="s">
        <v>117</v>
      </c>
      <c r="B32" s="39"/>
      <c r="C32" s="39">
        <f>C31+B32</f>
        <v>0</v>
      </c>
      <c r="D32" s="41">
        <f t="shared" si="8"/>
        <v>0</v>
      </c>
      <c r="E32" s="39">
        <v>1554.58</v>
      </c>
      <c r="F32" s="39">
        <f t="shared" si="6"/>
        <v>3886.45</v>
      </c>
      <c r="G32" s="39">
        <f t="shared" si="9"/>
        <v>11659.349999999999</v>
      </c>
      <c r="H32" s="78" t="str">
        <f t="shared" si="7"/>
        <v/>
      </c>
      <c r="I32" s="40">
        <f t="shared" ref="I32:I41" si="12">IF(H32="OUI",C32,0)</f>
        <v>0</v>
      </c>
      <c r="J32" s="41">
        <f t="shared" si="10"/>
        <v>0</v>
      </c>
      <c r="K32" s="34">
        <f t="shared" si="11"/>
        <v>0</v>
      </c>
    </row>
    <row r="33" spans="1:14" x14ac:dyDescent="0.25">
      <c r="A33" s="32" t="s">
        <v>118</v>
      </c>
      <c r="B33" s="39"/>
      <c r="C33" s="39">
        <f>C32+B33</f>
        <v>0</v>
      </c>
      <c r="D33" s="41">
        <f t="shared" si="8"/>
        <v>0</v>
      </c>
      <c r="E33" s="39">
        <v>1554.58</v>
      </c>
      <c r="F33" s="39">
        <f t="shared" si="6"/>
        <v>3886.45</v>
      </c>
      <c r="G33" s="39">
        <f t="shared" si="9"/>
        <v>15545.8</v>
      </c>
      <c r="H33" s="78" t="str">
        <f t="shared" ref="H33:H41" si="13">IF(C33&gt;G33,"OUI","")</f>
        <v/>
      </c>
      <c r="I33" s="40">
        <f t="shared" si="12"/>
        <v>0</v>
      </c>
      <c r="J33" s="41">
        <f t="shared" si="10"/>
        <v>0</v>
      </c>
      <c r="K33" s="34">
        <f t="shared" si="11"/>
        <v>0</v>
      </c>
    </row>
    <row r="34" spans="1:14" x14ac:dyDescent="0.25">
      <c r="A34" s="32" t="s">
        <v>119</v>
      </c>
      <c r="B34" s="39"/>
      <c r="C34" s="39">
        <f>C33+B34</f>
        <v>0</v>
      </c>
      <c r="D34" s="41">
        <f t="shared" si="8"/>
        <v>0</v>
      </c>
      <c r="E34" s="39">
        <v>1554.58</v>
      </c>
      <c r="F34" s="39">
        <f t="shared" si="6"/>
        <v>3886.45</v>
      </c>
      <c r="G34" s="39">
        <f t="shared" si="9"/>
        <v>19432.25</v>
      </c>
      <c r="H34" s="78" t="str">
        <f t="shared" si="13"/>
        <v/>
      </c>
      <c r="I34" s="40">
        <f t="shared" si="12"/>
        <v>0</v>
      </c>
      <c r="J34" s="41">
        <f t="shared" si="10"/>
        <v>0</v>
      </c>
      <c r="K34" s="34">
        <f>(J34*6%)+(D34*7%)</f>
        <v>0</v>
      </c>
    </row>
    <row r="35" spans="1:14" x14ac:dyDescent="0.25">
      <c r="A35" s="32" t="s">
        <v>120</v>
      </c>
      <c r="B35" s="39"/>
      <c r="C35" s="39">
        <f t="shared" ref="C35:C39" si="14">C34+B35</f>
        <v>0</v>
      </c>
      <c r="D35" s="41">
        <f t="shared" si="8"/>
        <v>0</v>
      </c>
      <c r="E35" s="39">
        <v>1554.58</v>
      </c>
      <c r="F35" s="39">
        <f t="shared" si="6"/>
        <v>3886.45</v>
      </c>
      <c r="G35" s="39">
        <f t="shared" si="9"/>
        <v>23318.7</v>
      </c>
      <c r="H35" s="78" t="str">
        <f t="shared" si="13"/>
        <v/>
      </c>
      <c r="I35" s="40">
        <f t="shared" si="12"/>
        <v>0</v>
      </c>
      <c r="J35" s="41">
        <f t="shared" si="10"/>
        <v>0</v>
      </c>
      <c r="K35" s="34">
        <f>(J35*6%)+(D35*7%)</f>
        <v>0</v>
      </c>
      <c r="N35" s="35"/>
    </row>
    <row r="36" spans="1:14" x14ac:dyDescent="0.25">
      <c r="A36" s="32" t="s">
        <v>121</v>
      </c>
      <c r="B36" s="39"/>
      <c r="C36" s="39">
        <f t="shared" si="14"/>
        <v>0</v>
      </c>
      <c r="D36" s="41">
        <f t="shared" si="8"/>
        <v>0</v>
      </c>
      <c r="E36" s="39">
        <v>1554.58</v>
      </c>
      <c r="F36" s="39">
        <f t="shared" si="6"/>
        <v>3886.45</v>
      </c>
      <c r="G36" s="39">
        <f t="shared" si="9"/>
        <v>27205.15</v>
      </c>
      <c r="H36" s="78" t="str">
        <f t="shared" si="13"/>
        <v/>
      </c>
      <c r="I36" s="40">
        <f t="shared" si="12"/>
        <v>0</v>
      </c>
      <c r="J36" s="41">
        <f t="shared" si="10"/>
        <v>0</v>
      </c>
      <c r="K36" s="34">
        <f t="shared" ref="K36:K40" si="15">(J36*6%)+(D36*7%)</f>
        <v>0</v>
      </c>
      <c r="N36" s="35"/>
    </row>
    <row r="37" spans="1:14" x14ac:dyDescent="0.25">
      <c r="A37" s="32" t="s">
        <v>122</v>
      </c>
      <c r="B37" s="39"/>
      <c r="C37" s="39">
        <f t="shared" si="14"/>
        <v>0</v>
      </c>
      <c r="D37" s="41">
        <f t="shared" si="8"/>
        <v>0</v>
      </c>
      <c r="E37" s="39">
        <v>1554.58</v>
      </c>
      <c r="F37" s="39">
        <f t="shared" si="6"/>
        <v>3886.45</v>
      </c>
      <c r="G37" s="39">
        <f t="shared" si="9"/>
        <v>31091.600000000002</v>
      </c>
      <c r="H37" s="78" t="str">
        <f t="shared" si="13"/>
        <v/>
      </c>
      <c r="I37" s="40">
        <f t="shared" si="12"/>
        <v>0</v>
      </c>
      <c r="J37" s="41">
        <f t="shared" si="10"/>
        <v>0</v>
      </c>
      <c r="K37" s="34">
        <f t="shared" si="15"/>
        <v>0</v>
      </c>
      <c r="N37" s="35"/>
    </row>
    <row r="38" spans="1:14" x14ac:dyDescent="0.25">
      <c r="A38" s="32" t="s">
        <v>123</v>
      </c>
      <c r="B38" s="39"/>
      <c r="C38" s="39">
        <f t="shared" si="14"/>
        <v>0</v>
      </c>
      <c r="D38" s="41">
        <f t="shared" si="8"/>
        <v>0</v>
      </c>
      <c r="E38" s="39">
        <v>1554.58</v>
      </c>
      <c r="F38" s="39">
        <f t="shared" si="6"/>
        <v>3886.45</v>
      </c>
      <c r="G38" s="39">
        <f t="shared" si="9"/>
        <v>34978.050000000003</v>
      </c>
      <c r="H38" s="78" t="str">
        <f t="shared" si="13"/>
        <v/>
      </c>
      <c r="I38" s="40">
        <f t="shared" si="12"/>
        <v>0</v>
      </c>
      <c r="J38" s="41">
        <f t="shared" si="10"/>
        <v>0</v>
      </c>
      <c r="K38" s="34">
        <f t="shared" si="15"/>
        <v>0</v>
      </c>
      <c r="N38" s="35"/>
    </row>
    <row r="39" spans="1:14" x14ac:dyDescent="0.25">
      <c r="A39" s="32" t="s">
        <v>124</v>
      </c>
      <c r="B39" s="39"/>
      <c r="C39" s="39">
        <f t="shared" si="14"/>
        <v>0</v>
      </c>
      <c r="D39" s="41">
        <f t="shared" si="8"/>
        <v>0</v>
      </c>
      <c r="E39" s="39">
        <v>1554.58</v>
      </c>
      <c r="F39" s="39">
        <f t="shared" si="6"/>
        <v>3886.45</v>
      </c>
      <c r="G39" s="39">
        <f t="shared" si="9"/>
        <v>38864.5</v>
      </c>
      <c r="H39" s="78" t="str">
        <f t="shared" si="13"/>
        <v/>
      </c>
      <c r="I39" s="40">
        <f t="shared" si="12"/>
        <v>0</v>
      </c>
      <c r="J39" s="41">
        <f t="shared" si="10"/>
        <v>0</v>
      </c>
      <c r="K39" s="34">
        <f t="shared" si="15"/>
        <v>0</v>
      </c>
      <c r="N39" s="35"/>
    </row>
    <row r="40" spans="1:14" x14ac:dyDescent="0.25">
      <c r="A40" s="32" t="s">
        <v>125</v>
      </c>
      <c r="B40" s="39"/>
      <c r="C40" s="39">
        <f>C39+B40</f>
        <v>0</v>
      </c>
      <c r="D40" s="41">
        <f t="shared" si="8"/>
        <v>0</v>
      </c>
      <c r="E40" s="39">
        <v>1554.58</v>
      </c>
      <c r="F40" s="39">
        <f t="shared" si="6"/>
        <v>3886.45</v>
      </c>
      <c r="G40" s="39">
        <f t="shared" si="9"/>
        <v>42750.95</v>
      </c>
      <c r="H40" s="78" t="str">
        <f t="shared" si="13"/>
        <v/>
      </c>
      <c r="I40" s="40">
        <f t="shared" si="12"/>
        <v>0</v>
      </c>
      <c r="J40" s="41">
        <f t="shared" si="10"/>
        <v>0</v>
      </c>
      <c r="K40" s="34">
        <f t="shared" si="15"/>
        <v>0</v>
      </c>
    </row>
    <row r="41" spans="1:14" ht="15.75" thickBot="1" x14ac:dyDescent="0.3">
      <c r="A41" s="36" t="s">
        <v>126</v>
      </c>
      <c r="B41" s="42"/>
      <c r="C41" s="42">
        <f t="shared" ref="C41" si="16">C40+B41</f>
        <v>0</v>
      </c>
      <c r="D41" s="44">
        <f t="shared" si="8"/>
        <v>0</v>
      </c>
      <c r="E41" s="42">
        <v>1554.58</v>
      </c>
      <c r="F41" s="42">
        <f t="shared" si="6"/>
        <v>3886.45</v>
      </c>
      <c r="G41" s="42">
        <f t="shared" si="9"/>
        <v>46637.399999999994</v>
      </c>
      <c r="H41" s="79" t="str">
        <f t="shared" si="13"/>
        <v/>
      </c>
      <c r="I41" s="43">
        <f t="shared" si="12"/>
        <v>0</v>
      </c>
      <c r="J41" s="44">
        <f t="shared" si="10"/>
        <v>0</v>
      </c>
      <c r="K41" s="37">
        <f>(J41*6%)+(D41*7%)</f>
        <v>0</v>
      </c>
    </row>
    <row r="43" spans="1:14" ht="23.25" x14ac:dyDescent="0.25">
      <c r="A43" s="26" t="s">
        <v>127</v>
      </c>
      <c r="B43" s="5"/>
      <c r="C43" s="5"/>
      <c r="D43" s="5"/>
      <c r="E43" s="5"/>
      <c r="F43" s="5"/>
      <c r="G43" s="5"/>
      <c r="H43" s="5"/>
    </row>
    <row r="45" spans="1:14" ht="15.75" thickBot="1" x14ac:dyDescent="0.3"/>
    <row r="46" spans="1:14" s="38" customFormat="1" ht="45" x14ac:dyDescent="0.25">
      <c r="A46" s="27"/>
      <c r="B46" s="28" t="s">
        <v>98</v>
      </c>
      <c r="C46" s="28" t="s">
        <v>103</v>
      </c>
      <c r="D46" s="29" t="s">
        <v>175</v>
      </c>
      <c r="E46" s="29" t="s">
        <v>110</v>
      </c>
      <c r="F46" s="29" t="s">
        <v>128</v>
      </c>
      <c r="G46" s="29" t="s">
        <v>129</v>
      </c>
      <c r="H46" s="11" t="s">
        <v>179</v>
      </c>
      <c r="I46" s="29" t="s">
        <v>180</v>
      </c>
      <c r="J46" s="30" t="s">
        <v>130</v>
      </c>
      <c r="K46" s="31" t="s">
        <v>114</v>
      </c>
    </row>
    <row r="47" spans="1:14" ht="21.75" customHeight="1" x14ac:dyDescent="0.25">
      <c r="A47" s="32" t="s">
        <v>115</v>
      </c>
      <c r="B47" s="39">
        <v>4998</v>
      </c>
      <c r="C47" s="39">
        <f>B47</f>
        <v>4998</v>
      </c>
      <c r="D47" s="41">
        <f>+B47</f>
        <v>4998</v>
      </c>
      <c r="E47" s="39">
        <v>1554.58</v>
      </c>
      <c r="F47" s="39">
        <f>3.5*E47</f>
        <v>5441.03</v>
      </c>
      <c r="G47" s="39">
        <f>F47</f>
        <v>5441.03</v>
      </c>
      <c r="H47" s="78" t="str">
        <f>IF(C47&gt;G47,"OUI","")</f>
        <v/>
      </c>
      <c r="I47" s="40">
        <f>IF(H47="OUI",C47,0)</f>
        <v>0</v>
      </c>
      <c r="J47" s="41">
        <f>I47</f>
        <v>0</v>
      </c>
      <c r="K47" s="34">
        <f>(D47*7%)+(J47*6%)</f>
        <v>349.86</v>
      </c>
    </row>
    <row r="48" spans="1:14" ht="21.75" customHeight="1" x14ac:dyDescent="0.25">
      <c r="A48" s="32" t="s">
        <v>116</v>
      </c>
      <c r="B48" s="39">
        <v>4998</v>
      </c>
      <c r="C48" s="39">
        <f>C47+B48</f>
        <v>9996</v>
      </c>
      <c r="D48" s="41">
        <f t="shared" ref="D48:D58" si="17">B48</f>
        <v>4998</v>
      </c>
      <c r="E48" s="39">
        <v>1554.58</v>
      </c>
      <c r="F48" s="39">
        <f t="shared" ref="F48:F58" si="18">3.5*E48</f>
        <v>5441.03</v>
      </c>
      <c r="G48" s="39">
        <f t="shared" ref="G48:G58" si="19">G47+F48</f>
        <v>10882.06</v>
      </c>
      <c r="H48" s="78" t="str">
        <f>IF(C48&gt;G48,"OUI","")</f>
        <v/>
      </c>
      <c r="I48" s="40">
        <f>IF(H48="OUI",C48,0)</f>
        <v>0</v>
      </c>
      <c r="J48" s="41">
        <f>I48-I47</f>
        <v>0</v>
      </c>
      <c r="K48" s="34">
        <f t="shared" ref="K48:K50" si="20">(D48*7%)+(J48*6%)</f>
        <v>349.86</v>
      </c>
    </row>
    <row r="49" spans="1:11" ht="21.75" customHeight="1" x14ac:dyDescent="0.25">
      <c r="A49" s="32" t="s">
        <v>117</v>
      </c>
      <c r="B49" s="39">
        <v>4998</v>
      </c>
      <c r="C49" s="39">
        <f t="shared" ref="C49:C58" si="21">C48+B49</f>
        <v>14994</v>
      </c>
      <c r="D49" s="41">
        <f t="shared" si="17"/>
        <v>4998</v>
      </c>
      <c r="E49" s="39">
        <v>1554.58</v>
      </c>
      <c r="F49" s="39">
        <f t="shared" si="18"/>
        <v>5441.03</v>
      </c>
      <c r="G49" s="39">
        <f t="shared" si="19"/>
        <v>16323.09</v>
      </c>
      <c r="H49" s="78" t="str">
        <f>IF(C49&gt;G49,"OUI","")</f>
        <v/>
      </c>
      <c r="I49" s="40">
        <f t="shared" ref="I49:I58" si="22">IF(H49="OUI",C49,0)</f>
        <v>0</v>
      </c>
      <c r="J49" s="41">
        <f t="shared" ref="J49:J58" si="23">I49-I48</f>
        <v>0</v>
      </c>
      <c r="K49" s="34">
        <f t="shared" si="20"/>
        <v>349.86</v>
      </c>
    </row>
    <row r="50" spans="1:11" ht="21.75" customHeight="1" x14ac:dyDescent="0.25">
      <c r="A50" s="32" t="s">
        <v>118</v>
      </c>
      <c r="B50" s="39">
        <v>4998</v>
      </c>
      <c r="C50" s="39">
        <f t="shared" si="21"/>
        <v>19992</v>
      </c>
      <c r="D50" s="41">
        <f t="shared" si="17"/>
        <v>4998</v>
      </c>
      <c r="E50" s="39">
        <v>1554.58</v>
      </c>
      <c r="F50" s="39">
        <f t="shared" si="18"/>
        <v>5441.03</v>
      </c>
      <c r="G50" s="39">
        <f t="shared" si="19"/>
        <v>21764.12</v>
      </c>
      <c r="H50" s="78" t="str">
        <f>IF(C50&gt;G50,"OUI","")</f>
        <v/>
      </c>
      <c r="I50" s="40">
        <f t="shared" si="22"/>
        <v>0</v>
      </c>
      <c r="J50" s="41">
        <f t="shared" si="23"/>
        <v>0</v>
      </c>
      <c r="K50" s="34">
        <f t="shared" si="20"/>
        <v>349.86</v>
      </c>
    </row>
    <row r="51" spans="1:11" ht="21.75" customHeight="1" x14ac:dyDescent="0.25">
      <c r="A51" s="32" t="s">
        <v>119</v>
      </c>
      <c r="B51" s="39">
        <v>4998</v>
      </c>
      <c r="C51" s="39">
        <f t="shared" si="21"/>
        <v>24990</v>
      </c>
      <c r="D51" s="41">
        <f t="shared" si="17"/>
        <v>4998</v>
      </c>
      <c r="E51" s="39">
        <v>1554.58</v>
      </c>
      <c r="F51" s="39">
        <f t="shared" si="18"/>
        <v>5441.03</v>
      </c>
      <c r="G51" s="39">
        <f t="shared" si="19"/>
        <v>27205.149999999998</v>
      </c>
      <c r="H51" s="78" t="str">
        <f t="shared" ref="H51:H58" si="24">IF(C51&gt;G51,"OUI","")</f>
        <v/>
      </c>
      <c r="I51" s="40">
        <f>IF(H51="OUI",C51,0)</f>
        <v>0</v>
      </c>
      <c r="J51" s="41">
        <f>I51-I50</f>
        <v>0</v>
      </c>
      <c r="K51" s="34">
        <f>(J51*6%)+(D51*7%)</f>
        <v>349.86</v>
      </c>
    </row>
    <row r="52" spans="1:11" ht="21.75" customHeight="1" x14ac:dyDescent="0.25">
      <c r="A52" s="32" t="s">
        <v>120</v>
      </c>
      <c r="B52" s="39">
        <v>10000</v>
      </c>
      <c r="C52" s="39">
        <f t="shared" si="21"/>
        <v>34990</v>
      </c>
      <c r="D52" s="41">
        <f t="shared" si="17"/>
        <v>10000</v>
      </c>
      <c r="E52" s="39">
        <v>1554.58</v>
      </c>
      <c r="F52" s="39">
        <f t="shared" si="18"/>
        <v>5441.03</v>
      </c>
      <c r="G52" s="39">
        <f t="shared" si="19"/>
        <v>32646.179999999997</v>
      </c>
      <c r="H52" s="78" t="str">
        <f t="shared" si="24"/>
        <v>OUI</v>
      </c>
      <c r="I52" s="40">
        <f t="shared" si="22"/>
        <v>34990</v>
      </c>
      <c r="J52" s="41">
        <f t="shared" si="23"/>
        <v>34990</v>
      </c>
      <c r="K52" s="34">
        <f>(J52*6%)+(D52*7%)</f>
        <v>2799.4</v>
      </c>
    </row>
    <row r="53" spans="1:11" ht="21.75" customHeight="1" x14ac:dyDescent="0.25">
      <c r="A53" s="32" t="s">
        <v>121</v>
      </c>
      <c r="B53" s="39"/>
      <c r="C53" s="39">
        <f t="shared" si="21"/>
        <v>34990</v>
      </c>
      <c r="D53" s="41">
        <f t="shared" si="17"/>
        <v>0</v>
      </c>
      <c r="E53" s="39">
        <v>1554.58</v>
      </c>
      <c r="F53" s="39">
        <f t="shared" si="18"/>
        <v>5441.03</v>
      </c>
      <c r="G53" s="39">
        <f t="shared" si="19"/>
        <v>38087.21</v>
      </c>
      <c r="H53" s="78" t="str">
        <f t="shared" si="24"/>
        <v/>
      </c>
      <c r="I53" s="40">
        <f t="shared" si="22"/>
        <v>0</v>
      </c>
      <c r="J53" s="41">
        <f t="shared" si="23"/>
        <v>-34990</v>
      </c>
      <c r="K53" s="34">
        <f t="shared" ref="K53:K57" si="25">(J53*6%)+(D53*7%)</f>
        <v>-2099.4</v>
      </c>
    </row>
    <row r="54" spans="1:11" ht="21.75" customHeight="1" x14ac:dyDescent="0.25">
      <c r="A54" s="32" t="s">
        <v>122</v>
      </c>
      <c r="B54" s="39"/>
      <c r="C54" s="39">
        <f t="shared" si="21"/>
        <v>34990</v>
      </c>
      <c r="D54" s="41">
        <f t="shared" si="17"/>
        <v>0</v>
      </c>
      <c r="E54" s="39">
        <v>1554.58</v>
      </c>
      <c r="F54" s="39">
        <f t="shared" si="18"/>
        <v>5441.03</v>
      </c>
      <c r="G54" s="39">
        <f t="shared" si="19"/>
        <v>43528.24</v>
      </c>
      <c r="H54" s="78" t="str">
        <f t="shared" si="24"/>
        <v/>
      </c>
      <c r="I54" s="40">
        <f t="shared" si="22"/>
        <v>0</v>
      </c>
      <c r="J54" s="41">
        <f t="shared" si="23"/>
        <v>0</v>
      </c>
      <c r="K54" s="34">
        <f t="shared" si="25"/>
        <v>0</v>
      </c>
    </row>
    <row r="55" spans="1:11" ht="21.75" customHeight="1" x14ac:dyDescent="0.25">
      <c r="A55" s="32" t="s">
        <v>123</v>
      </c>
      <c r="B55" s="39"/>
      <c r="C55" s="39">
        <f t="shared" si="21"/>
        <v>34990</v>
      </c>
      <c r="D55" s="41">
        <f t="shared" si="17"/>
        <v>0</v>
      </c>
      <c r="E55" s="39">
        <v>1554.58</v>
      </c>
      <c r="F55" s="39">
        <f t="shared" si="18"/>
        <v>5441.03</v>
      </c>
      <c r="G55" s="39">
        <f t="shared" si="19"/>
        <v>48969.27</v>
      </c>
      <c r="H55" s="78" t="str">
        <f t="shared" si="24"/>
        <v/>
      </c>
      <c r="I55" s="40">
        <f t="shared" si="22"/>
        <v>0</v>
      </c>
      <c r="J55" s="41">
        <f t="shared" si="23"/>
        <v>0</v>
      </c>
      <c r="K55" s="34">
        <f t="shared" si="25"/>
        <v>0</v>
      </c>
    </row>
    <row r="56" spans="1:11" ht="21.75" customHeight="1" x14ac:dyDescent="0.25">
      <c r="A56" s="32" t="s">
        <v>124</v>
      </c>
      <c r="B56" s="39"/>
      <c r="C56" s="39">
        <f t="shared" si="21"/>
        <v>34990</v>
      </c>
      <c r="D56" s="41">
        <f t="shared" si="17"/>
        <v>0</v>
      </c>
      <c r="E56" s="39">
        <v>1554.58</v>
      </c>
      <c r="F56" s="39">
        <f t="shared" si="18"/>
        <v>5441.03</v>
      </c>
      <c r="G56" s="39">
        <f t="shared" si="19"/>
        <v>54410.299999999996</v>
      </c>
      <c r="H56" s="78" t="str">
        <f t="shared" si="24"/>
        <v/>
      </c>
      <c r="I56" s="40">
        <f t="shared" si="22"/>
        <v>0</v>
      </c>
      <c r="J56" s="41">
        <f t="shared" si="23"/>
        <v>0</v>
      </c>
      <c r="K56" s="34">
        <f t="shared" si="25"/>
        <v>0</v>
      </c>
    </row>
    <row r="57" spans="1:11" ht="21.75" customHeight="1" x14ac:dyDescent="0.25">
      <c r="A57" s="32" t="s">
        <v>125</v>
      </c>
      <c r="B57" s="39"/>
      <c r="C57" s="39">
        <f t="shared" si="21"/>
        <v>34990</v>
      </c>
      <c r="D57" s="41">
        <f t="shared" si="17"/>
        <v>0</v>
      </c>
      <c r="E57" s="39">
        <v>1554.58</v>
      </c>
      <c r="F57" s="39">
        <f t="shared" si="18"/>
        <v>5441.03</v>
      </c>
      <c r="G57" s="39">
        <f t="shared" si="19"/>
        <v>59851.329999999994</v>
      </c>
      <c r="H57" s="78" t="str">
        <f t="shared" si="24"/>
        <v/>
      </c>
      <c r="I57" s="40">
        <f t="shared" si="22"/>
        <v>0</v>
      </c>
      <c r="J57" s="41">
        <f t="shared" si="23"/>
        <v>0</v>
      </c>
      <c r="K57" s="34">
        <f t="shared" si="25"/>
        <v>0</v>
      </c>
    </row>
    <row r="58" spans="1:11" ht="21.75" customHeight="1" thickBot="1" x14ac:dyDescent="0.3">
      <c r="A58" s="36" t="s">
        <v>126</v>
      </c>
      <c r="B58" s="42"/>
      <c r="C58" s="42">
        <f t="shared" si="21"/>
        <v>34990</v>
      </c>
      <c r="D58" s="44">
        <f t="shared" si="17"/>
        <v>0</v>
      </c>
      <c r="E58" s="42">
        <v>1554.58</v>
      </c>
      <c r="F58" s="42">
        <f t="shared" si="18"/>
        <v>5441.03</v>
      </c>
      <c r="G58" s="42">
        <f t="shared" si="19"/>
        <v>65292.359999999993</v>
      </c>
      <c r="H58" s="79" t="str">
        <f t="shared" si="24"/>
        <v/>
      </c>
      <c r="I58" s="43">
        <f t="shared" si="22"/>
        <v>0</v>
      </c>
      <c r="J58" s="44">
        <f t="shared" si="23"/>
        <v>0</v>
      </c>
      <c r="K58" s="37">
        <f>(J58*6%)+(D58*7%)</f>
        <v>0</v>
      </c>
    </row>
    <row r="62" spans="1:11" ht="21.75" thickBot="1" x14ac:dyDescent="0.3">
      <c r="A62" s="245" t="s">
        <v>131</v>
      </c>
      <c r="B62" s="246"/>
      <c r="C62" s="246"/>
      <c r="D62" s="246"/>
      <c r="E62" s="246"/>
      <c r="F62" s="246"/>
      <c r="G62" s="246"/>
      <c r="H62" s="246"/>
      <c r="I62" s="45"/>
    </row>
    <row r="63" spans="1:11" ht="21" customHeight="1" thickBot="1" x14ac:dyDescent="0.3">
      <c r="A63" s="46" t="s">
        <v>132</v>
      </c>
      <c r="B63" s="77">
        <v>0.3206</v>
      </c>
    </row>
    <row r="64" spans="1:11" ht="15.75" thickBot="1" x14ac:dyDescent="0.3"/>
    <row r="65" spans="1:12" ht="30" x14ac:dyDescent="0.25">
      <c r="A65" s="47" t="s">
        <v>102</v>
      </c>
      <c r="B65" s="10" t="s">
        <v>30</v>
      </c>
      <c r="C65" s="10" t="s">
        <v>31</v>
      </c>
      <c r="D65" s="273" t="s">
        <v>110</v>
      </c>
      <c r="E65" s="11" t="s">
        <v>133</v>
      </c>
      <c r="F65" s="11" t="s">
        <v>134</v>
      </c>
      <c r="G65" s="11" t="s">
        <v>135</v>
      </c>
      <c r="H65" s="11" t="s">
        <v>136</v>
      </c>
      <c r="I65" s="48" t="s">
        <v>137</v>
      </c>
    </row>
    <row r="66" spans="1:12" ht="21" customHeight="1" x14ac:dyDescent="0.25">
      <c r="A66" s="49" t="s">
        <v>138</v>
      </c>
      <c r="B66" s="50">
        <v>1700</v>
      </c>
      <c r="C66" s="51">
        <f>B66</f>
        <v>1700</v>
      </c>
      <c r="D66" s="274">
        <v>1554.58</v>
      </c>
      <c r="E66" s="50">
        <f>+D66</f>
        <v>1554.58</v>
      </c>
      <c r="F66" s="33">
        <f>ROUND((0.3206/0.6)*((1.6*E66/C66)-1),4)</f>
        <v>0.2475</v>
      </c>
      <c r="G66" s="51">
        <f>IF(F66&gt;0,F66*C66,0)</f>
        <v>420.75</v>
      </c>
      <c r="H66" s="52">
        <f>G66</f>
        <v>420.75</v>
      </c>
      <c r="I66" s="53" t="str">
        <f>IF(F66&gt;$B$63,"ERREUR","")</f>
        <v/>
      </c>
    </row>
    <row r="67" spans="1:12" ht="21" customHeight="1" x14ac:dyDescent="0.25">
      <c r="A67" s="49" t="s">
        <v>139</v>
      </c>
      <c r="B67" s="50">
        <v>1600</v>
      </c>
      <c r="C67" s="51">
        <f>C66+B67</f>
        <v>3300</v>
      </c>
      <c r="D67" s="274">
        <v>1554.58</v>
      </c>
      <c r="E67" s="50">
        <f>D67+E66</f>
        <v>3109.16</v>
      </c>
      <c r="F67" s="33">
        <f>ROUND((0.3206/0.6)*((1.6*E67/C67)-1),4)</f>
        <v>0.2712</v>
      </c>
      <c r="G67" s="51">
        <f t="shared" ref="G67:G77" si="26">IF(F67&gt;0,F67*C67,0)</f>
        <v>894.96</v>
      </c>
      <c r="H67" s="52">
        <f>G67-G66</f>
        <v>474.21000000000004</v>
      </c>
      <c r="I67" s="53" t="str">
        <f t="shared" ref="I67:I75" si="27">IF(F67&gt;$B$63,"ERREUR","")</f>
        <v/>
      </c>
    </row>
    <row r="68" spans="1:12" ht="21" customHeight="1" x14ac:dyDescent="0.25">
      <c r="A68" s="49" t="s">
        <v>140</v>
      </c>
      <c r="B68" s="50">
        <v>1600</v>
      </c>
      <c r="C68" s="51">
        <f t="shared" ref="C68:C77" si="28">C67+B68</f>
        <v>4900</v>
      </c>
      <c r="D68" s="274">
        <v>1554.58</v>
      </c>
      <c r="E68" s="50">
        <f t="shared" ref="E68:E77" si="29">D68+E67</f>
        <v>4663.74</v>
      </c>
      <c r="F68" s="33">
        <f>ROUND((0.3206/0.6)*((1.6*E68/C68)-1),4)</f>
        <v>0.27939999999999998</v>
      </c>
      <c r="G68" s="54">
        <f t="shared" si="26"/>
        <v>1369.06</v>
      </c>
      <c r="H68" s="52">
        <f t="shared" ref="H68:H77" si="30">G68-G67</f>
        <v>474.09999999999991</v>
      </c>
      <c r="I68" s="53" t="str">
        <f t="shared" si="27"/>
        <v/>
      </c>
    </row>
    <row r="69" spans="1:12" ht="21" customHeight="1" x14ac:dyDescent="0.25">
      <c r="A69" s="49" t="s">
        <v>141</v>
      </c>
      <c r="B69" s="50">
        <v>1600</v>
      </c>
      <c r="C69" s="51">
        <f t="shared" si="28"/>
        <v>6500</v>
      </c>
      <c r="D69" s="274">
        <v>1554.58</v>
      </c>
      <c r="E69" s="50">
        <f t="shared" si="29"/>
        <v>6218.32</v>
      </c>
      <c r="F69" s="33">
        <f t="shared" ref="F69:F77" si="31">ROUND((0.3206/0.6)*((1.6*E69/C69)-1),4)</f>
        <v>0.28360000000000002</v>
      </c>
      <c r="G69" s="51">
        <f t="shared" si="26"/>
        <v>1843.4</v>
      </c>
      <c r="H69" s="52">
        <f t="shared" si="30"/>
        <v>474.34000000000015</v>
      </c>
      <c r="I69" s="53" t="str">
        <f t="shared" si="27"/>
        <v/>
      </c>
    </row>
    <row r="70" spans="1:12" ht="21" customHeight="1" x14ac:dyDescent="0.25">
      <c r="A70" s="49" t="s">
        <v>142</v>
      </c>
      <c r="B70" s="50">
        <v>1600</v>
      </c>
      <c r="C70" s="51">
        <f t="shared" si="28"/>
        <v>8100</v>
      </c>
      <c r="D70" s="274">
        <v>1554.58</v>
      </c>
      <c r="E70" s="50">
        <f t="shared" si="29"/>
        <v>7772.9</v>
      </c>
      <c r="F70" s="33">
        <f t="shared" si="31"/>
        <v>0.28610000000000002</v>
      </c>
      <c r="G70" s="51">
        <f t="shared" si="26"/>
        <v>2317.4100000000003</v>
      </c>
      <c r="H70" s="52">
        <f t="shared" si="30"/>
        <v>474.01000000000022</v>
      </c>
      <c r="I70" s="53" t="str">
        <f t="shared" si="27"/>
        <v/>
      </c>
    </row>
    <row r="71" spans="1:12" ht="21" customHeight="1" x14ac:dyDescent="0.25">
      <c r="A71" s="49" t="s">
        <v>143</v>
      </c>
      <c r="B71" s="50">
        <v>4000</v>
      </c>
      <c r="C71" s="51">
        <f t="shared" si="28"/>
        <v>12100</v>
      </c>
      <c r="D71" s="274">
        <v>1554.58</v>
      </c>
      <c r="E71" s="50">
        <f t="shared" si="29"/>
        <v>9327.48</v>
      </c>
      <c r="F71" s="33">
        <f t="shared" si="31"/>
        <v>0.12470000000000001</v>
      </c>
      <c r="G71" s="54">
        <f t="shared" si="26"/>
        <v>1508.8700000000001</v>
      </c>
      <c r="H71" s="52">
        <f t="shared" si="30"/>
        <v>-808.54000000000019</v>
      </c>
      <c r="I71" s="53" t="str">
        <f t="shared" si="27"/>
        <v/>
      </c>
      <c r="K71" s="6">
        <f>1554.58*1005.23/1600</f>
        <v>976.694033375</v>
      </c>
      <c r="L71" s="6" t="s">
        <v>221</v>
      </c>
    </row>
    <row r="72" spans="1:12" ht="21" customHeight="1" x14ac:dyDescent="0.25">
      <c r="A72" s="49" t="s">
        <v>144</v>
      </c>
      <c r="B72" s="50"/>
      <c r="C72" s="51">
        <f t="shared" si="28"/>
        <v>12100</v>
      </c>
      <c r="D72" s="274">
        <v>1554.58</v>
      </c>
      <c r="E72" s="50">
        <f t="shared" si="29"/>
        <v>10882.06</v>
      </c>
      <c r="F72" s="33">
        <f t="shared" si="31"/>
        <v>0.23449999999999999</v>
      </c>
      <c r="G72" s="51">
        <f t="shared" si="26"/>
        <v>2837.45</v>
      </c>
      <c r="H72" s="52">
        <f t="shared" si="30"/>
        <v>1328.5799999999997</v>
      </c>
      <c r="I72" s="53" t="str">
        <f t="shared" si="27"/>
        <v/>
      </c>
    </row>
    <row r="73" spans="1:12" ht="21" customHeight="1" x14ac:dyDescent="0.25">
      <c r="A73" s="49" t="s">
        <v>145</v>
      </c>
      <c r="B73" s="50"/>
      <c r="C73" s="51">
        <f t="shared" si="28"/>
        <v>12100</v>
      </c>
      <c r="D73" s="274">
        <v>1554.58</v>
      </c>
      <c r="E73" s="50">
        <f t="shared" si="29"/>
        <v>12436.64</v>
      </c>
      <c r="F73" s="33">
        <f t="shared" si="31"/>
        <v>0.34439999999999998</v>
      </c>
      <c r="G73" s="55">
        <f t="shared" si="26"/>
        <v>4167.24</v>
      </c>
      <c r="H73" s="52">
        <f t="shared" si="30"/>
        <v>1329.79</v>
      </c>
      <c r="I73" s="53" t="str">
        <f t="shared" si="27"/>
        <v>ERREUR</v>
      </c>
    </row>
    <row r="74" spans="1:12" ht="21" customHeight="1" x14ac:dyDescent="0.25">
      <c r="A74" s="49" t="s">
        <v>146</v>
      </c>
      <c r="B74" s="50"/>
      <c r="C74" s="51">
        <f t="shared" si="28"/>
        <v>12100</v>
      </c>
      <c r="D74" s="274">
        <v>1554.58</v>
      </c>
      <c r="E74" s="50">
        <f t="shared" si="29"/>
        <v>13991.22</v>
      </c>
      <c r="F74" s="33">
        <f t="shared" si="31"/>
        <v>0.45419999999999999</v>
      </c>
      <c r="G74" s="51">
        <f t="shared" si="26"/>
        <v>5495.82</v>
      </c>
      <c r="H74" s="52">
        <f t="shared" si="30"/>
        <v>1328.58</v>
      </c>
      <c r="I74" s="53" t="str">
        <f t="shared" si="27"/>
        <v>ERREUR</v>
      </c>
    </row>
    <row r="75" spans="1:12" ht="21" customHeight="1" x14ac:dyDescent="0.25">
      <c r="A75" s="49" t="s">
        <v>147</v>
      </c>
      <c r="B75" s="50"/>
      <c r="C75" s="51">
        <f t="shared" si="28"/>
        <v>12100</v>
      </c>
      <c r="D75" s="274">
        <v>1554.58</v>
      </c>
      <c r="E75" s="50">
        <f t="shared" si="29"/>
        <v>15545.8</v>
      </c>
      <c r="F75" s="33">
        <f t="shared" si="31"/>
        <v>0.56410000000000005</v>
      </c>
      <c r="G75" s="51">
        <f t="shared" si="26"/>
        <v>6825.6100000000006</v>
      </c>
      <c r="H75" s="52">
        <f t="shared" si="30"/>
        <v>1329.7900000000009</v>
      </c>
      <c r="I75" s="53" t="str">
        <f t="shared" si="27"/>
        <v>ERREUR</v>
      </c>
    </row>
    <row r="76" spans="1:12" ht="21" customHeight="1" x14ac:dyDescent="0.25">
      <c r="A76" s="49" t="s">
        <v>148</v>
      </c>
      <c r="B76" s="50"/>
      <c r="C76" s="51">
        <f t="shared" si="28"/>
        <v>12100</v>
      </c>
      <c r="D76" s="274">
        <v>1554.58</v>
      </c>
      <c r="E76" s="50">
        <f t="shared" si="29"/>
        <v>17100.379999999997</v>
      </c>
      <c r="F76" s="33">
        <f t="shared" si="31"/>
        <v>0.67390000000000005</v>
      </c>
      <c r="G76" s="51">
        <f t="shared" si="26"/>
        <v>8154.1900000000005</v>
      </c>
      <c r="H76" s="52">
        <f t="shared" si="30"/>
        <v>1328.58</v>
      </c>
      <c r="I76" s="53"/>
    </row>
    <row r="77" spans="1:12" ht="21" customHeight="1" thickBot="1" x14ac:dyDescent="0.3">
      <c r="A77" s="56" t="s">
        <v>149</v>
      </c>
      <c r="B77" s="57"/>
      <c r="C77" s="58">
        <f t="shared" si="28"/>
        <v>12100</v>
      </c>
      <c r="D77" s="275">
        <v>1554.58</v>
      </c>
      <c r="E77" s="57">
        <f t="shared" si="29"/>
        <v>18654.96</v>
      </c>
      <c r="F77" s="33">
        <f t="shared" si="31"/>
        <v>0.78369999999999995</v>
      </c>
      <c r="G77" s="58">
        <f t="shared" si="26"/>
        <v>9482.7699999999986</v>
      </c>
      <c r="H77" s="59">
        <f t="shared" si="30"/>
        <v>1328.5799999999981</v>
      </c>
      <c r="I77" s="60"/>
    </row>
    <row r="80" spans="1:12" ht="23.25" x14ac:dyDescent="0.25">
      <c r="A80" s="4" t="s">
        <v>150</v>
      </c>
      <c r="B80" s="5"/>
      <c r="C80" s="5"/>
      <c r="D80" s="5"/>
      <c r="E80" s="5"/>
      <c r="F80" s="5"/>
    </row>
    <row r="82" spans="1:8" ht="18.75" x14ac:dyDescent="0.25">
      <c r="A82" s="7" t="s">
        <v>101</v>
      </c>
      <c r="D82" s="8">
        <v>3428</v>
      </c>
    </row>
    <row r="83" spans="1:8" ht="15.75" thickBot="1" x14ac:dyDescent="0.3"/>
    <row r="84" spans="1:8" ht="30" x14ac:dyDescent="0.25">
      <c r="A84" s="9" t="s">
        <v>102</v>
      </c>
      <c r="B84" s="10" t="s">
        <v>98</v>
      </c>
      <c r="C84" s="10" t="s">
        <v>103</v>
      </c>
      <c r="D84" s="10" t="s">
        <v>104</v>
      </c>
      <c r="E84" s="11" t="s">
        <v>105</v>
      </c>
      <c r="F84" s="10" t="s">
        <v>151</v>
      </c>
      <c r="G84" s="11" t="s">
        <v>152</v>
      </c>
      <c r="H84" s="12" t="s">
        <v>153</v>
      </c>
    </row>
    <row r="85" spans="1:8" ht="19.5" customHeight="1" x14ac:dyDescent="0.25">
      <c r="A85" s="61">
        <v>43831</v>
      </c>
      <c r="B85" s="62"/>
      <c r="C85" s="63">
        <f>B85</f>
        <v>0</v>
      </c>
      <c r="D85" s="63">
        <v>3428</v>
      </c>
      <c r="E85" s="63">
        <f>D85</f>
        <v>3428</v>
      </c>
      <c r="F85" s="64" t="str">
        <f>IF(E85&gt;C85,"","OUI")</f>
        <v/>
      </c>
      <c r="G85" s="41">
        <f t="shared" ref="G85:G96" si="32">IF(C85&gt;E85,C85,0)</f>
        <v>0</v>
      </c>
      <c r="H85" s="65">
        <f>G85</f>
        <v>0</v>
      </c>
    </row>
    <row r="86" spans="1:8" ht="19.5" customHeight="1" x14ac:dyDescent="0.25">
      <c r="A86" s="61">
        <v>43862</v>
      </c>
      <c r="B86" s="62"/>
      <c r="C86" s="63">
        <f>C85+B86</f>
        <v>0</v>
      </c>
      <c r="D86" s="63">
        <v>3428</v>
      </c>
      <c r="E86" s="63">
        <f>E85+D86</f>
        <v>6856</v>
      </c>
      <c r="F86" s="64" t="str">
        <f t="shared" ref="F86:F96" si="33">IF(E86&gt;C86,"","OUI")</f>
        <v/>
      </c>
      <c r="G86" s="41">
        <f t="shared" si="32"/>
        <v>0</v>
      </c>
      <c r="H86" s="65">
        <f>G86-G85</f>
        <v>0</v>
      </c>
    </row>
    <row r="87" spans="1:8" ht="19.5" customHeight="1" x14ac:dyDescent="0.25">
      <c r="A87" s="61">
        <v>43891</v>
      </c>
      <c r="B87" s="62"/>
      <c r="C87" s="63">
        <f>C86+B87</f>
        <v>0</v>
      </c>
      <c r="D87" s="63">
        <v>3428</v>
      </c>
      <c r="E87" s="63">
        <f t="shared" ref="E87:E96" si="34">E86+D87</f>
        <v>10284</v>
      </c>
      <c r="F87" s="64" t="str">
        <f t="shared" si="33"/>
        <v/>
      </c>
      <c r="G87" s="41">
        <f t="shared" si="32"/>
        <v>0</v>
      </c>
      <c r="H87" s="65">
        <f t="shared" ref="H87:H96" si="35">G87-G86</f>
        <v>0</v>
      </c>
    </row>
    <row r="88" spans="1:8" ht="19.5" customHeight="1" x14ac:dyDescent="0.25">
      <c r="A88" s="61">
        <v>43922</v>
      </c>
      <c r="B88" s="62"/>
      <c r="C88" s="63">
        <f t="shared" ref="C88:C96" si="36">C87+B88</f>
        <v>0</v>
      </c>
      <c r="D88" s="63">
        <v>3428</v>
      </c>
      <c r="E88" s="63">
        <f t="shared" si="34"/>
        <v>13712</v>
      </c>
      <c r="F88" s="64" t="str">
        <f t="shared" si="33"/>
        <v/>
      </c>
      <c r="G88" s="41">
        <f t="shared" si="32"/>
        <v>0</v>
      </c>
      <c r="H88" s="65">
        <f t="shared" si="35"/>
        <v>0</v>
      </c>
    </row>
    <row r="89" spans="1:8" ht="19.5" customHeight="1" x14ac:dyDescent="0.25">
      <c r="A89" s="61">
        <v>43952</v>
      </c>
      <c r="B89" s="62"/>
      <c r="C89" s="63">
        <f t="shared" si="36"/>
        <v>0</v>
      </c>
      <c r="D89" s="63">
        <v>3428</v>
      </c>
      <c r="E89" s="63">
        <f t="shared" si="34"/>
        <v>17140</v>
      </c>
      <c r="F89" s="64" t="str">
        <f t="shared" si="33"/>
        <v/>
      </c>
      <c r="G89" s="41">
        <f t="shared" si="32"/>
        <v>0</v>
      </c>
      <c r="H89" s="65">
        <f t="shared" si="35"/>
        <v>0</v>
      </c>
    </row>
    <row r="90" spans="1:8" ht="19.5" customHeight="1" x14ac:dyDescent="0.25">
      <c r="A90" s="61">
        <v>43983</v>
      </c>
      <c r="B90" s="62"/>
      <c r="C90" s="63">
        <f t="shared" si="36"/>
        <v>0</v>
      </c>
      <c r="D90" s="63">
        <v>3428</v>
      </c>
      <c r="E90" s="63">
        <f t="shared" si="34"/>
        <v>20568</v>
      </c>
      <c r="F90" s="64" t="str">
        <f t="shared" si="33"/>
        <v/>
      </c>
      <c r="G90" s="41">
        <f t="shared" si="32"/>
        <v>0</v>
      </c>
      <c r="H90" s="65">
        <f t="shared" si="35"/>
        <v>0</v>
      </c>
    </row>
    <row r="91" spans="1:8" ht="19.5" customHeight="1" x14ac:dyDescent="0.25">
      <c r="A91" s="61">
        <v>44013</v>
      </c>
      <c r="B91" s="62"/>
      <c r="C91" s="63">
        <f t="shared" si="36"/>
        <v>0</v>
      </c>
      <c r="D91" s="63">
        <v>3428</v>
      </c>
      <c r="E91" s="63">
        <f t="shared" si="34"/>
        <v>23996</v>
      </c>
      <c r="F91" s="64" t="str">
        <f t="shared" si="33"/>
        <v/>
      </c>
      <c r="G91" s="41">
        <f t="shared" si="32"/>
        <v>0</v>
      </c>
      <c r="H91" s="65">
        <f t="shared" si="35"/>
        <v>0</v>
      </c>
    </row>
    <row r="92" spans="1:8" ht="19.5" customHeight="1" x14ac:dyDescent="0.25">
      <c r="A92" s="61">
        <v>44044</v>
      </c>
      <c r="B92" s="62"/>
      <c r="C92" s="63">
        <f t="shared" si="36"/>
        <v>0</v>
      </c>
      <c r="D92" s="63">
        <v>3428</v>
      </c>
      <c r="E92" s="63">
        <f t="shared" si="34"/>
        <v>27424</v>
      </c>
      <c r="F92" s="64" t="str">
        <f t="shared" si="33"/>
        <v/>
      </c>
      <c r="G92" s="41">
        <f t="shared" si="32"/>
        <v>0</v>
      </c>
      <c r="H92" s="65">
        <f t="shared" si="35"/>
        <v>0</v>
      </c>
    </row>
    <row r="93" spans="1:8" ht="19.5" customHeight="1" x14ac:dyDescent="0.25">
      <c r="A93" s="61">
        <v>44075</v>
      </c>
      <c r="B93" s="62"/>
      <c r="C93" s="63">
        <f t="shared" si="36"/>
        <v>0</v>
      </c>
      <c r="D93" s="63">
        <v>3428</v>
      </c>
      <c r="E93" s="63">
        <f t="shared" si="34"/>
        <v>30852</v>
      </c>
      <c r="F93" s="64" t="str">
        <f t="shared" si="33"/>
        <v/>
      </c>
      <c r="G93" s="41">
        <f t="shared" si="32"/>
        <v>0</v>
      </c>
      <c r="H93" s="65">
        <f t="shared" si="35"/>
        <v>0</v>
      </c>
    </row>
    <row r="94" spans="1:8" ht="19.5" customHeight="1" x14ac:dyDescent="0.25">
      <c r="A94" s="61">
        <v>44105</v>
      </c>
      <c r="B94" s="62"/>
      <c r="C94" s="63">
        <f t="shared" si="36"/>
        <v>0</v>
      </c>
      <c r="D94" s="63">
        <v>3428</v>
      </c>
      <c r="E94" s="63">
        <f t="shared" si="34"/>
        <v>34280</v>
      </c>
      <c r="F94" s="64" t="str">
        <f t="shared" si="33"/>
        <v/>
      </c>
      <c r="G94" s="41">
        <f t="shared" si="32"/>
        <v>0</v>
      </c>
      <c r="H94" s="65">
        <f t="shared" si="35"/>
        <v>0</v>
      </c>
    </row>
    <row r="95" spans="1:8" ht="19.5" customHeight="1" x14ac:dyDescent="0.25">
      <c r="A95" s="61">
        <v>44136</v>
      </c>
      <c r="B95" s="62"/>
      <c r="C95" s="63">
        <f t="shared" si="36"/>
        <v>0</v>
      </c>
      <c r="D95" s="63">
        <v>3428</v>
      </c>
      <c r="E95" s="63">
        <f t="shared" si="34"/>
        <v>37708</v>
      </c>
      <c r="F95" s="64" t="str">
        <f t="shared" si="33"/>
        <v/>
      </c>
      <c r="G95" s="41">
        <f t="shared" si="32"/>
        <v>0</v>
      </c>
      <c r="H95" s="65">
        <f t="shared" si="35"/>
        <v>0</v>
      </c>
    </row>
    <row r="96" spans="1:8" ht="19.5" customHeight="1" thickBot="1" x14ac:dyDescent="0.3">
      <c r="A96" s="66">
        <v>44166</v>
      </c>
      <c r="B96" s="67"/>
      <c r="C96" s="68">
        <f t="shared" si="36"/>
        <v>0</v>
      </c>
      <c r="D96" s="68">
        <v>3428</v>
      </c>
      <c r="E96" s="68">
        <f t="shared" si="34"/>
        <v>41136</v>
      </c>
      <c r="F96" s="69" t="str">
        <f t="shared" si="33"/>
        <v/>
      </c>
      <c r="G96" s="44">
        <f t="shared" si="32"/>
        <v>0</v>
      </c>
      <c r="H96" s="70">
        <f t="shared" si="35"/>
        <v>0</v>
      </c>
    </row>
  </sheetData>
  <mergeCells count="1">
    <mergeCell ref="A62:H6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86E0-14DC-47B8-BE4B-1257C5B45BB5}">
  <dimension ref="A1:O166"/>
  <sheetViews>
    <sheetView topLeftCell="A28" zoomScale="75" zoomScaleNormal="75" workbookViewId="0">
      <selection activeCell="F57" sqref="F57"/>
    </sheetView>
  </sheetViews>
  <sheetFormatPr baseColWidth="10" defaultRowHeight="16.5" x14ac:dyDescent="0.25"/>
  <cols>
    <col min="1" max="1" width="95.5703125" style="81" customWidth="1"/>
    <col min="2" max="2" width="18.85546875" style="81" bestFit="1" customWidth="1"/>
    <col min="3" max="3" width="17.140625" style="81" bestFit="1" customWidth="1"/>
    <col min="4" max="4" width="34.140625" style="81" customWidth="1"/>
    <col min="5" max="5" width="12.5703125" style="81" customWidth="1"/>
    <col min="6" max="6" width="18.28515625" style="81" customWidth="1"/>
    <col min="7" max="7" width="11.42578125" style="81"/>
    <col min="8" max="8" width="58.28515625" style="81" bestFit="1" customWidth="1"/>
    <col min="9" max="9" width="13" style="81" bestFit="1" customWidth="1"/>
    <col min="10" max="10" width="12" style="81" bestFit="1" customWidth="1"/>
    <col min="11" max="11" width="11.42578125" style="81"/>
    <col min="12" max="12" width="12.140625" style="81" bestFit="1" customWidth="1"/>
    <col min="13" max="14" width="12" style="81" bestFit="1" customWidth="1"/>
    <col min="15" max="16384" width="11.42578125" style="81"/>
  </cols>
  <sheetData>
    <row r="1" spans="1:6" x14ac:dyDescent="0.25">
      <c r="A1" s="121" t="s">
        <v>48</v>
      </c>
      <c r="B1" s="122"/>
      <c r="C1" s="122"/>
      <c r="D1" s="122"/>
      <c r="E1" s="122"/>
      <c r="F1" s="123"/>
    </row>
    <row r="2" spans="1:6" x14ac:dyDescent="0.25">
      <c r="A2" s="124" t="s">
        <v>49</v>
      </c>
      <c r="B2" s="84"/>
      <c r="C2" s="84"/>
      <c r="D2" s="84" t="s">
        <v>60</v>
      </c>
      <c r="E2" s="84"/>
      <c r="F2" s="85"/>
    </row>
    <row r="3" spans="1:6" x14ac:dyDescent="0.25">
      <c r="A3" s="83" t="s">
        <v>50</v>
      </c>
      <c r="B3" s="84"/>
      <c r="C3" s="84"/>
      <c r="D3" s="84" t="s">
        <v>50</v>
      </c>
      <c r="E3" s="84"/>
      <c r="F3" s="85"/>
    </row>
    <row r="4" spans="1:6" x14ac:dyDescent="0.25">
      <c r="A4" s="83" t="s">
        <v>51</v>
      </c>
      <c r="B4" s="84"/>
      <c r="C4" s="84"/>
      <c r="D4" s="84" t="s">
        <v>61</v>
      </c>
      <c r="E4" s="84"/>
      <c r="F4" s="85"/>
    </row>
    <row r="5" spans="1:6" x14ac:dyDescent="0.25">
      <c r="A5" s="83" t="s">
        <v>52</v>
      </c>
      <c r="B5" s="84"/>
      <c r="C5" s="84"/>
      <c r="D5" s="84" t="s">
        <v>62</v>
      </c>
      <c r="E5" s="84"/>
      <c r="F5" s="85"/>
    </row>
    <row r="6" spans="1:6" x14ac:dyDescent="0.25">
      <c r="A6" s="83" t="s">
        <v>52</v>
      </c>
      <c r="B6" s="84"/>
      <c r="C6" s="84"/>
      <c r="D6" s="84" t="s">
        <v>63</v>
      </c>
      <c r="E6" s="84"/>
      <c r="F6" s="85"/>
    </row>
    <row r="7" spans="1:6" x14ac:dyDescent="0.25">
      <c r="A7" s="83" t="s">
        <v>53</v>
      </c>
      <c r="B7" s="84"/>
      <c r="C7" s="84"/>
      <c r="D7" s="84"/>
      <c r="E7" s="84"/>
      <c r="F7" s="85"/>
    </row>
    <row r="8" spans="1:6" x14ac:dyDescent="0.25">
      <c r="A8" s="83" t="s">
        <v>54</v>
      </c>
      <c r="B8" s="84"/>
      <c r="C8" s="84"/>
      <c r="D8" s="84" t="s">
        <v>64</v>
      </c>
      <c r="E8" s="84"/>
      <c r="F8" s="85"/>
    </row>
    <row r="9" spans="1:6" x14ac:dyDescent="0.25">
      <c r="A9" s="83" t="s">
        <v>55</v>
      </c>
      <c r="B9" s="84"/>
      <c r="C9" s="84"/>
      <c r="D9" s="84" t="s">
        <v>65</v>
      </c>
      <c r="E9" s="84"/>
      <c r="F9" s="85"/>
    </row>
    <row r="10" spans="1:6" x14ac:dyDescent="0.25">
      <c r="A10" s="83" t="s">
        <v>56</v>
      </c>
      <c r="B10" s="84"/>
      <c r="C10" s="84"/>
      <c r="D10" s="84" t="s">
        <v>66</v>
      </c>
      <c r="E10" s="84"/>
      <c r="F10" s="85"/>
    </row>
    <row r="11" spans="1:6" x14ac:dyDescent="0.25">
      <c r="A11" s="83" t="s">
        <v>57</v>
      </c>
      <c r="B11" s="84"/>
      <c r="C11" s="84"/>
      <c r="D11" s="84" t="s">
        <v>67</v>
      </c>
      <c r="E11" s="84"/>
      <c r="F11" s="85" t="s">
        <v>184</v>
      </c>
    </row>
    <row r="12" spans="1:6" x14ac:dyDescent="0.25">
      <c r="A12" s="83" t="s">
        <v>58</v>
      </c>
      <c r="B12" s="84"/>
      <c r="C12" s="84"/>
      <c r="D12" s="84" t="s">
        <v>68</v>
      </c>
      <c r="E12" s="84"/>
      <c r="F12" s="85"/>
    </row>
    <row r="13" spans="1:6" x14ac:dyDescent="0.25">
      <c r="A13" s="83" t="s">
        <v>59</v>
      </c>
      <c r="B13" s="84"/>
      <c r="C13" s="84"/>
      <c r="D13" s="84" t="s">
        <v>69</v>
      </c>
      <c r="E13" s="84"/>
      <c r="F13" s="85"/>
    </row>
    <row r="14" spans="1:6" x14ac:dyDescent="0.25">
      <c r="A14" s="83"/>
      <c r="B14" s="84"/>
      <c r="C14" s="84"/>
      <c r="D14" s="84" t="s">
        <v>70</v>
      </c>
      <c r="E14" s="84"/>
      <c r="F14" s="85"/>
    </row>
    <row r="15" spans="1:6" x14ac:dyDescent="0.25">
      <c r="A15" s="71"/>
      <c r="B15" s="84"/>
      <c r="C15" s="84"/>
      <c r="D15" s="84"/>
      <c r="E15" s="84"/>
      <c r="F15" s="85"/>
    </row>
    <row r="16" spans="1:6" x14ac:dyDescent="0.25">
      <c r="A16" s="71"/>
      <c r="B16" s="84"/>
      <c r="C16" s="84"/>
      <c r="D16" s="84"/>
      <c r="E16" s="84"/>
      <c r="F16" s="85"/>
    </row>
    <row r="17" spans="1:15" x14ac:dyDescent="0.25">
      <c r="A17" s="125" t="s">
        <v>71</v>
      </c>
      <c r="B17" s="247"/>
      <c r="C17" s="248"/>
      <c r="D17" s="126" t="s">
        <v>72</v>
      </c>
      <c r="E17" s="247"/>
      <c r="F17" s="249"/>
    </row>
    <row r="18" spans="1:15" ht="20.25" customHeight="1" thickBot="1" x14ac:dyDescent="0.3">
      <c r="A18" s="127" t="s">
        <v>73</v>
      </c>
      <c r="B18" s="128"/>
      <c r="C18" s="128"/>
      <c r="D18" s="128"/>
      <c r="E18" s="128"/>
      <c r="F18" s="129"/>
    </row>
    <row r="19" spans="1:15" ht="24" customHeight="1" x14ac:dyDescent="0.25">
      <c r="A19" s="130" t="s">
        <v>73</v>
      </c>
      <c r="B19" s="131" t="s">
        <v>75</v>
      </c>
      <c r="C19" s="131" t="s">
        <v>76</v>
      </c>
      <c r="D19" s="131" t="s">
        <v>74</v>
      </c>
      <c r="E19" s="132"/>
      <c r="F19" s="88"/>
      <c r="H19" s="202" t="s">
        <v>162</v>
      </c>
      <c r="I19" s="203">
        <v>7.0000000000000007E-2</v>
      </c>
    </row>
    <row r="20" spans="1:15" s="86" customFormat="1" x14ac:dyDescent="0.25">
      <c r="A20" s="71" t="s">
        <v>0</v>
      </c>
      <c r="B20" s="209">
        <v>151.66999999999999</v>
      </c>
      <c r="C20" s="210">
        <f>D20/151.67</f>
        <v>0</v>
      </c>
      <c r="D20" s="211"/>
      <c r="E20" s="132"/>
      <c r="F20" s="133"/>
      <c r="H20" s="204" t="s">
        <v>171</v>
      </c>
      <c r="I20" s="205">
        <v>3.4500000000000003E-2</v>
      </c>
      <c r="J20" s="81"/>
      <c r="K20" s="81"/>
      <c r="L20" s="81"/>
      <c r="M20" s="81"/>
      <c r="N20" s="81"/>
      <c r="O20" s="81"/>
    </row>
    <row r="21" spans="1:15" s="86" customFormat="1" x14ac:dyDescent="0.25">
      <c r="A21" s="71" t="s">
        <v>93</v>
      </c>
      <c r="B21" s="209"/>
      <c r="C21" s="210"/>
      <c r="D21" s="211">
        <f>I31</f>
        <v>0</v>
      </c>
      <c r="E21" s="132"/>
      <c r="F21" s="133"/>
      <c r="H21" s="72" t="s">
        <v>185</v>
      </c>
      <c r="I21" s="119">
        <v>2.7E-2</v>
      </c>
      <c r="J21" s="81"/>
      <c r="K21" s="81"/>
      <c r="L21" s="81"/>
      <c r="M21" s="81"/>
      <c r="N21" s="81"/>
      <c r="O21" s="81"/>
    </row>
    <row r="22" spans="1:15" s="86" customFormat="1" x14ac:dyDescent="0.25">
      <c r="A22" s="71" t="s">
        <v>157</v>
      </c>
      <c r="B22" s="209"/>
      <c r="C22" s="210"/>
      <c r="D22" s="211">
        <f>-C22*B22</f>
        <v>0</v>
      </c>
      <c r="E22" s="132"/>
      <c r="F22" s="133"/>
      <c r="H22" s="71" t="s">
        <v>170</v>
      </c>
      <c r="I22" s="75">
        <f>D41</f>
        <v>0</v>
      </c>
      <c r="J22" s="81"/>
      <c r="K22" s="81"/>
      <c r="L22" s="81"/>
      <c r="M22" s="81"/>
      <c r="N22" s="81"/>
      <c r="O22" s="81"/>
    </row>
    <row r="23" spans="1:15" s="86" customFormat="1" x14ac:dyDescent="0.25">
      <c r="A23" s="71"/>
      <c r="B23" s="209"/>
      <c r="C23" s="210"/>
      <c r="D23" s="212"/>
      <c r="E23" s="132"/>
      <c r="F23" s="133"/>
      <c r="H23" s="71" t="s">
        <v>164</v>
      </c>
      <c r="I23" s="75"/>
      <c r="J23" s="81"/>
      <c r="K23" s="81"/>
      <c r="L23" s="81"/>
      <c r="M23" s="81"/>
      <c r="N23" s="81"/>
      <c r="O23" s="81"/>
    </row>
    <row r="24" spans="1:15" x14ac:dyDescent="0.25">
      <c r="A24" s="71" t="s">
        <v>155</v>
      </c>
      <c r="B24" s="212"/>
      <c r="C24" s="213">
        <f>D20/151.67*1.25</f>
        <v>0</v>
      </c>
      <c r="D24" s="214">
        <f>C24*B24</f>
        <v>0</v>
      </c>
      <c r="E24" s="132"/>
      <c r="F24" s="87"/>
      <c r="H24" s="71" t="s">
        <v>169</v>
      </c>
      <c r="I24" s="75"/>
    </row>
    <row r="25" spans="1:15" x14ac:dyDescent="0.25">
      <c r="A25" s="71" t="s">
        <v>1</v>
      </c>
      <c r="B25" s="212"/>
      <c r="C25" s="214">
        <f>D20/151.67*1.5</f>
        <v>0</v>
      </c>
      <c r="D25" s="214">
        <f>C25*B25</f>
        <v>0</v>
      </c>
      <c r="E25" s="132"/>
      <c r="F25" s="88"/>
      <c r="H25" s="71" t="s">
        <v>163</v>
      </c>
      <c r="I25" s="75"/>
    </row>
    <row r="26" spans="1:15" x14ac:dyDescent="0.25">
      <c r="A26" s="71"/>
      <c r="B26" s="212"/>
      <c r="C26" s="212"/>
      <c r="D26" s="212"/>
      <c r="E26" s="132"/>
      <c r="F26" s="88"/>
      <c r="H26" s="71" t="s">
        <v>172</v>
      </c>
      <c r="I26" s="75"/>
    </row>
    <row r="27" spans="1:15" x14ac:dyDescent="0.25">
      <c r="A27" s="71" t="s">
        <v>156</v>
      </c>
      <c r="B27" s="212"/>
      <c r="C27" s="215"/>
      <c r="D27" s="215">
        <f>C27*B27</f>
        <v>0</v>
      </c>
      <c r="E27" s="132"/>
      <c r="F27" s="88"/>
      <c r="H27" s="71" t="s">
        <v>165</v>
      </c>
      <c r="I27" s="75"/>
    </row>
    <row r="28" spans="1:15" x14ac:dyDescent="0.25">
      <c r="A28" s="71"/>
      <c r="B28" s="212"/>
      <c r="C28" s="212"/>
      <c r="D28" s="212"/>
      <c r="E28" s="132"/>
      <c r="F28" s="88"/>
      <c r="H28" s="71" t="s">
        <v>166</v>
      </c>
      <c r="I28" s="74"/>
    </row>
    <row r="29" spans="1:15" x14ac:dyDescent="0.25">
      <c r="A29" s="71"/>
      <c r="B29" s="216"/>
      <c r="C29" s="217"/>
      <c r="D29" s="218"/>
      <c r="E29" s="134"/>
      <c r="F29" s="90"/>
      <c r="H29" s="71" t="s">
        <v>167</v>
      </c>
      <c r="I29" s="75">
        <v>20</v>
      </c>
    </row>
    <row r="30" spans="1:15" x14ac:dyDescent="0.25">
      <c r="A30" s="71" t="s">
        <v>2</v>
      </c>
      <c r="B30" s="216"/>
      <c r="C30" s="218"/>
      <c r="D30" s="218"/>
      <c r="E30" s="134"/>
      <c r="F30" s="90"/>
      <c r="H30" s="71" t="s">
        <v>168</v>
      </c>
      <c r="I30" s="75">
        <v>40</v>
      </c>
    </row>
    <row r="31" spans="1:15" x14ac:dyDescent="0.25">
      <c r="A31" s="71" t="s">
        <v>191</v>
      </c>
      <c r="B31" s="216"/>
      <c r="C31" s="218"/>
      <c r="D31" s="218"/>
      <c r="E31" s="134"/>
      <c r="F31" s="90"/>
      <c r="H31" s="71" t="s">
        <v>93</v>
      </c>
      <c r="I31" s="75"/>
    </row>
    <row r="32" spans="1:15" x14ac:dyDescent="0.25">
      <c r="A32" s="71"/>
      <c r="B32" s="89"/>
      <c r="C32" s="84"/>
      <c r="D32" s="84"/>
      <c r="E32" s="134"/>
      <c r="F32" s="90"/>
      <c r="H32" s="71" t="s">
        <v>187</v>
      </c>
      <c r="I32" s="85"/>
    </row>
    <row r="33" spans="1:9" x14ac:dyDescent="0.25">
      <c r="A33" s="208" t="s">
        <v>158</v>
      </c>
      <c r="B33" s="135"/>
      <c r="C33" s="136"/>
      <c r="D33" s="137">
        <f>-B139</f>
        <v>0</v>
      </c>
      <c r="E33" s="134"/>
      <c r="F33" s="90"/>
      <c r="H33" s="71" t="s">
        <v>192</v>
      </c>
      <c r="I33" s="85"/>
    </row>
    <row r="34" spans="1:9" x14ac:dyDescent="0.25">
      <c r="A34" s="208" t="s">
        <v>159</v>
      </c>
      <c r="B34" s="138"/>
      <c r="C34" s="136"/>
      <c r="D34" s="137">
        <f>-B150</f>
        <v>0</v>
      </c>
      <c r="E34" s="134"/>
      <c r="F34" s="90"/>
      <c r="H34" s="71"/>
      <c r="I34" s="85"/>
    </row>
    <row r="35" spans="1:9" ht="17.25" thickBot="1" x14ac:dyDescent="0.3">
      <c r="A35" s="208" t="s">
        <v>154</v>
      </c>
      <c r="B35" s="138"/>
      <c r="C35" s="136"/>
      <c r="D35" s="137">
        <f>B145</f>
        <v>0</v>
      </c>
      <c r="E35" s="139"/>
      <c r="F35" s="133"/>
      <c r="H35" s="73" t="s">
        <v>193</v>
      </c>
      <c r="I35" s="76">
        <v>2.5000000000000001E-2</v>
      </c>
    </row>
    <row r="36" spans="1:9" x14ac:dyDescent="0.25">
      <c r="A36" s="140"/>
      <c r="B36" s="141"/>
      <c r="C36" s="142"/>
      <c r="D36" s="143"/>
      <c r="E36" s="139"/>
      <c r="F36" s="133"/>
    </row>
    <row r="37" spans="1:9" x14ac:dyDescent="0.25">
      <c r="A37" s="71" t="s">
        <v>3</v>
      </c>
      <c r="B37" s="219">
        <f>I27</f>
        <v>0</v>
      </c>
      <c r="C37" s="220">
        <f>I28</f>
        <v>0</v>
      </c>
      <c r="D37" s="221">
        <f>C37*B37</f>
        <v>0</v>
      </c>
      <c r="E37" s="139"/>
      <c r="F37" s="133"/>
    </row>
    <row r="38" spans="1:9" x14ac:dyDescent="0.25">
      <c r="A38" s="140"/>
      <c r="B38" s="219"/>
      <c r="C38" s="220"/>
      <c r="D38" s="221"/>
      <c r="E38" s="139"/>
      <c r="F38" s="133"/>
    </row>
    <row r="39" spans="1:9" x14ac:dyDescent="0.25">
      <c r="A39" s="71" t="s">
        <v>174</v>
      </c>
      <c r="B39" s="216"/>
      <c r="C39" s="217"/>
      <c r="D39" s="218"/>
      <c r="E39" s="139"/>
      <c r="F39" s="133"/>
    </row>
    <row r="40" spans="1:9" x14ac:dyDescent="0.25">
      <c r="A40" s="71" t="s">
        <v>190</v>
      </c>
      <c r="B40" s="216"/>
      <c r="C40" s="217"/>
      <c r="D40" s="218"/>
      <c r="E40" s="139"/>
      <c r="F40" s="133"/>
    </row>
    <row r="41" spans="1:9" x14ac:dyDescent="0.25">
      <c r="A41" s="144" t="s">
        <v>4</v>
      </c>
      <c r="B41" s="212"/>
      <c r="C41" s="212"/>
      <c r="D41" s="211">
        <f>SUM(D20:D37)</f>
        <v>0</v>
      </c>
      <c r="E41" s="139"/>
      <c r="F41" s="133"/>
    </row>
    <row r="42" spans="1:9" x14ac:dyDescent="0.25">
      <c r="A42" s="71"/>
      <c r="B42" s="145"/>
      <c r="C42" s="146"/>
      <c r="D42" s="146"/>
      <c r="E42" s="139"/>
      <c r="F42" s="133"/>
    </row>
    <row r="43" spans="1:9" ht="33" x14ac:dyDescent="0.25">
      <c r="A43" s="147" t="s">
        <v>82</v>
      </c>
      <c r="B43" s="148" t="s">
        <v>5</v>
      </c>
      <c r="C43" s="148" t="s">
        <v>6</v>
      </c>
      <c r="D43" s="148" t="s">
        <v>7</v>
      </c>
      <c r="E43" s="148" t="s">
        <v>6</v>
      </c>
      <c r="F43" s="149" t="s">
        <v>8</v>
      </c>
    </row>
    <row r="44" spans="1:9" x14ac:dyDescent="0.25">
      <c r="A44" s="150" t="s">
        <v>9</v>
      </c>
      <c r="B44" s="151"/>
      <c r="C44" s="152"/>
      <c r="D44" s="152"/>
      <c r="E44" s="152"/>
      <c r="F44" s="153"/>
    </row>
    <row r="45" spans="1:9" ht="21.75" customHeight="1" x14ac:dyDescent="0.25">
      <c r="A45" s="154" t="s">
        <v>77</v>
      </c>
      <c r="B45" s="155">
        <f>$D$41</f>
        <v>0</v>
      </c>
      <c r="C45" s="156"/>
      <c r="D45" s="157"/>
      <c r="E45" s="158">
        <f>I19</f>
        <v>7.0000000000000007E-2</v>
      </c>
      <c r="F45" s="85"/>
    </row>
    <row r="46" spans="1:9" x14ac:dyDescent="0.25">
      <c r="A46" s="159" t="s">
        <v>78</v>
      </c>
      <c r="B46" s="141">
        <f>$I$22</f>
        <v>0</v>
      </c>
      <c r="C46" s="160"/>
      <c r="D46" s="161"/>
      <c r="E46" s="162"/>
      <c r="F46" s="85"/>
    </row>
    <row r="47" spans="1:9" x14ac:dyDescent="0.25">
      <c r="A47" s="159" t="s">
        <v>79</v>
      </c>
      <c r="B47" s="141">
        <f>$I$23</f>
        <v>0</v>
      </c>
      <c r="C47" s="160"/>
      <c r="D47" s="161"/>
      <c r="E47" s="84"/>
      <c r="F47" s="163">
        <f>E45*B45</f>
        <v>0</v>
      </c>
    </row>
    <row r="48" spans="1:9" x14ac:dyDescent="0.25">
      <c r="A48" s="159" t="s">
        <v>10</v>
      </c>
      <c r="B48" s="141"/>
      <c r="C48" s="160"/>
      <c r="D48" s="161">
        <f>I29</f>
        <v>20</v>
      </c>
      <c r="E48" s="84"/>
      <c r="F48" s="164">
        <f>E46*B46</f>
        <v>0</v>
      </c>
    </row>
    <row r="49" spans="1:6" x14ac:dyDescent="0.25">
      <c r="A49" s="144" t="s">
        <v>11</v>
      </c>
      <c r="B49" s="141">
        <f>$I$22</f>
        <v>0</v>
      </c>
      <c r="C49" s="84"/>
      <c r="D49" s="141"/>
      <c r="E49" s="165">
        <f>I21</f>
        <v>2.7E-2</v>
      </c>
      <c r="F49" s="164">
        <f>E49*B47</f>
        <v>0</v>
      </c>
    </row>
    <row r="50" spans="1:6" x14ac:dyDescent="0.25">
      <c r="A50" s="150" t="s">
        <v>12</v>
      </c>
      <c r="B50" s="151"/>
      <c r="C50" s="152"/>
      <c r="D50" s="152"/>
      <c r="E50" s="152"/>
      <c r="F50" s="153"/>
    </row>
    <row r="51" spans="1:6" x14ac:dyDescent="0.25">
      <c r="A51" s="159" t="s">
        <v>13</v>
      </c>
      <c r="B51" s="141">
        <f>$I$22</f>
        <v>0</v>
      </c>
      <c r="C51" s="160">
        <v>6.9000000000000006E-2</v>
      </c>
      <c r="D51" s="161">
        <f>C51*B51</f>
        <v>0</v>
      </c>
      <c r="E51" s="165">
        <v>8.5500000000000007E-2</v>
      </c>
      <c r="F51" s="164">
        <f>E51*B51</f>
        <v>0</v>
      </c>
    </row>
    <row r="52" spans="1:6" x14ac:dyDescent="0.25">
      <c r="A52" s="159" t="s">
        <v>14</v>
      </c>
      <c r="B52" s="141">
        <f>$D$41</f>
        <v>0</v>
      </c>
      <c r="C52" s="160">
        <v>4.0000000000000001E-3</v>
      </c>
      <c r="D52" s="161">
        <f t="shared" ref="D52:D55" si="0">C52*B52</f>
        <v>0</v>
      </c>
      <c r="E52" s="165">
        <v>1.9E-2</v>
      </c>
      <c r="F52" s="164">
        <f t="shared" ref="F52:F54" si="1">E52*B52</f>
        <v>0</v>
      </c>
    </row>
    <row r="53" spans="1:6" x14ac:dyDescent="0.25">
      <c r="A53" s="159" t="s">
        <v>15</v>
      </c>
      <c r="B53" s="141">
        <f>$I$22</f>
        <v>0</v>
      </c>
      <c r="C53" s="160">
        <v>4.0099999999999997E-2</v>
      </c>
      <c r="D53" s="161">
        <f t="shared" si="0"/>
        <v>0</v>
      </c>
      <c r="E53" s="165">
        <v>6.0100000000000001E-2</v>
      </c>
      <c r="F53" s="164">
        <f t="shared" si="1"/>
        <v>0</v>
      </c>
    </row>
    <row r="54" spans="1:6" x14ac:dyDescent="0.25">
      <c r="A54" s="159" t="s">
        <v>183</v>
      </c>
      <c r="B54" s="141">
        <f>$I$23</f>
        <v>0</v>
      </c>
      <c r="C54" s="160">
        <v>9.7199999999999995E-2</v>
      </c>
      <c r="D54" s="161">
        <f t="shared" si="0"/>
        <v>0</v>
      </c>
      <c r="E54" s="165">
        <v>0.1457</v>
      </c>
      <c r="F54" s="164">
        <f t="shared" si="1"/>
        <v>0</v>
      </c>
    </row>
    <row r="55" spans="1:6" x14ac:dyDescent="0.25">
      <c r="A55" s="159" t="s">
        <v>80</v>
      </c>
      <c r="B55" s="141">
        <f>I24</f>
        <v>0</v>
      </c>
      <c r="C55" s="160">
        <v>1.4E-3</v>
      </c>
      <c r="D55" s="161">
        <f t="shared" si="0"/>
        <v>0</v>
      </c>
      <c r="E55" s="165">
        <v>2.0999999999999999E-3</v>
      </c>
      <c r="F55" s="164">
        <f>E55*B55</f>
        <v>0</v>
      </c>
    </row>
    <row r="56" spans="1:6" x14ac:dyDescent="0.25">
      <c r="A56" s="159" t="s">
        <v>160</v>
      </c>
      <c r="B56" s="141"/>
      <c r="C56" s="160"/>
      <c r="D56" s="161"/>
      <c r="E56" s="84"/>
      <c r="F56" s="164">
        <f>E56*B56</f>
        <v>0</v>
      </c>
    </row>
    <row r="57" spans="1:6" x14ac:dyDescent="0.25">
      <c r="A57" s="206" t="s">
        <v>81</v>
      </c>
      <c r="B57" s="141">
        <f>$D$41</f>
        <v>0</v>
      </c>
      <c r="C57" s="166"/>
      <c r="D57" s="141"/>
      <c r="E57" s="167"/>
      <c r="F57" s="164">
        <f>REGULARISATION!K52</f>
        <v>2799.4</v>
      </c>
    </row>
    <row r="58" spans="1:6" x14ac:dyDescent="0.25">
      <c r="A58" s="150" t="s">
        <v>16</v>
      </c>
      <c r="B58" s="168"/>
      <c r="C58" s="168"/>
      <c r="D58" s="168"/>
      <c r="E58" s="168"/>
      <c r="F58" s="169"/>
    </row>
    <row r="59" spans="1:6" x14ac:dyDescent="0.25">
      <c r="A59" s="159" t="s">
        <v>83</v>
      </c>
      <c r="B59" s="141">
        <f>$D$41</f>
        <v>0</v>
      </c>
      <c r="C59" s="166"/>
      <c r="D59" s="141"/>
      <c r="E59" s="167">
        <v>4.2000000000000003E-2</v>
      </c>
      <c r="F59" s="164">
        <f t="shared" ref="F59:F60" si="2">E59*B59</f>
        <v>0</v>
      </c>
    </row>
    <row r="60" spans="1:6" x14ac:dyDescent="0.25">
      <c r="A60" s="159" t="s">
        <v>84</v>
      </c>
      <c r="B60" s="141">
        <f>I25</f>
        <v>0</v>
      </c>
      <c r="C60" s="170">
        <v>2.4000000000000001E-4</v>
      </c>
      <c r="D60" s="141">
        <f>+C60*B60</f>
        <v>0</v>
      </c>
      <c r="E60" s="167">
        <v>3.6000000000000002E-4</v>
      </c>
      <c r="F60" s="164">
        <f t="shared" si="2"/>
        <v>0</v>
      </c>
    </row>
    <row r="61" spans="1:6" x14ac:dyDescent="0.25">
      <c r="A61" s="150" t="s">
        <v>17</v>
      </c>
      <c r="B61" s="141"/>
      <c r="C61" s="166"/>
      <c r="D61" s="141"/>
      <c r="E61" s="167"/>
      <c r="F61" s="171">
        <f>D106</f>
        <v>0</v>
      </c>
    </row>
    <row r="62" spans="1:6" x14ac:dyDescent="0.25">
      <c r="A62" s="144"/>
      <c r="B62" s="141"/>
      <c r="C62" s="141"/>
      <c r="D62" s="141"/>
      <c r="E62" s="84"/>
      <c r="F62" s="85"/>
    </row>
    <row r="63" spans="1:6" x14ac:dyDescent="0.25">
      <c r="A63" s="172" t="s">
        <v>173</v>
      </c>
      <c r="B63" s="141"/>
      <c r="C63" s="141"/>
      <c r="D63" s="141"/>
      <c r="E63" s="84"/>
      <c r="F63" s="85"/>
    </row>
    <row r="64" spans="1:6" x14ac:dyDescent="0.25">
      <c r="A64" s="144"/>
      <c r="B64" s="141"/>
      <c r="C64" s="170"/>
      <c r="D64" s="141"/>
      <c r="E64" s="141"/>
      <c r="F64" s="171"/>
    </row>
    <row r="65" spans="1:6" x14ac:dyDescent="0.25">
      <c r="A65" s="144" t="s">
        <v>85</v>
      </c>
      <c r="B65" s="141">
        <f>((D41-D24-D25)*0.9825)+F48+F49+F50</f>
        <v>0</v>
      </c>
      <c r="C65" s="160">
        <v>6.8000000000000005E-2</v>
      </c>
      <c r="D65" s="161">
        <f>C65*B65</f>
        <v>0</v>
      </c>
      <c r="E65" s="141"/>
      <c r="F65" s="171"/>
    </row>
    <row r="66" spans="1:6" x14ac:dyDescent="0.25">
      <c r="A66" s="144" t="s">
        <v>86</v>
      </c>
      <c r="B66" s="141">
        <f>B65</f>
        <v>0</v>
      </c>
      <c r="C66" s="160">
        <v>2.9000000000000001E-2</v>
      </c>
      <c r="D66" s="161">
        <f>C66*B66</f>
        <v>0</v>
      </c>
      <c r="E66" s="173"/>
      <c r="F66" s="164"/>
    </row>
    <row r="67" spans="1:6" x14ac:dyDescent="0.25">
      <c r="A67" s="174" t="s">
        <v>87</v>
      </c>
      <c r="B67" s="141">
        <f>(D24+D25)*0.9825</f>
        <v>0</v>
      </c>
      <c r="C67" s="160">
        <v>9.7000000000000003E-2</v>
      </c>
      <c r="D67" s="161">
        <f>C67*B67</f>
        <v>0</v>
      </c>
      <c r="E67" s="165"/>
      <c r="F67" s="164"/>
    </row>
    <row r="68" spans="1:6" x14ac:dyDescent="0.25">
      <c r="A68" s="174" t="s">
        <v>18</v>
      </c>
      <c r="B68" s="141">
        <f>D24+D25</f>
        <v>0</v>
      </c>
      <c r="C68" s="160">
        <v>-0.11310000000000001</v>
      </c>
      <c r="D68" s="161">
        <f>C68*B68</f>
        <v>0</v>
      </c>
      <c r="E68" s="165"/>
      <c r="F68" s="164"/>
    </row>
    <row r="69" spans="1:6" x14ac:dyDescent="0.25">
      <c r="A69" s="174" t="s">
        <v>189</v>
      </c>
      <c r="B69" s="141"/>
      <c r="C69" s="160"/>
      <c r="D69" s="161"/>
      <c r="E69" s="165"/>
      <c r="F69" s="171">
        <f>-REGULARISATION!H71</f>
        <v>808.54000000000019</v>
      </c>
    </row>
    <row r="70" spans="1:6" x14ac:dyDescent="0.25">
      <c r="A70" s="144" t="s">
        <v>188</v>
      </c>
      <c r="B70" s="175">
        <f>B24+B25</f>
        <v>0</v>
      </c>
      <c r="C70" s="84"/>
      <c r="D70" s="161"/>
      <c r="E70" s="161">
        <v>-1.5</v>
      </c>
      <c r="F70" s="171">
        <f>E70*B70</f>
        <v>0</v>
      </c>
    </row>
    <row r="71" spans="1:6" x14ac:dyDescent="0.25">
      <c r="A71" s="144" t="s">
        <v>19</v>
      </c>
      <c r="B71" s="161"/>
      <c r="C71" s="176"/>
      <c r="D71" s="177">
        <f>SUM(D45:D70)</f>
        <v>20</v>
      </c>
      <c r="E71" s="165"/>
      <c r="F71" s="178">
        <f>SUM(F45:F70)</f>
        <v>3607.9400000000005</v>
      </c>
    </row>
    <row r="72" spans="1:6" x14ac:dyDescent="0.25">
      <c r="A72" s="144"/>
      <c r="B72" s="161"/>
      <c r="C72" s="176"/>
      <c r="D72" s="177"/>
      <c r="E72" s="84"/>
      <c r="F72" s="85"/>
    </row>
    <row r="73" spans="1:6" x14ac:dyDescent="0.25">
      <c r="A73" s="159" t="s">
        <v>92</v>
      </c>
      <c r="B73" s="161"/>
      <c r="C73" s="176"/>
      <c r="D73" s="183"/>
      <c r="E73" s="177"/>
      <c r="F73" s="178"/>
    </row>
    <row r="74" spans="1:6" x14ac:dyDescent="0.25">
      <c r="A74" s="159" t="s">
        <v>93</v>
      </c>
      <c r="B74" s="161"/>
      <c r="C74" s="176"/>
      <c r="D74" s="183"/>
      <c r="E74" s="177"/>
      <c r="F74" s="178"/>
    </row>
    <row r="75" spans="1:6" x14ac:dyDescent="0.25">
      <c r="A75" s="159" t="s">
        <v>94</v>
      </c>
      <c r="B75" s="161"/>
      <c r="C75" s="176"/>
      <c r="D75" s="183"/>
      <c r="E75" s="177"/>
      <c r="F75" s="178"/>
    </row>
    <row r="76" spans="1:6" x14ac:dyDescent="0.25">
      <c r="A76" s="159" t="s">
        <v>95</v>
      </c>
      <c r="B76" s="161"/>
      <c r="C76" s="176"/>
      <c r="D76" s="183"/>
      <c r="E76" s="177"/>
      <c r="F76" s="178"/>
    </row>
    <row r="77" spans="1:6" x14ac:dyDescent="0.25">
      <c r="A77" s="159" t="s">
        <v>208</v>
      </c>
      <c r="B77" s="161"/>
      <c r="C77" s="176"/>
      <c r="D77" s="183">
        <f>+B134</f>
        <v>0</v>
      </c>
      <c r="E77" s="177"/>
      <c r="F77" s="178"/>
    </row>
    <row r="78" spans="1:6" x14ac:dyDescent="0.25">
      <c r="A78" s="159"/>
      <c r="B78" s="161"/>
      <c r="C78" s="176"/>
      <c r="D78" s="183"/>
      <c r="E78" s="177"/>
      <c r="F78" s="178"/>
    </row>
    <row r="79" spans="1:6" ht="15.75" customHeight="1" x14ac:dyDescent="0.25">
      <c r="A79" s="144"/>
      <c r="B79" s="161"/>
      <c r="C79" s="176"/>
      <c r="D79" s="177"/>
      <c r="E79" s="177"/>
      <c r="F79" s="178"/>
    </row>
    <row r="80" spans="1:6" x14ac:dyDescent="0.25">
      <c r="A80" s="179" t="s">
        <v>20</v>
      </c>
      <c r="B80" s="161"/>
      <c r="C80" s="176"/>
      <c r="D80" s="177"/>
      <c r="E80" s="177"/>
      <c r="F80" s="180">
        <f>D41-D71+D73+D74+D75+D76+D77+D78+D79</f>
        <v>-20</v>
      </c>
    </row>
    <row r="81" spans="1:9" ht="33" x14ac:dyDescent="0.25">
      <c r="A81" s="144" t="s">
        <v>22</v>
      </c>
      <c r="B81" s="181"/>
      <c r="C81" s="182"/>
      <c r="D81" s="183"/>
      <c r="E81" s="183"/>
      <c r="F81" s="184">
        <f>D113</f>
        <v>0</v>
      </c>
    </row>
    <row r="82" spans="1:9" x14ac:dyDescent="0.25">
      <c r="A82" s="250" t="s">
        <v>23</v>
      </c>
      <c r="B82" s="251" t="s">
        <v>24</v>
      </c>
      <c r="C82" s="185" t="s">
        <v>6</v>
      </c>
      <c r="D82" s="252"/>
      <c r="E82" s="186"/>
      <c r="F82" s="187" t="s">
        <v>88</v>
      </c>
    </row>
    <row r="83" spans="1:9" x14ac:dyDescent="0.25">
      <c r="A83" s="250"/>
      <c r="B83" s="251"/>
      <c r="C83" s="185" t="s">
        <v>25</v>
      </c>
      <c r="D83" s="252"/>
      <c r="E83" s="186"/>
      <c r="F83" s="187"/>
    </row>
    <row r="84" spans="1:9" x14ac:dyDescent="0.25">
      <c r="A84" s="179" t="s">
        <v>26</v>
      </c>
      <c r="B84" s="228">
        <f>+B166</f>
        <v>804.38</v>
      </c>
      <c r="C84" s="189">
        <f>I35</f>
        <v>2.5000000000000001E-2</v>
      </c>
      <c r="D84" s="190"/>
      <c r="E84" s="190"/>
      <c r="F84" s="191">
        <f>B84*C84</f>
        <v>20.109500000000001</v>
      </c>
    </row>
    <row r="85" spans="1:9" x14ac:dyDescent="0.25">
      <c r="A85" s="159"/>
      <c r="B85" s="192"/>
      <c r="C85" s="146"/>
      <c r="D85" s="193" t="s">
        <v>27</v>
      </c>
      <c r="E85" s="193"/>
      <c r="F85" s="191">
        <f>F80-F84</f>
        <v>-40.109499999999997</v>
      </c>
    </row>
    <row r="86" spans="1:9" ht="33" x14ac:dyDescent="0.25">
      <c r="A86" s="144" t="s">
        <v>89</v>
      </c>
      <c r="B86" s="188"/>
      <c r="C86" s="194"/>
      <c r="D86" s="193" t="s">
        <v>28</v>
      </c>
      <c r="E86" s="193"/>
      <c r="F86" s="191">
        <f>D121</f>
        <v>0</v>
      </c>
    </row>
    <row r="87" spans="1:9" x14ac:dyDescent="0.25">
      <c r="A87" s="259" t="s">
        <v>90</v>
      </c>
      <c r="B87" s="260"/>
      <c r="C87" s="261"/>
      <c r="D87" s="193" t="s">
        <v>21</v>
      </c>
      <c r="E87" s="193"/>
      <c r="F87" s="191">
        <f>D41+F73</f>
        <v>0</v>
      </c>
    </row>
    <row r="88" spans="1:9" x14ac:dyDescent="0.25">
      <c r="A88" s="259"/>
      <c r="B88" s="260"/>
      <c r="C88" s="261"/>
      <c r="D88" s="193" t="s">
        <v>29</v>
      </c>
      <c r="E88" s="193"/>
      <c r="F88" s="191"/>
    </row>
    <row r="89" spans="1:9" x14ac:dyDescent="0.25">
      <c r="A89" s="159"/>
      <c r="B89" s="195" t="s">
        <v>96</v>
      </c>
      <c r="C89" s="196" t="s">
        <v>97</v>
      </c>
      <c r="D89" s="193"/>
      <c r="E89" s="193"/>
      <c r="F89" s="191"/>
    </row>
    <row r="90" spans="1:9" x14ac:dyDescent="0.25">
      <c r="A90" s="159" t="s">
        <v>98</v>
      </c>
      <c r="B90" s="197">
        <f>D41</f>
        <v>0</v>
      </c>
      <c r="C90" s="198"/>
      <c r="D90" s="193"/>
      <c r="E90" s="193"/>
      <c r="F90" s="191"/>
    </row>
    <row r="91" spans="1:9" x14ac:dyDescent="0.25">
      <c r="A91" s="159" t="s">
        <v>99</v>
      </c>
      <c r="B91" s="229">
        <f>D41-D24-D25+F48+D66+D67-D71</f>
        <v>-20</v>
      </c>
      <c r="C91" s="198"/>
      <c r="D91" s="193"/>
      <c r="E91" s="193"/>
      <c r="F91" s="191"/>
    </row>
    <row r="92" spans="1:9" ht="17.25" thickBot="1" x14ac:dyDescent="0.3">
      <c r="A92" s="199" t="s">
        <v>91</v>
      </c>
      <c r="B92" s="200"/>
      <c r="C92" s="200"/>
      <c r="D92" s="200"/>
      <c r="E92" s="200"/>
      <c r="F92" s="201"/>
    </row>
    <row r="95" spans="1:9" ht="17.25" thickBot="1" x14ac:dyDescent="0.3">
      <c r="A95" s="262" t="s">
        <v>17</v>
      </c>
      <c r="B95" s="263"/>
      <c r="I95" s="93"/>
    </row>
    <row r="96" spans="1:9" x14ac:dyDescent="0.25">
      <c r="A96" s="1"/>
      <c r="B96" s="264">
        <f>+B90</f>
        <v>0</v>
      </c>
      <c r="C96" s="267">
        <f>0.016%+0.3%+0.68%+0.55%</f>
        <v>1.5460000000000002E-2</v>
      </c>
      <c r="D96" s="270">
        <f>C96*B96</f>
        <v>0</v>
      </c>
      <c r="I96" s="93"/>
    </row>
    <row r="97" spans="1:9" x14ac:dyDescent="0.25">
      <c r="A97" s="2" t="s">
        <v>181</v>
      </c>
      <c r="B97" s="265"/>
      <c r="C97" s="268"/>
      <c r="D97" s="271"/>
      <c r="E97" s="93"/>
      <c r="F97" s="93"/>
      <c r="G97" s="93"/>
      <c r="I97" s="93"/>
    </row>
    <row r="98" spans="1:9" s="93" customFormat="1" x14ac:dyDescent="0.25">
      <c r="A98" s="2" t="s">
        <v>32</v>
      </c>
      <c r="B98" s="265"/>
      <c r="C98" s="268"/>
      <c r="D98" s="271"/>
      <c r="H98" s="81"/>
    </row>
    <row r="99" spans="1:9" s="93" customFormat="1" ht="15" x14ac:dyDescent="0.25">
      <c r="A99" s="2" t="s">
        <v>33</v>
      </c>
      <c r="B99" s="265"/>
      <c r="C99" s="268"/>
      <c r="D99" s="271"/>
    </row>
    <row r="100" spans="1:9" s="93" customFormat="1" ht="15" x14ac:dyDescent="0.25">
      <c r="A100" s="2" t="s">
        <v>34</v>
      </c>
      <c r="B100" s="265"/>
      <c r="C100" s="268"/>
      <c r="D100" s="271"/>
    </row>
    <row r="101" spans="1:9" s="93" customFormat="1" ht="15" x14ac:dyDescent="0.25">
      <c r="A101" s="2" t="s">
        <v>182</v>
      </c>
      <c r="B101" s="265"/>
      <c r="C101" s="268"/>
      <c r="D101" s="271"/>
    </row>
    <row r="102" spans="1:9" s="93" customFormat="1" ht="15.75" thickBot="1" x14ac:dyDescent="0.3">
      <c r="A102" s="3" t="s">
        <v>161</v>
      </c>
      <c r="B102" s="266"/>
      <c r="C102" s="269"/>
      <c r="D102" s="272"/>
    </row>
    <row r="103" spans="1:9" s="93" customFormat="1" ht="17.25" thickBot="1" x14ac:dyDescent="0.3">
      <c r="A103" s="81"/>
      <c r="B103" s="94"/>
      <c r="C103" s="94"/>
      <c r="D103" s="94"/>
    </row>
    <row r="104" spans="1:9" s="93" customFormat="1" ht="17.25" thickBot="1" x14ac:dyDescent="0.3">
      <c r="A104" s="80" t="s">
        <v>35</v>
      </c>
      <c r="B104" s="95">
        <f>I22</f>
        <v>0</v>
      </c>
      <c r="C104" s="96">
        <v>1E-3</v>
      </c>
      <c r="D104" s="97">
        <f>C104*B104</f>
        <v>0</v>
      </c>
    </row>
    <row r="105" spans="1:9" s="93" customFormat="1" ht="17.25" thickBot="1" x14ac:dyDescent="0.3">
      <c r="A105" s="81"/>
      <c r="B105" s="81"/>
      <c r="C105" s="81"/>
      <c r="D105" s="81"/>
    </row>
    <row r="106" spans="1:9" s="93" customFormat="1" ht="17.25" thickBot="1" x14ac:dyDescent="0.3">
      <c r="A106" s="98" t="s">
        <v>36</v>
      </c>
      <c r="B106" s="99"/>
      <c r="C106" s="99"/>
      <c r="D106" s="100">
        <f>D96+D104</f>
        <v>0</v>
      </c>
    </row>
    <row r="107" spans="1:9" s="93" customFormat="1" ht="17.25" thickBot="1" x14ac:dyDescent="0.3">
      <c r="A107" s="81"/>
      <c r="B107" s="81"/>
      <c r="C107" s="81"/>
      <c r="D107" s="81"/>
    </row>
    <row r="108" spans="1:9" s="93" customFormat="1" x14ac:dyDescent="0.25">
      <c r="A108" s="253" t="s">
        <v>37</v>
      </c>
      <c r="B108" s="254"/>
      <c r="C108" s="254"/>
      <c r="D108" s="255"/>
    </row>
    <row r="109" spans="1:9" s="93" customFormat="1" x14ac:dyDescent="0.25">
      <c r="A109" s="101" t="s">
        <v>38</v>
      </c>
      <c r="B109" s="102">
        <f>B90</f>
        <v>0</v>
      </c>
      <c r="C109" s="103">
        <v>2.4E-2</v>
      </c>
      <c r="D109" s="104">
        <f>C109*B109</f>
        <v>0</v>
      </c>
    </row>
    <row r="110" spans="1:9" s="93" customFormat="1" x14ac:dyDescent="0.25">
      <c r="A110" s="101" t="s">
        <v>39</v>
      </c>
      <c r="B110" s="102">
        <f>B90</f>
        <v>0</v>
      </c>
      <c r="C110" s="103">
        <v>7.4999999999999997E-3</v>
      </c>
      <c r="D110" s="104">
        <f t="shared" ref="D110:D111" si="3">C110*B110</f>
        <v>0</v>
      </c>
    </row>
    <row r="111" spans="1:9" s="93" customFormat="1" x14ac:dyDescent="0.25">
      <c r="A111" s="101" t="s">
        <v>40</v>
      </c>
      <c r="B111" s="102">
        <f>B66+B67</f>
        <v>0</v>
      </c>
      <c r="C111" s="103">
        <v>-1.7000000000000001E-2</v>
      </c>
      <c r="D111" s="104">
        <f t="shared" si="3"/>
        <v>0</v>
      </c>
    </row>
    <row r="112" spans="1:9" s="93" customFormat="1" x14ac:dyDescent="0.25">
      <c r="A112" s="92"/>
      <c r="B112" s="105"/>
      <c r="C112" s="106"/>
      <c r="D112" s="107"/>
    </row>
    <row r="113" spans="1:9" s="93" customFormat="1" ht="17.25" thickBot="1" x14ac:dyDescent="0.3">
      <c r="A113" s="108" t="s">
        <v>41</v>
      </c>
      <c r="B113" s="109"/>
      <c r="C113" s="110"/>
      <c r="D113" s="111">
        <f>SUM(D109:D112)</f>
        <v>0</v>
      </c>
    </row>
    <row r="114" spans="1:9" s="93" customFormat="1" ht="15" x14ac:dyDescent="0.25"/>
    <row r="115" spans="1:9" s="93" customFormat="1" ht="15.75" thickBot="1" x14ac:dyDescent="0.3"/>
    <row r="116" spans="1:9" s="93" customFormat="1" ht="17.25" thickBot="1" x14ac:dyDescent="0.3">
      <c r="A116" s="256" t="s">
        <v>42</v>
      </c>
      <c r="B116" s="257"/>
      <c r="C116" s="257"/>
      <c r="D116" s="258"/>
    </row>
    <row r="117" spans="1:9" s="93" customFormat="1" x14ac:dyDescent="0.25">
      <c r="A117" s="114" t="s">
        <v>43</v>
      </c>
      <c r="B117" s="112"/>
      <c r="C117" s="112"/>
      <c r="D117" s="115">
        <f>I26</f>
        <v>0</v>
      </c>
    </row>
    <row r="118" spans="1:9" s="93" customFormat="1" x14ac:dyDescent="0.25">
      <c r="A118" s="101" t="s">
        <v>44</v>
      </c>
      <c r="B118" s="113">
        <f>B24+B25</f>
        <v>0</v>
      </c>
      <c r="C118" s="116">
        <v>1.5</v>
      </c>
      <c r="D118" s="117">
        <f>C118*B118</f>
        <v>0</v>
      </c>
    </row>
    <row r="119" spans="1:9" s="93" customFormat="1" x14ac:dyDescent="0.25">
      <c r="A119" s="101" t="s">
        <v>45</v>
      </c>
      <c r="B119" s="102">
        <f>B90</f>
        <v>0</v>
      </c>
      <c r="C119" s="103">
        <v>1.7999999999999999E-2</v>
      </c>
      <c r="D119" s="117">
        <f>C119*B119</f>
        <v>0</v>
      </c>
    </row>
    <row r="120" spans="1:9" s="93" customFormat="1" ht="15.75" customHeight="1" x14ac:dyDescent="0.25">
      <c r="A120" s="101" t="s">
        <v>46</v>
      </c>
      <c r="B120" s="102">
        <f>B119</f>
        <v>0</v>
      </c>
      <c r="C120" s="103">
        <v>0.06</v>
      </c>
      <c r="D120" s="117">
        <f>C120*B120</f>
        <v>0</v>
      </c>
    </row>
    <row r="121" spans="1:9" s="93" customFormat="1" ht="15.75" customHeight="1" thickBot="1" x14ac:dyDescent="0.3">
      <c r="A121" s="108" t="s">
        <v>47</v>
      </c>
      <c r="B121" s="91"/>
      <c r="C121" s="91"/>
      <c r="D121" s="118">
        <f>SUM(D117:D120)</f>
        <v>0</v>
      </c>
    </row>
    <row r="122" spans="1:9" s="93" customFormat="1" ht="15.75" customHeight="1" x14ac:dyDescent="0.25">
      <c r="A122" s="81"/>
      <c r="B122" s="81"/>
      <c r="C122" s="81"/>
      <c r="D122" s="81"/>
      <c r="H122" s="81"/>
      <c r="I122" s="81"/>
    </row>
    <row r="123" spans="1:9" s="93" customFormat="1" ht="15.75" customHeight="1" x14ac:dyDescent="0.25">
      <c r="A123" s="81"/>
      <c r="B123" s="81"/>
      <c r="C123" s="81"/>
      <c r="D123" s="81"/>
      <c r="H123" s="81"/>
      <c r="I123" s="81"/>
    </row>
    <row r="124" spans="1:9" s="93" customFormat="1" ht="15.75" customHeight="1" thickBot="1" x14ac:dyDescent="0.3">
      <c r="A124" s="81"/>
      <c r="B124" s="81"/>
      <c r="C124" s="81"/>
      <c r="D124" s="81"/>
      <c r="E124" s="81"/>
      <c r="F124" s="81"/>
      <c r="G124" s="81"/>
      <c r="H124" s="81"/>
      <c r="I124" s="81"/>
    </row>
    <row r="125" spans="1:9" ht="18" x14ac:dyDescent="0.25">
      <c r="A125" s="231" t="s">
        <v>208</v>
      </c>
      <c r="B125" s="82"/>
    </row>
    <row r="126" spans="1:9" x14ac:dyDescent="0.25">
      <c r="A126" s="71" t="s">
        <v>198</v>
      </c>
      <c r="B126" s="85"/>
    </row>
    <row r="127" spans="1:9" x14ac:dyDescent="0.25">
      <c r="A127" s="71" t="s">
        <v>199</v>
      </c>
      <c r="B127" s="85"/>
    </row>
    <row r="128" spans="1:9" x14ac:dyDescent="0.25">
      <c r="A128" s="71" t="s">
        <v>200</v>
      </c>
      <c r="B128" s="85"/>
    </row>
    <row r="129" spans="1:2" x14ac:dyDescent="0.25">
      <c r="A129" s="71" t="s">
        <v>201</v>
      </c>
      <c r="B129" s="85">
        <f>SUM(B126:B128)</f>
        <v>0</v>
      </c>
    </row>
    <row r="130" spans="1:2" x14ac:dyDescent="0.25">
      <c r="A130" s="71" t="s">
        <v>202</v>
      </c>
      <c r="B130" s="232">
        <f>ROUND(B129/91.25*0.5,2)</f>
        <v>0</v>
      </c>
    </row>
    <row r="131" spans="1:2" x14ac:dyDescent="0.25">
      <c r="A131" s="71" t="s">
        <v>203</v>
      </c>
      <c r="B131" s="233"/>
    </row>
    <row r="132" spans="1:2" x14ac:dyDescent="0.25">
      <c r="A132" s="71" t="s">
        <v>204</v>
      </c>
      <c r="B132" s="234">
        <f>B131*B130</f>
        <v>0</v>
      </c>
    </row>
    <row r="133" spans="1:2" x14ac:dyDescent="0.25">
      <c r="A133" s="71" t="s">
        <v>40</v>
      </c>
      <c r="B133" s="85">
        <f>ROUND(B132*6.7/100,2)</f>
        <v>0</v>
      </c>
    </row>
    <row r="134" spans="1:2" ht="17.25" thickBot="1" x14ac:dyDescent="0.3">
      <c r="A134" s="73" t="s">
        <v>205</v>
      </c>
      <c r="B134" s="235">
        <f>B132-B133</f>
        <v>0</v>
      </c>
    </row>
    <row r="135" spans="1:2" ht="17.25" thickBot="1" x14ac:dyDescent="0.3"/>
    <row r="136" spans="1:2" ht="18" x14ac:dyDescent="0.25">
      <c r="A136" s="231" t="s">
        <v>206</v>
      </c>
      <c r="B136" s="82"/>
    </row>
    <row r="137" spans="1:2" x14ac:dyDescent="0.25">
      <c r="A137" s="71" t="s">
        <v>207</v>
      </c>
      <c r="B137" s="233"/>
    </row>
    <row r="138" spans="1:2" x14ac:dyDescent="0.25">
      <c r="A138" s="71" t="s">
        <v>6</v>
      </c>
      <c r="B138" s="236">
        <f>B126/30</f>
        <v>0</v>
      </c>
    </row>
    <row r="139" spans="1:2" ht="17.25" thickBot="1" x14ac:dyDescent="0.3">
      <c r="A139" s="73" t="s">
        <v>206</v>
      </c>
      <c r="B139" s="237">
        <f>B138*B137</f>
        <v>0</v>
      </c>
    </row>
    <row r="140" spans="1:2" ht="17.25" thickBot="1" x14ac:dyDescent="0.3"/>
    <row r="141" spans="1:2" ht="18" x14ac:dyDescent="0.25">
      <c r="A141" s="231" t="s">
        <v>154</v>
      </c>
      <c r="B141" s="82"/>
    </row>
    <row r="142" spans="1:2" x14ac:dyDescent="0.25">
      <c r="A142" s="71" t="s">
        <v>207</v>
      </c>
      <c r="B142" s="233"/>
    </row>
    <row r="143" spans="1:2" x14ac:dyDescent="0.25">
      <c r="A143" s="71" t="s">
        <v>209</v>
      </c>
      <c r="B143" s="85">
        <f>B127/30</f>
        <v>0</v>
      </c>
    </row>
    <row r="144" spans="1:2" x14ac:dyDescent="0.25">
      <c r="A144" s="71" t="s">
        <v>210</v>
      </c>
      <c r="B144" s="238"/>
    </row>
    <row r="145" spans="1:2" ht="17.25" thickBot="1" x14ac:dyDescent="0.3">
      <c r="A145" s="73" t="s">
        <v>211</v>
      </c>
      <c r="B145" s="239">
        <f>B142*B143*B144</f>
        <v>0</v>
      </c>
    </row>
    <row r="146" spans="1:2" ht="17.25" thickBot="1" x14ac:dyDescent="0.3"/>
    <row r="147" spans="1:2" ht="18" x14ac:dyDescent="0.25">
      <c r="A147" s="231" t="s">
        <v>212</v>
      </c>
      <c r="B147" s="82"/>
    </row>
    <row r="148" spans="1:2" x14ac:dyDescent="0.25">
      <c r="A148" s="71" t="s">
        <v>207</v>
      </c>
      <c r="B148" s="85"/>
    </row>
    <row r="149" spans="1:2" x14ac:dyDescent="0.25">
      <c r="A149" s="71" t="s">
        <v>6</v>
      </c>
      <c r="B149" s="240">
        <f>B130</f>
        <v>0</v>
      </c>
    </row>
    <row r="150" spans="1:2" ht="17.25" thickBot="1" x14ac:dyDescent="0.3">
      <c r="A150" s="73" t="s">
        <v>213</v>
      </c>
      <c r="B150" s="241">
        <f>B148*B149</f>
        <v>0</v>
      </c>
    </row>
    <row r="156" spans="1:2" x14ac:dyDescent="0.25">
      <c r="B156" s="227">
        <v>2.9000000000000001E-2</v>
      </c>
    </row>
    <row r="157" spans="1:2" x14ac:dyDescent="0.25">
      <c r="A157" s="227">
        <v>6.7000000000000004E-2</v>
      </c>
      <c r="B157" s="227">
        <v>3.7999999999999999E-2</v>
      </c>
    </row>
    <row r="162" spans="1:2" x14ac:dyDescent="0.25">
      <c r="A162" s="81" t="s">
        <v>222</v>
      </c>
      <c r="B162" s="222">
        <v>804.38</v>
      </c>
    </row>
    <row r="163" spans="1:2" x14ac:dyDescent="0.25">
      <c r="A163" s="81" t="s">
        <v>223</v>
      </c>
      <c r="B163" s="81">
        <f>B132</f>
        <v>0</v>
      </c>
    </row>
    <row r="164" spans="1:2" x14ac:dyDescent="0.25">
      <c r="A164" s="81" t="s">
        <v>224</v>
      </c>
      <c r="B164" s="226">
        <f>B163*3.8%</f>
        <v>0</v>
      </c>
    </row>
    <row r="165" spans="1:2" x14ac:dyDescent="0.25">
      <c r="A165" s="81" t="s">
        <v>225</v>
      </c>
      <c r="B165" s="230">
        <f>B163-B164</f>
        <v>0</v>
      </c>
    </row>
    <row r="166" spans="1:2" x14ac:dyDescent="0.25">
      <c r="A166" s="81" t="s">
        <v>226</v>
      </c>
      <c r="B166" s="120">
        <f>+B162+B165</f>
        <v>804.38</v>
      </c>
    </row>
  </sheetData>
  <mergeCells count="13">
    <mergeCell ref="A108:D108"/>
    <mergeCell ref="A116:D116"/>
    <mergeCell ref="A87:A88"/>
    <mergeCell ref="B87:C88"/>
    <mergeCell ref="A95:B95"/>
    <mergeCell ref="B96:B102"/>
    <mergeCell ref="C96:C102"/>
    <mergeCell ref="D96:D102"/>
    <mergeCell ref="B17:C17"/>
    <mergeCell ref="E17:F17"/>
    <mergeCell ref="A82:A83"/>
    <mergeCell ref="B82:B83"/>
    <mergeCell ref="D82:D83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31B1C-2874-463F-9386-E4DDD02F1B96}">
  <sheetPr>
    <tabColor rgb="FFFF0000"/>
  </sheetPr>
  <dimension ref="A1:I17"/>
  <sheetViews>
    <sheetView tabSelected="1" workbookViewId="0">
      <selection activeCell="B7" sqref="B7"/>
    </sheetView>
  </sheetViews>
  <sheetFormatPr baseColWidth="10" defaultRowHeight="15" x14ac:dyDescent="0.25"/>
  <cols>
    <col min="1" max="1" width="21.42578125" style="6" customWidth="1"/>
    <col min="2" max="2" width="13" style="6" bestFit="1" customWidth="1"/>
    <col min="3" max="3" width="12.7109375" style="6" bestFit="1" customWidth="1"/>
    <col min="4" max="5" width="16.85546875" style="6" bestFit="1" customWidth="1"/>
    <col min="6" max="6" width="12.42578125" style="6" bestFit="1" customWidth="1"/>
    <col min="7" max="7" width="12.85546875" style="6" customWidth="1"/>
    <col min="8" max="8" width="13" style="6" bestFit="1" customWidth="1"/>
    <col min="9" max="9" width="13.7109375" style="6" customWidth="1"/>
    <col min="10" max="16384" width="11.42578125" style="6"/>
  </cols>
  <sheetData>
    <row r="1" spans="1:9" ht="21" x14ac:dyDescent="0.25">
      <c r="A1" s="245" t="s">
        <v>227</v>
      </c>
      <c r="B1" s="246"/>
      <c r="C1" s="246"/>
      <c r="D1" s="246"/>
      <c r="E1" s="246"/>
      <c r="F1" s="246"/>
      <c r="G1" s="246"/>
      <c r="H1" s="246"/>
      <c r="I1" s="45"/>
    </row>
    <row r="2" spans="1:9" ht="21.75" thickBot="1" x14ac:dyDescent="0.3">
      <c r="A2" s="45"/>
      <c r="B2" s="45"/>
      <c r="C2" s="45"/>
      <c r="D2" s="45"/>
      <c r="E2" s="45"/>
      <c r="F2" s="45"/>
      <c r="G2" s="45"/>
      <c r="H2" s="45"/>
      <c r="I2" s="45"/>
    </row>
    <row r="3" spans="1:9" ht="21" customHeight="1" thickBot="1" x14ac:dyDescent="0.3">
      <c r="A3" s="46" t="s">
        <v>132</v>
      </c>
      <c r="B3" s="276">
        <v>0.31950000000000001</v>
      </c>
    </row>
    <row r="4" spans="1:9" ht="15.75" thickBot="1" x14ac:dyDescent="0.3"/>
    <row r="5" spans="1:9" ht="30" x14ac:dyDescent="0.25">
      <c r="A5" s="285" t="s">
        <v>102</v>
      </c>
      <c r="B5" s="10" t="s">
        <v>30</v>
      </c>
      <c r="C5" s="10" t="s">
        <v>31</v>
      </c>
      <c r="D5" s="277" t="s">
        <v>110</v>
      </c>
      <c r="E5" s="11" t="s">
        <v>133</v>
      </c>
      <c r="F5" s="11" t="s">
        <v>134</v>
      </c>
      <c r="G5" s="11" t="s">
        <v>135</v>
      </c>
      <c r="H5" s="11" t="s">
        <v>228</v>
      </c>
      <c r="I5" s="48" t="s">
        <v>137</v>
      </c>
    </row>
    <row r="6" spans="1:9" ht="28.5" customHeight="1" x14ac:dyDescent="0.25">
      <c r="A6" s="49" t="s">
        <v>138</v>
      </c>
      <c r="B6" s="50">
        <v>1700</v>
      </c>
      <c r="C6" s="51">
        <f>B6</f>
        <v>1700</v>
      </c>
      <c r="D6" s="278">
        <v>1603.12</v>
      </c>
      <c r="E6" s="50">
        <f>+D6</f>
        <v>1603.12</v>
      </c>
      <c r="F6" s="33">
        <f>ROUND(($B$3/0.6)*((1.6*E6/C6)-1),4)</f>
        <v>0.27089999999999997</v>
      </c>
      <c r="G6" s="279">
        <f>IF(F6&gt;0,F6*C6,0)</f>
        <v>460.53</v>
      </c>
      <c r="H6" s="280">
        <f>G6</f>
        <v>460.53</v>
      </c>
      <c r="I6" s="53" t="str">
        <f>IF(F6&gt;$B$3,"ERREUR","")</f>
        <v/>
      </c>
    </row>
    <row r="7" spans="1:9" ht="28.5" customHeight="1" x14ac:dyDescent="0.25">
      <c r="A7" s="49" t="s">
        <v>139</v>
      </c>
      <c r="B7" s="50">
        <v>1700</v>
      </c>
      <c r="C7" s="51">
        <f>C6+B7</f>
        <v>3400</v>
      </c>
      <c r="D7" s="278">
        <v>1603.12</v>
      </c>
      <c r="E7" s="50">
        <f>D7+E6</f>
        <v>3206.24</v>
      </c>
      <c r="F7" s="33">
        <f>ROUND(($B$3/0.6)*((1.6*E7/C7)-1),4)</f>
        <v>0.27089999999999997</v>
      </c>
      <c r="G7" s="279">
        <f>IF(F7&gt;0,F7*C7,0)</f>
        <v>921.06</v>
      </c>
      <c r="H7" s="281">
        <f>G7-G6</f>
        <v>460.53</v>
      </c>
      <c r="I7" s="53" t="str">
        <f t="shared" ref="I7:I15" si="0">IF(F7&gt;$B$3,"ERREUR","")</f>
        <v/>
      </c>
    </row>
    <row r="8" spans="1:9" ht="28.5" customHeight="1" x14ac:dyDescent="0.25">
      <c r="A8" s="49" t="s">
        <v>140</v>
      </c>
      <c r="B8" s="50">
        <v>1700</v>
      </c>
      <c r="C8" s="51">
        <f t="shared" ref="C8:C17" si="1">C7+B8</f>
        <v>5100</v>
      </c>
      <c r="D8" s="278">
        <v>1603.12</v>
      </c>
      <c r="E8" s="50">
        <f t="shared" ref="E8:E17" si="2">D8+E7</f>
        <v>4809.3599999999997</v>
      </c>
      <c r="F8" s="33">
        <f t="shared" ref="F7:F17" si="3">ROUND(($B$3/0.6)*((1.6*E8/C8)-1),4)</f>
        <v>0.27089999999999997</v>
      </c>
      <c r="G8" s="281">
        <f t="shared" ref="G7:G17" si="4">IF(F8&gt;0,F8*C8,0)</f>
        <v>1381.59</v>
      </c>
      <c r="H8" s="280">
        <f t="shared" ref="H8:H17" si="5">G8-G7</f>
        <v>460.53</v>
      </c>
      <c r="I8" s="53" t="str">
        <f t="shared" si="0"/>
        <v/>
      </c>
    </row>
    <row r="9" spans="1:9" ht="28.5" customHeight="1" x14ac:dyDescent="0.25">
      <c r="A9" s="49" t="s">
        <v>141</v>
      </c>
      <c r="B9" s="50">
        <v>1800</v>
      </c>
      <c r="C9" s="51">
        <f t="shared" si="1"/>
        <v>6900</v>
      </c>
      <c r="D9" s="278">
        <v>1603.12</v>
      </c>
      <c r="E9" s="50">
        <f t="shared" si="2"/>
        <v>6412.48</v>
      </c>
      <c r="F9" s="33">
        <f t="shared" si="3"/>
        <v>0.25929999999999997</v>
      </c>
      <c r="G9" s="279">
        <f t="shared" si="4"/>
        <v>1789.1699999999998</v>
      </c>
      <c r="H9" s="280">
        <f t="shared" si="5"/>
        <v>407.57999999999993</v>
      </c>
      <c r="I9" s="53" t="str">
        <f t="shared" si="0"/>
        <v/>
      </c>
    </row>
    <row r="10" spans="1:9" ht="28.5" customHeight="1" x14ac:dyDescent="0.25">
      <c r="A10" s="49" t="s">
        <v>142</v>
      </c>
      <c r="B10" s="50">
        <v>1800</v>
      </c>
      <c r="C10" s="51">
        <f t="shared" si="1"/>
        <v>8700</v>
      </c>
      <c r="D10" s="278">
        <v>1603.12</v>
      </c>
      <c r="E10" s="50">
        <f t="shared" si="2"/>
        <v>8015.5999999999995</v>
      </c>
      <c r="F10" s="33">
        <f t="shared" si="3"/>
        <v>0.2525</v>
      </c>
      <c r="G10" s="279">
        <f t="shared" si="4"/>
        <v>2196.75</v>
      </c>
      <c r="H10" s="280">
        <f t="shared" si="5"/>
        <v>407.58000000000015</v>
      </c>
      <c r="I10" s="53" t="str">
        <f t="shared" si="0"/>
        <v/>
      </c>
    </row>
    <row r="11" spans="1:9" ht="28.5" customHeight="1" x14ac:dyDescent="0.25">
      <c r="A11" s="49" t="s">
        <v>143</v>
      </c>
      <c r="B11" s="50">
        <v>1800</v>
      </c>
      <c r="C11" s="51">
        <f t="shared" si="1"/>
        <v>10500</v>
      </c>
      <c r="D11" s="278">
        <v>1603.12</v>
      </c>
      <c r="E11" s="50">
        <f t="shared" si="2"/>
        <v>9618.7199999999993</v>
      </c>
      <c r="F11" s="33">
        <f t="shared" si="3"/>
        <v>0.248</v>
      </c>
      <c r="G11" s="281">
        <f t="shared" si="4"/>
        <v>2604</v>
      </c>
      <c r="H11" s="280">
        <f t="shared" si="5"/>
        <v>407.25</v>
      </c>
      <c r="I11" s="53" t="str">
        <f t="shared" si="0"/>
        <v/>
      </c>
    </row>
    <row r="12" spans="1:9" ht="28.5" customHeight="1" x14ac:dyDescent="0.25">
      <c r="A12" s="49" t="s">
        <v>144</v>
      </c>
      <c r="B12" s="50">
        <v>2700</v>
      </c>
      <c r="C12" s="51">
        <f t="shared" si="1"/>
        <v>13200</v>
      </c>
      <c r="D12" s="278">
        <v>1603.12</v>
      </c>
      <c r="E12" s="50">
        <f t="shared" si="2"/>
        <v>11221.84</v>
      </c>
      <c r="F12" s="33">
        <f t="shared" si="3"/>
        <v>0.1918</v>
      </c>
      <c r="G12" s="279">
        <f t="shared" si="4"/>
        <v>2531.7599999999998</v>
      </c>
      <c r="H12" s="280">
        <f t="shared" si="5"/>
        <v>-72.240000000000236</v>
      </c>
      <c r="I12" s="53" t="str">
        <f t="shared" si="0"/>
        <v/>
      </c>
    </row>
    <row r="13" spans="1:9" ht="28.5" customHeight="1" x14ac:dyDescent="0.25">
      <c r="A13" s="49" t="s">
        <v>145</v>
      </c>
      <c r="B13" s="50">
        <v>1800</v>
      </c>
      <c r="C13" s="51">
        <f t="shared" si="1"/>
        <v>15000</v>
      </c>
      <c r="D13" s="278">
        <v>1603.12</v>
      </c>
      <c r="E13" s="50">
        <f t="shared" si="2"/>
        <v>12824.96</v>
      </c>
      <c r="F13" s="33">
        <f t="shared" si="3"/>
        <v>0.19600000000000001</v>
      </c>
      <c r="G13" s="282">
        <f t="shared" si="4"/>
        <v>2940</v>
      </c>
      <c r="H13" s="280">
        <f t="shared" si="5"/>
        <v>408.24000000000024</v>
      </c>
      <c r="I13" s="53" t="str">
        <f t="shared" si="0"/>
        <v/>
      </c>
    </row>
    <row r="14" spans="1:9" ht="28.5" customHeight="1" x14ac:dyDescent="0.25">
      <c r="A14" s="49" t="s">
        <v>146</v>
      </c>
      <c r="B14" s="50">
        <v>1800</v>
      </c>
      <c r="C14" s="51">
        <f t="shared" si="1"/>
        <v>16800</v>
      </c>
      <c r="D14" s="278">
        <v>1603.12</v>
      </c>
      <c r="E14" s="50">
        <f t="shared" si="2"/>
        <v>14428.079999999998</v>
      </c>
      <c r="F14" s="33">
        <f t="shared" si="3"/>
        <v>0.19919999999999999</v>
      </c>
      <c r="G14" s="279">
        <f t="shared" si="4"/>
        <v>3346.56</v>
      </c>
      <c r="H14" s="280">
        <f t="shared" si="5"/>
        <v>406.55999999999995</v>
      </c>
      <c r="I14" s="53" t="str">
        <f t="shared" si="0"/>
        <v/>
      </c>
    </row>
    <row r="15" spans="1:9" ht="28.5" customHeight="1" x14ac:dyDescent="0.25">
      <c r="A15" s="49" t="s">
        <v>147</v>
      </c>
      <c r="B15" s="50">
        <v>1800</v>
      </c>
      <c r="C15" s="51">
        <f t="shared" si="1"/>
        <v>18600</v>
      </c>
      <c r="D15" s="278">
        <v>1603.12</v>
      </c>
      <c r="E15" s="50">
        <f t="shared" si="2"/>
        <v>16031.199999999997</v>
      </c>
      <c r="F15" s="33">
        <f t="shared" si="3"/>
        <v>0.20180000000000001</v>
      </c>
      <c r="G15" s="279">
        <f t="shared" si="4"/>
        <v>3753.48</v>
      </c>
      <c r="H15" s="280">
        <f t="shared" si="5"/>
        <v>406.92000000000007</v>
      </c>
      <c r="I15" s="53" t="str">
        <f t="shared" si="0"/>
        <v/>
      </c>
    </row>
    <row r="16" spans="1:9" ht="28.5" customHeight="1" x14ac:dyDescent="0.25">
      <c r="A16" s="49" t="s">
        <v>148</v>
      </c>
      <c r="B16" s="50">
        <v>1800</v>
      </c>
      <c r="C16" s="51">
        <f t="shared" si="1"/>
        <v>20400</v>
      </c>
      <c r="D16" s="278">
        <v>1603.12</v>
      </c>
      <c r="E16" s="50">
        <f t="shared" si="2"/>
        <v>17634.319999999996</v>
      </c>
      <c r="F16" s="33">
        <f t="shared" si="3"/>
        <v>0.20399999999999999</v>
      </c>
      <c r="G16" s="279">
        <f t="shared" si="4"/>
        <v>4161.5999999999995</v>
      </c>
      <c r="H16" s="280">
        <f t="shared" si="5"/>
        <v>408.11999999999944</v>
      </c>
      <c r="I16" s="53"/>
    </row>
    <row r="17" spans="1:9" ht="28.5" customHeight="1" thickBot="1" x14ac:dyDescent="0.3">
      <c r="A17" s="56" t="s">
        <v>149</v>
      </c>
      <c r="B17" s="57">
        <v>2700</v>
      </c>
      <c r="C17" s="58">
        <f t="shared" si="1"/>
        <v>23100</v>
      </c>
      <c r="D17" s="278">
        <v>1603.12</v>
      </c>
      <c r="E17" s="57">
        <f t="shared" si="2"/>
        <v>19237.439999999995</v>
      </c>
      <c r="F17" s="33">
        <f t="shared" si="3"/>
        <v>0.17699999999999999</v>
      </c>
      <c r="G17" s="283">
        <f t="shared" si="4"/>
        <v>4088.7</v>
      </c>
      <c r="H17" s="284">
        <f t="shared" si="5"/>
        <v>-72.899999999999636</v>
      </c>
      <c r="I17" s="60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Planning</vt:lpstr>
      <vt:lpstr>REGULARISATION</vt:lpstr>
      <vt:lpstr>MAQUETTE BULLETIN</vt:lpstr>
      <vt:lpstr>Régularisation mensuelle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2020-11-01T06:30:57Z</dcterms:created>
  <dcterms:modified xsi:type="dcterms:W3CDTF">2022-01-02T19:56:14Z</dcterms:modified>
</cp:coreProperties>
</file>