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KHOS\Desktop\FOAD YT\HEURES SUPP\"/>
    </mc:Choice>
  </mc:AlternateContent>
  <xr:revisionPtr revIDLastSave="0" documentId="13_ncr:1_{51CBCC6D-C65B-4F33-A1DB-8F5394D807FE}" xr6:coauthVersionLast="37" xr6:coauthVersionMax="37" xr10:uidLastSave="{00000000-0000-0000-0000-000000000000}"/>
  <bookViews>
    <workbookView xWindow="0" yWindow="0" windowWidth="24000" windowHeight="8850" activeTab="1" xr2:uid="{185D6ACD-3642-4F40-8239-C6AAD38CEBE0}"/>
  </bookViews>
  <sheets>
    <sheet name="Avec exonération 2019" sheetId="2" r:id="rId1"/>
    <sheet name="Sans exonération" sheetId="3" r:id="rId2"/>
    <sheet name="DUMAINE BULLETIN" sheetId="1" r:id="rId3"/>
  </sheets>
  <externalReferences>
    <externalReference r:id="rId4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2" l="1"/>
  <c r="B14" i="2"/>
  <c r="B34" i="3"/>
  <c r="F29" i="3"/>
  <c r="F24" i="3"/>
  <c r="B44" i="3" l="1"/>
  <c r="K41" i="3"/>
  <c r="K38" i="3"/>
  <c r="C32" i="3"/>
  <c r="F25" i="3"/>
  <c r="K39" i="3" s="1"/>
  <c r="E21" i="3"/>
  <c r="I12" i="3"/>
  <c r="I13" i="3" s="1"/>
  <c r="L8" i="3" s="1"/>
  <c r="J8" i="3"/>
  <c r="K8" i="3" s="1"/>
  <c r="L7" i="3"/>
  <c r="I6" i="3"/>
  <c r="I7" i="3" s="1"/>
  <c r="I9" i="3" s="1"/>
  <c r="J5" i="3"/>
  <c r="J6" i="3" s="1"/>
  <c r="K6" i="3" s="1"/>
  <c r="J4" i="3"/>
  <c r="K4" i="3" s="1"/>
  <c r="J3" i="3"/>
  <c r="C2" i="3"/>
  <c r="F2" i="3" s="1"/>
  <c r="B26" i="2"/>
  <c r="D26" i="2" s="1"/>
  <c r="J7" i="2"/>
  <c r="K7" i="2" s="1"/>
  <c r="J8" i="2"/>
  <c r="J9" i="2" s="1"/>
  <c r="I9" i="2"/>
  <c r="I10" i="2" s="1"/>
  <c r="I12" i="2" s="1"/>
  <c r="L10" i="2"/>
  <c r="B49" i="2"/>
  <c r="E25" i="2" s="1"/>
  <c r="K46" i="2"/>
  <c r="C37" i="2"/>
  <c r="F30" i="2"/>
  <c r="K44" i="2" s="1"/>
  <c r="K43" i="2"/>
  <c r="I15" i="2"/>
  <c r="I16" i="2" s="1"/>
  <c r="L11" i="2" s="1"/>
  <c r="J11" i="2"/>
  <c r="K11" i="2" s="1"/>
  <c r="J6" i="2"/>
  <c r="C5" i="2"/>
  <c r="F5" i="2" s="1"/>
  <c r="J3" i="1"/>
  <c r="K3" i="1" s="1"/>
  <c r="B40" i="1"/>
  <c r="K37" i="1"/>
  <c r="K35" i="1"/>
  <c r="K34" i="1"/>
  <c r="I8" i="1"/>
  <c r="I9" i="1" s="1"/>
  <c r="L4" i="1" s="1"/>
  <c r="L5" i="1" s="1"/>
  <c r="J4" i="1"/>
  <c r="C2" i="1"/>
  <c r="F2" i="1" s="1"/>
  <c r="J7" i="3" l="1"/>
  <c r="J9" i="3" s="1"/>
  <c r="L9" i="3"/>
  <c r="F8" i="3"/>
  <c r="K3" i="3"/>
  <c r="K5" i="3"/>
  <c r="J10" i="2"/>
  <c r="K8" i="2"/>
  <c r="K9" i="2"/>
  <c r="L12" i="2"/>
  <c r="K6" i="2"/>
  <c r="B27" i="2"/>
  <c r="D27" i="2" s="1"/>
  <c r="F11" i="2"/>
  <c r="B28" i="2"/>
  <c r="D28" i="2" s="1"/>
  <c r="B22" i="2"/>
  <c r="D22" i="2" s="1"/>
  <c r="J12" i="2"/>
  <c r="I5" i="1"/>
  <c r="J5" i="1"/>
  <c r="K4" i="1"/>
  <c r="B22" i="3" l="1"/>
  <c r="I33" i="3" s="1"/>
  <c r="K33" i="3" s="1"/>
  <c r="B20" i="3"/>
  <c r="B11" i="3"/>
  <c r="B18" i="3"/>
  <c r="B14" i="3"/>
  <c r="F20" i="3"/>
  <c r="I31" i="3"/>
  <c r="F19" i="3"/>
  <c r="B16" i="3"/>
  <c r="I40" i="3"/>
  <c r="K40" i="3" s="1"/>
  <c r="K42" i="3" s="1"/>
  <c r="F34" i="3" s="1"/>
  <c r="B17" i="3"/>
  <c r="F14" i="3"/>
  <c r="F11" i="3"/>
  <c r="K7" i="3"/>
  <c r="K10" i="2"/>
  <c r="N10" i="2" s="1"/>
  <c r="P10" i="2" s="1"/>
  <c r="Q10" i="2" s="1"/>
  <c r="I38" i="2"/>
  <c r="K38" i="2" s="1"/>
  <c r="B20" i="2"/>
  <c r="F17" i="2"/>
  <c r="F14" i="2"/>
  <c r="B21" i="2"/>
  <c r="B17" i="2"/>
  <c r="I45" i="2"/>
  <c r="K45" i="2" s="1"/>
  <c r="K47" i="2" s="1"/>
  <c r="F39" i="2" s="1"/>
  <c r="I36" i="2"/>
  <c r="F24" i="2"/>
  <c r="F23" i="2"/>
  <c r="B19" i="2"/>
  <c r="K5" i="1"/>
  <c r="N5" i="1" s="1"/>
  <c r="P5" i="1" s="1"/>
  <c r="Q5" i="1" s="1"/>
  <c r="R5" i="1" s="1"/>
  <c r="I30" i="1"/>
  <c r="K30" i="1" s="1"/>
  <c r="I36" i="1"/>
  <c r="K36" i="1" s="1"/>
  <c r="K38" i="1" s="1"/>
  <c r="B23" i="3" l="1"/>
  <c r="D23" i="3" s="1"/>
  <c r="D22" i="3"/>
  <c r="N7" i="3"/>
  <c r="P7" i="3" s="1"/>
  <c r="Q7" i="3" s="1"/>
  <c r="K9" i="3"/>
  <c r="N9" i="3" s="1"/>
  <c r="P9" i="3" s="1"/>
  <c r="Q9" i="3" s="1"/>
  <c r="F16" i="3"/>
  <c r="D16" i="3"/>
  <c r="F17" i="3"/>
  <c r="D17" i="3"/>
  <c r="I32" i="3"/>
  <c r="K32" i="3" s="1"/>
  <c r="K31" i="3"/>
  <c r="B21" i="3"/>
  <c r="F21" i="3" s="1"/>
  <c r="F18" i="3"/>
  <c r="B19" i="3"/>
  <c r="D18" i="3"/>
  <c r="K12" i="2"/>
  <c r="N12" i="2" s="1"/>
  <c r="P12" i="2" s="1"/>
  <c r="Q12" i="2" s="1"/>
  <c r="R12" i="2" s="1"/>
  <c r="I37" i="2"/>
  <c r="K37" i="2" s="1"/>
  <c r="K36" i="2"/>
  <c r="F20" i="2"/>
  <c r="D20" i="2"/>
  <c r="F19" i="2"/>
  <c r="D19" i="2"/>
  <c r="B23" i="2"/>
  <c r="D21" i="2"/>
  <c r="B25" i="2"/>
  <c r="F25" i="2" s="1"/>
  <c r="F21" i="2"/>
  <c r="I29" i="1"/>
  <c r="K29" i="1" s="1"/>
  <c r="F26" i="3" l="1"/>
  <c r="F35" i="3" s="1"/>
  <c r="R9" i="3"/>
  <c r="K34" i="3"/>
  <c r="D26" i="3"/>
  <c r="F31" i="2"/>
  <c r="F40" i="2" s="1"/>
  <c r="K39" i="2"/>
  <c r="F34" i="2" s="1"/>
  <c r="D31" i="2"/>
  <c r="K31" i="1"/>
  <c r="B32" i="3" l="1"/>
  <c r="F32" i="3" s="1"/>
  <c r="F28" i="3"/>
  <c r="B39" i="2"/>
  <c r="B37" i="2" s="1"/>
  <c r="F37" i="2" s="1"/>
  <c r="F33" i="2"/>
  <c r="F33" i="3" l="1"/>
  <c r="F38" i="2"/>
</calcChain>
</file>

<file path=xl/sharedStrings.xml><?xml version="1.0" encoding="utf-8"?>
<sst xmlns="http://schemas.openxmlformats.org/spreadsheetml/2006/main" count="233" uniqueCount="91">
  <si>
    <t>Salaire de base</t>
  </si>
  <si>
    <t>Calcul de l'allègement FILLON</t>
  </si>
  <si>
    <t>7 Heures supplémentaires à 125%</t>
  </si>
  <si>
    <t>base</t>
  </si>
  <si>
    <t>prime anc</t>
  </si>
  <si>
    <t>brut</t>
  </si>
  <si>
    <t>SMIC</t>
  </si>
  <si>
    <t>SMIC C</t>
  </si>
  <si>
    <t>coef fillon C</t>
  </si>
  <si>
    <t>coef arrondi</t>
  </si>
  <si>
    <t>fillon cumulé</t>
  </si>
  <si>
    <t>fillon mai</t>
  </si>
  <si>
    <t>Prime exceptionnelle</t>
  </si>
  <si>
    <t>janvier</t>
  </si>
  <si>
    <t>Absences</t>
  </si>
  <si>
    <t>février</t>
  </si>
  <si>
    <t>Prime ancienneté</t>
  </si>
  <si>
    <t>mars</t>
  </si>
  <si>
    <t>avril</t>
  </si>
  <si>
    <t>total fin avriil</t>
  </si>
  <si>
    <t>Salaire brut</t>
  </si>
  <si>
    <t>mai</t>
  </si>
  <si>
    <t>Assiettes</t>
  </si>
  <si>
    <t>Taux</t>
  </si>
  <si>
    <t>Retenues
salariales</t>
  </si>
  <si>
    <t>Retenues
patronales</t>
  </si>
  <si>
    <t>Total fin mai</t>
  </si>
  <si>
    <t>SANTE</t>
  </si>
  <si>
    <t>Heures supplémentaires en mai</t>
  </si>
  <si>
    <t>Complémentaire incapacité invalidité décès</t>
  </si>
  <si>
    <t>Durée du travail en mai</t>
  </si>
  <si>
    <t xml:space="preserve">Complémentaire santé </t>
  </si>
  <si>
    <t>SMIC en mai</t>
  </si>
  <si>
    <t>Retraite</t>
  </si>
  <si>
    <t>Réduction heures supplémentaires</t>
  </si>
  <si>
    <t>C.S.G/CRDS non-déductible de l'impôt sur le revenu</t>
  </si>
  <si>
    <t>C.S.G/CRDS déductible de l'impôt sur le revenu</t>
  </si>
  <si>
    <t>C.S.G/CRDS sur heures sup. non-déductible de l'impôt sur le revenu</t>
  </si>
  <si>
    <t>Exonération de cotisation employeur Allègement FILLON</t>
  </si>
  <si>
    <t>Une seule ligne</t>
  </si>
  <si>
    <t>Exonération de cotisation employeur sur heures sup</t>
  </si>
  <si>
    <t>Total de cotisations et contributions</t>
  </si>
  <si>
    <t>NET A PAYER AVANT IMPOT SUR LE REVENU</t>
  </si>
  <si>
    <t>dont évolution de la rémunération liée à la suppression des cotisations chômage et maladie</t>
  </si>
  <si>
    <t>Dont évolution</t>
  </si>
  <si>
    <t>IMPOT SUR LE REVENU</t>
  </si>
  <si>
    <t>Bases</t>
  </si>
  <si>
    <t>VALEUR</t>
  </si>
  <si>
    <t>personnalisé</t>
  </si>
  <si>
    <t>Suppression cotisation chômage</t>
  </si>
  <si>
    <t>Impôt sur le revenu prélevé à la source</t>
  </si>
  <si>
    <t>Suppression cotisation maladie</t>
  </si>
  <si>
    <t>Augmentation CSG CRDS</t>
  </si>
  <si>
    <t>Gain pour le salarié</t>
  </si>
  <si>
    <t>Total versé</t>
  </si>
  <si>
    <t>Calcul de l'allègement de cotisations employeur</t>
  </si>
  <si>
    <t>Allègement général de cotisations</t>
  </si>
  <si>
    <t>FNAL</t>
  </si>
  <si>
    <t>Allègement général sur heures supplémentaires</t>
  </si>
  <si>
    <t>DIALOGUE</t>
  </si>
  <si>
    <t>Réduction allocations familiales</t>
  </si>
  <si>
    <t>FORMAT PROF</t>
  </si>
  <si>
    <t>APPRENTISSAGE</t>
  </si>
  <si>
    <t>Total</t>
  </si>
  <si>
    <t>CSA</t>
  </si>
  <si>
    <t>Sécurité sociale - Maladie - Maternité - Invalidité décès</t>
  </si>
  <si>
    <t xml:space="preserve">Sécurité sociale plafonnée </t>
  </si>
  <si>
    <t xml:space="preserve">Sécurité sociale déplafonnée </t>
  </si>
  <si>
    <t>Complémentaire Tranche 1</t>
  </si>
  <si>
    <t xml:space="preserve">Assurance chômage </t>
  </si>
  <si>
    <t xml:space="preserve">Autres contributions dues par l'employeur </t>
  </si>
  <si>
    <t xml:space="preserve">NET IMPOSABLE </t>
  </si>
  <si>
    <t xml:space="preserve">Net payé                              </t>
  </si>
  <si>
    <t>Total versé par</t>
  </si>
  <si>
    <t>l'employeur</t>
  </si>
  <si>
    <t>Allègement
employeur</t>
  </si>
  <si>
    <r>
      <t>Accident du travail - Maladies professionnelles</t>
    </r>
    <r>
      <rPr>
        <b/>
        <sz val="9"/>
        <color rgb="FFFF0000"/>
        <rFont val="Times New Roman"/>
        <family val="1"/>
      </rPr>
      <t xml:space="preserve"> </t>
    </r>
  </si>
  <si>
    <r>
      <t xml:space="preserve"> </t>
    </r>
    <r>
      <rPr>
        <b/>
        <sz val="9"/>
        <color rgb="FF000000"/>
        <rFont val="Times New Roman"/>
        <family val="1"/>
      </rPr>
      <t xml:space="preserve">Famille </t>
    </r>
  </si>
  <si>
    <r>
      <rPr>
        <b/>
        <sz val="9"/>
        <rFont val="Times New Roman"/>
        <family val="1"/>
      </rPr>
      <t>Impôt sur le revenu prélevé à la source</t>
    </r>
    <r>
      <rPr>
        <b/>
        <sz val="9"/>
        <color rgb="FFFF0000"/>
        <rFont val="Times New Roman"/>
        <family val="1"/>
      </rPr>
      <t xml:space="preserve"> avec un exemple de taux</t>
    </r>
  </si>
  <si>
    <t>Heures supplémentaires à 125%</t>
  </si>
  <si>
    <t xml:space="preserve">Sécurité sociale - Maladie - Maternité - Invalidité décès </t>
  </si>
  <si>
    <t>Sécurité sociale plafonnée</t>
  </si>
  <si>
    <t xml:space="preserve">Complémentaire Tranche 1 </t>
  </si>
  <si>
    <t>dont évolution de la rémunération liée à la suppression des cotisations</t>
  </si>
  <si>
    <t>Allègement 
employeur</t>
  </si>
  <si>
    <t xml:space="preserve">Net payé                                  </t>
  </si>
  <si>
    <t>NET IMPOSABLE</t>
  </si>
  <si>
    <r>
      <t>Accident du travail - Maladies professionnelles</t>
    </r>
    <r>
      <rPr>
        <b/>
        <sz val="11"/>
        <color rgb="FFFF0000"/>
        <rFont val="Times New Roman"/>
        <family val="1"/>
      </rPr>
      <t xml:space="preserve"> </t>
    </r>
  </si>
  <si>
    <r>
      <t xml:space="preserve"> </t>
    </r>
    <r>
      <rPr>
        <b/>
        <sz val="11"/>
        <color rgb="FF000000"/>
        <rFont val="Times New Roman"/>
        <family val="1"/>
      </rPr>
      <t xml:space="preserve">Famille </t>
    </r>
  </si>
  <si>
    <t>C.S.G/CRDS sur heures sup. non-déductible</t>
  </si>
  <si>
    <t>Voici le bulletin de paie tel qu'il se présenterait s'il n'y avait pas eu d'exonérations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</si>
</sst>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i/>
      <sz val="9"/>
      <color rgb="FF000000"/>
      <name val="Times New Roman"/>
      <family val="1"/>
    </font>
    <font>
      <b/>
      <i/>
      <sz val="9"/>
      <name val="Times New Roman"/>
      <family val="1"/>
    </font>
    <font>
      <b/>
      <strike/>
      <sz val="9"/>
      <color rgb="FF000000"/>
      <name val="Times New Roman"/>
      <family val="1"/>
    </font>
    <font>
      <i/>
      <sz val="9"/>
      <name val="Times New Roman"/>
      <family val="1"/>
    </font>
    <font>
      <i/>
      <sz val="9"/>
      <color rgb="FF000000"/>
      <name val="Times New Roman"/>
      <family val="1"/>
    </font>
    <font>
      <b/>
      <sz val="9"/>
      <color rgb="FFFF0000"/>
      <name val="Calibri"/>
      <family val="2"/>
      <scheme val="minor"/>
    </font>
    <font>
      <b/>
      <sz val="9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11"/>
      <name val="Times New Roman"/>
      <family val="1"/>
    </font>
    <font>
      <b/>
      <strike/>
      <sz val="11"/>
      <color rgb="FF000000"/>
      <name val="Times New Roman"/>
      <family val="1"/>
    </font>
    <font>
      <i/>
      <sz val="11"/>
      <name val="Times New Roman"/>
      <family val="1"/>
    </font>
    <font>
      <i/>
      <sz val="11"/>
      <color rgb="FF000000"/>
      <name val="Times New Roman"/>
      <family val="1"/>
    </font>
    <font>
      <b/>
      <sz val="1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20" xfId="0" applyFont="1" applyFill="1" applyBorder="1" applyAlignment="1">
      <alignment horizontal="left" vertical="center" wrapText="1" readingOrder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4" fontId="3" fillId="0" borderId="4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44" fontId="6" fillId="0" borderId="9" xfId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44" fontId="6" fillId="0" borderId="11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44" fontId="3" fillId="0" borderId="11" xfId="1" applyFont="1" applyFill="1" applyBorder="1" applyAlignment="1">
      <alignment vertical="center"/>
    </xf>
    <xf numFmtId="44" fontId="3" fillId="0" borderId="9" xfId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right" vertical="center" wrapText="1"/>
    </xf>
    <xf numFmtId="0" fontId="8" fillId="0" borderId="15" xfId="0" applyFont="1" applyFill="1" applyBorder="1" applyAlignment="1">
      <alignment horizontal="left" vertical="center" wrapText="1" readingOrder="1"/>
    </xf>
    <xf numFmtId="0" fontId="8" fillId="0" borderId="16" xfId="0" applyFont="1" applyFill="1" applyBorder="1" applyAlignment="1">
      <alignment horizontal="left" vertical="center" wrapText="1" readingOrder="1"/>
    </xf>
    <xf numFmtId="44" fontId="3" fillId="0" borderId="9" xfId="1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 wrapText="1" readingOrder="1"/>
    </xf>
    <xf numFmtId="0" fontId="2" fillId="0" borderId="18" xfId="0" applyFont="1" applyFill="1" applyBorder="1" applyAlignment="1">
      <alignment horizontal="center" vertical="center" wrapText="1" readingOrder="1"/>
    </xf>
    <xf numFmtId="0" fontId="3" fillId="0" borderId="12" xfId="0" applyFont="1" applyFill="1" applyBorder="1" applyAlignment="1">
      <alignment vertical="center"/>
    </xf>
    <xf numFmtId="44" fontId="3" fillId="0" borderId="13" xfId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44" fontId="3" fillId="0" borderId="13" xfId="0" applyNumberFormat="1" applyFont="1" applyFill="1" applyBorder="1" applyAlignment="1">
      <alignment vertical="center"/>
    </xf>
    <xf numFmtId="44" fontId="6" fillId="0" borderId="14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 readingOrder="1"/>
    </xf>
    <xf numFmtId="0" fontId="2" fillId="0" borderId="21" xfId="0" applyFont="1" applyFill="1" applyBorder="1" applyAlignment="1">
      <alignment horizontal="center" vertical="center" wrapText="1" readingOrder="1"/>
    </xf>
    <xf numFmtId="0" fontId="9" fillId="0" borderId="20" xfId="0" applyFont="1" applyFill="1" applyBorder="1" applyAlignment="1">
      <alignment horizontal="right" vertical="center" wrapText="1"/>
    </xf>
    <xf numFmtId="0" fontId="9" fillId="0" borderId="20" xfId="0" applyFont="1" applyFill="1" applyBorder="1" applyAlignment="1">
      <alignment vertical="center" wrapText="1"/>
    </xf>
    <xf numFmtId="9" fontId="9" fillId="0" borderId="21" xfId="0" applyNumberFormat="1" applyFont="1" applyFill="1" applyBorder="1" applyAlignment="1">
      <alignment vertical="center" wrapText="1"/>
    </xf>
    <xf numFmtId="10" fontId="10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0" fontId="8" fillId="0" borderId="20" xfId="0" applyNumberFormat="1" applyFont="1" applyFill="1" applyBorder="1" applyAlignment="1">
      <alignment horizontal="center" vertical="center" wrapText="1" readingOrder="1"/>
    </xf>
    <xf numFmtId="0" fontId="8" fillId="0" borderId="20" xfId="0" applyFont="1" applyFill="1" applyBorder="1" applyAlignment="1">
      <alignment horizontal="right" vertical="center" wrapText="1" readingOrder="1"/>
    </xf>
    <xf numFmtId="0" fontId="8" fillId="0" borderId="21" xfId="0" applyFont="1" applyFill="1" applyBorder="1" applyAlignment="1">
      <alignment horizontal="right" vertical="center" wrapText="1" readingOrder="1"/>
    </xf>
    <xf numFmtId="8" fontId="8" fillId="0" borderId="20" xfId="0" applyNumberFormat="1" applyFont="1" applyFill="1" applyBorder="1" applyAlignment="1">
      <alignment horizontal="right" vertical="center" wrapText="1" readingOrder="1"/>
    </xf>
    <xf numFmtId="8" fontId="8" fillId="0" borderId="21" xfId="0" applyNumberFormat="1" applyFont="1" applyFill="1" applyBorder="1" applyAlignment="1">
      <alignment horizontal="right" vertical="center" wrapText="1" readingOrder="1"/>
    </xf>
    <xf numFmtId="44" fontId="3" fillId="0" borderId="14" xfId="1" applyFont="1" applyFill="1" applyBorder="1" applyAlignment="1">
      <alignment vertical="center"/>
    </xf>
    <xf numFmtId="44" fontId="9" fillId="0" borderId="20" xfId="0" applyNumberFormat="1" applyFont="1" applyFill="1" applyBorder="1" applyAlignment="1">
      <alignment horizontal="right" vertical="center" wrapText="1"/>
    </xf>
    <xf numFmtId="10" fontId="9" fillId="0" borderId="21" xfId="0" applyNumberFormat="1" applyFont="1" applyFill="1" applyBorder="1" applyAlignment="1">
      <alignment horizontal="right" vertical="center" wrapText="1"/>
    </xf>
    <xf numFmtId="0" fontId="8" fillId="0" borderId="20" xfId="0" applyFont="1" applyFill="1" applyBorder="1" applyAlignment="1">
      <alignment horizontal="center" vertical="center" wrapText="1" readingOrder="1"/>
    </xf>
    <xf numFmtId="0" fontId="9" fillId="0" borderId="21" xfId="0" applyFont="1" applyFill="1" applyBorder="1" applyAlignment="1">
      <alignment horizontal="right" vertical="center" wrapText="1"/>
    </xf>
    <xf numFmtId="10" fontId="8" fillId="0" borderId="21" xfId="0" applyNumberFormat="1" applyFont="1" applyFill="1" applyBorder="1" applyAlignment="1">
      <alignment horizontal="right" vertical="center" wrapText="1" readingOrder="1"/>
    </xf>
    <xf numFmtId="44" fontId="12" fillId="2" borderId="20" xfId="0" applyNumberFormat="1" applyFont="1" applyFill="1" applyBorder="1" applyAlignment="1">
      <alignment horizontal="right" vertical="center" wrapText="1"/>
    </xf>
    <xf numFmtId="10" fontId="11" fillId="2" borderId="20" xfId="0" applyNumberFormat="1" applyFont="1" applyFill="1" applyBorder="1" applyAlignment="1">
      <alignment horizontal="center" vertical="center" wrapText="1" readingOrder="1"/>
    </xf>
    <xf numFmtId="8" fontId="11" fillId="2" borderId="20" xfId="0" applyNumberFormat="1" applyFont="1" applyFill="1" applyBorder="1" applyAlignment="1">
      <alignment horizontal="right" vertical="center" wrapText="1" readingOrder="1"/>
    </xf>
    <xf numFmtId="8" fontId="11" fillId="0" borderId="21" xfId="0" applyNumberFormat="1" applyFont="1" applyFill="1" applyBorder="1" applyAlignment="1">
      <alignment horizontal="right" vertical="center" wrapText="1" readingOrder="1"/>
    </xf>
    <xf numFmtId="44" fontId="14" fillId="0" borderId="20" xfId="0" applyNumberFormat="1" applyFont="1" applyFill="1" applyBorder="1" applyAlignment="1">
      <alignment horizontal="right" vertical="center" wrapText="1"/>
    </xf>
    <xf numFmtId="10" fontId="15" fillId="0" borderId="20" xfId="0" applyNumberFormat="1" applyFont="1" applyFill="1" applyBorder="1" applyAlignment="1">
      <alignment horizontal="center" vertical="center" wrapText="1" readingOrder="1"/>
    </xf>
    <xf numFmtId="8" fontId="15" fillId="0" borderId="20" xfId="0" applyNumberFormat="1" applyFont="1" applyFill="1" applyBorder="1" applyAlignment="1">
      <alignment horizontal="right" vertical="center" wrapText="1" readingOrder="1"/>
    </xf>
    <xf numFmtId="8" fontId="15" fillId="0" borderId="21" xfId="0" applyNumberFormat="1" applyFont="1" applyFill="1" applyBorder="1" applyAlignment="1">
      <alignment horizontal="right" vertical="center" wrapText="1" readingOrder="1"/>
    </xf>
    <xf numFmtId="0" fontId="12" fillId="0" borderId="20" xfId="0" applyFont="1" applyFill="1" applyBorder="1" applyAlignment="1">
      <alignment horizontal="right" vertical="center" wrapText="1"/>
    </xf>
    <xf numFmtId="0" fontId="11" fillId="0" borderId="20" xfId="0" applyFont="1" applyFill="1" applyBorder="1" applyAlignment="1">
      <alignment horizontal="center" vertical="center" wrapText="1" readingOrder="1"/>
    </xf>
    <xf numFmtId="0" fontId="11" fillId="0" borderId="20" xfId="0" applyFont="1" applyFill="1" applyBorder="1" applyAlignment="1">
      <alignment horizontal="right" vertical="center" wrapText="1" readingOrder="1"/>
    </xf>
    <xf numFmtId="0" fontId="11" fillId="0" borderId="21" xfId="0" applyFont="1" applyFill="1" applyBorder="1" applyAlignment="1">
      <alignment horizontal="right" vertical="center" wrapText="1" readingOrder="1"/>
    </xf>
    <xf numFmtId="0" fontId="2" fillId="0" borderId="20" xfId="0" applyFont="1" applyFill="1" applyBorder="1" applyAlignment="1">
      <alignment horizontal="right" vertical="center" wrapText="1" readingOrder="1"/>
    </xf>
    <xf numFmtId="8" fontId="2" fillId="0" borderId="20" xfId="0" applyNumberFormat="1" applyFont="1" applyFill="1" applyBorder="1" applyAlignment="1">
      <alignment horizontal="right" vertical="center" wrapText="1" readingOrder="1"/>
    </xf>
    <xf numFmtId="8" fontId="2" fillId="0" borderId="21" xfId="0" applyNumberFormat="1" applyFont="1" applyFill="1" applyBorder="1" applyAlignment="1">
      <alignment horizontal="right" vertical="center" wrapText="1" readingOrder="1"/>
    </xf>
    <xf numFmtId="0" fontId="2" fillId="0" borderId="21" xfId="0" applyFont="1" applyFill="1" applyBorder="1" applyAlignment="1">
      <alignment horizontal="right" vertical="center" wrapText="1" readingOrder="1"/>
    </xf>
    <xf numFmtId="44" fontId="17" fillId="0" borderId="19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10" fontId="3" fillId="0" borderId="0" xfId="0" applyNumberFormat="1" applyFont="1" applyFill="1" applyAlignment="1">
      <alignment vertical="center"/>
    </xf>
    <xf numFmtId="0" fontId="2" fillId="0" borderId="22" xfId="0" applyFont="1" applyFill="1" applyBorder="1" applyAlignment="1">
      <alignment horizontal="center" vertical="center" wrapText="1" readingOrder="1"/>
    </xf>
    <xf numFmtId="0" fontId="2" fillId="0" borderId="22" xfId="0" applyFont="1" applyFill="1" applyBorder="1" applyAlignment="1">
      <alignment horizontal="right" vertical="center" wrapText="1" readingOrder="1"/>
    </xf>
    <xf numFmtId="0" fontId="2" fillId="0" borderId="23" xfId="0" applyFont="1" applyFill="1" applyBorder="1" applyAlignment="1">
      <alignment horizontal="right" vertical="center" wrapText="1" readingOrder="1"/>
    </xf>
    <xf numFmtId="10" fontId="17" fillId="0" borderId="19" xfId="0" applyNumberFormat="1" applyFont="1" applyFill="1" applyBorder="1" applyAlignment="1">
      <alignment horizontal="right" vertical="center" wrapText="1"/>
    </xf>
    <xf numFmtId="44" fontId="3" fillId="0" borderId="9" xfId="0" applyNumberFormat="1" applyFont="1" applyFill="1" applyBorder="1" applyAlignment="1">
      <alignment vertical="center"/>
    </xf>
    <xf numFmtId="10" fontId="3" fillId="0" borderId="9" xfId="0" applyNumberFormat="1" applyFont="1" applyFill="1" applyBorder="1" applyAlignment="1">
      <alignment vertical="center"/>
    </xf>
    <xf numFmtId="44" fontId="3" fillId="0" borderId="11" xfId="0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horizontal="left" vertical="center" wrapText="1" readingOrder="1"/>
    </xf>
    <xf numFmtId="0" fontId="2" fillId="0" borderId="21" xfId="0" applyFont="1" applyFill="1" applyBorder="1" applyAlignment="1">
      <alignment horizontal="left" vertical="center" wrapText="1" readingOrder="1"/>
    </xf>
    <xf numFmtId="44" fontId="12" fillId="0" borderId="20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justify" vertical="center" wrapText="1" readingOrder="1"/>
    </xf>
    <xf numFmtId="44" fontId="7" fillId="0" borderId="14" xfId="0" applyNumberFormat="1" applyFont="1" applyFill="1" applyBorder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8" fillId="0" borderId="26" xfId="0" applyFont="1" applyFill="1" applyBorder="1" applyAlignment="1">
      <alignment horizontal="left" vertical="center" wrapText="1" readingOrder="1"/>
    </xf>
    <xf numFmtId="44" fontId="8" fillId="0" borderId="27" xfId="0" applyNumberFormat="1" applyFont="1" applyFill="1" applyBorder="1" applyAlignment="1">
      <alignment horizontal="left" vertical="center" wrapText="1" readingOrder="1"/>
    </xf>
    <xf numFmtId="0" fontId="8" fillId="0" borderId="28" xfId="0" applyFont="1" applyFill="1" applyBorder="1" applyAlignment="1">
      <alignment horizontal="left" vertical="center" wrapText="1" readingOrder="1"/>
    </xf>
    <xf numFmtId="0" fontId="2" fillId="0" borderId="29" xfId="0" applyFont="1" applyFill="1" applyBorder="1" applyAlignment="1">
      <alignment horizontal="center" vertical="center" wrapText="1" readingOrder="1"/>
    </xf>
    <xf numFmtId="0" fontId="2" fillId="0" borderId="30" xfId="0" applyFont="1" applyFill="1" applyBorder="1" applyAlignment="1">
      <alignment horizontal="left" vertical="center" wrapText="1" readingOrder="1"/>
    </xf>
    <xf numFmtId="0" fontId="8" fillId="0" borderId="30" xfId="0" applyFont="1" applyFill="1" applyBorder="1" applyAlignment="1">
      <alignment horizontal="left" vertical="center" wrapText="1" readingOrder="1"/>
    </xf>
    <xf numFmtId="44" fontId="9" fillId="0" borderId="29" xfId="0" applyNumberFormat="1" applyFont="1" applyFill="1" applyBorder="1" applyAlignment="1">
      <alignment horizontal="right" vertical="center" wrapText="1"/>
    </xf>
    <xf numFmtId="0" fontId="9" fillId="0" borderId="29" xfId="0" applyFont="1" applyFill="1" applyBorder="1" applyAlignment="1">
      <alignment horizontal="right" vertical="center" wrapText="1"/>
    </xf>
    <xf numFmtId="44" fontId="9" fillId="0" borderId="29" xfId="1" applyFont="1" applyFill="1" applyBorder="1" applyAlignment="1">
      <alignment horizontal="right" vertical="center" wrapText="1"/>
    </xf>
    <xf numFmtId="0" fontId="11" fillId="2" borderId="30" xfId="0" applyFont="1" applyFill="1" applyBorder="1" applyAlignment="1">
      <alignment horizontal="left" vertical="center" wrapText="1" readingOrder="1"/>
    </xf>
    <xf numFmtId="0" fontId="12" fillId="0" borderId="29" xfId="0" applyFont="1" applyFill="1" applyBorder="1" applyAlignment="1">
      <alignment horizontal="right" vertical="center" wrapText="1"/>
    </xf>
    <xf numFmtId="0" fontId="13" fillId="0" borderId="30" xfId="0" applyFont="1" applyFill="1" applyBorder="1" applyAlignment="1">
      <alignment horizontal="left" vertical="center" wrapText="1" readingOrder="1"/>
    </xf>
    <xf numFmtId="0" fontId="2" fillId="2" borderId="30" xfId="0" applyFont="1" applyFill="1" applyBorder="1" applyAlignment="1">
      <alignment horizontal="left" vertical="center" wrapText="1" readingOrder="1"/>
    </xf>
    <xf numFmtId="0" fontId="11" fillId="0" borderId="30" xfId="0" applyFont="1" applyFill="1" applyBorder="1" applyAlignment="1">
      <alignment horizontal="left" vertical="center" wrapText="1" readingOrder="1"/>
    </xf>
    <xf numFmtId="44" fontId="14" fillId="0" borderId="29" xfId="0" applyNumberFormat="1" applyFont="1" applyFill="1" applyBorder="1" applyAlignment="1">
      <alignment horizontal="right" vertical="center" wrapText="1"/>
    </xf>
    <xf numFmtId="44" fontId="12" fillId="0" borderId="29" xfId="1" applyFont="1" applyFill="1" applyBorder="1" applyAlignment="1">
      <alignment horizontal="right" vertical="center" wrapText="1"/>
    </xf>
    <xf numFmtId="44" fontId="17" fillId="0" borderId="29" xfId="1" applyFont="1" applyFill="1" applyBorder="1" applyAlignment="1">
      <alignment horizontal="right" vertical="center" wrapText="1"/>
    </xf>
    <xf numFmtId="0" fontId="4" fillId="0" borderId="30" xfId="0" applyFont="1" applyFill="1" applyBorder="1" applyAlignment="1">
      <alignment horizontal="left" vertical="center" wrapText="1" readingOrder="1"/>
    </xf>
    <xf numFmtId="44" fontId="17" fillId="0" borderId="29" xfId="0" applyNumberFormat="1" applyFont="1" applyFill="1" applyBorder="1" applyAlignment="1">
      <alignment horizontal="right" vertical="center" wrapText="1"/>
    </xf>
    <xf numFmtId="0" fontId="2" fillId="0" borderId="31" xfId="0" applyFont="1" applyFill="1" applyBorder="1" applyAlignment="1">
      <alignment horizontal="center" vertical="center" wrapText="1" readingOrder="1"/>
    </xf>
    <xf numFmtId="0" fontId="2" fillId="0" borderId="32" xfId="0" applyFont="1" applyFill="1" applyBorder="1" applyAlignment="1">
      <alignment horizontal="center" vertical="center" wrapText="1" readingOrder="1"/>
    </xf>
    <xf numFmtId="0" fontId="8" fillId="0" borderId="33" xfId="0" applyFont="1" applyFill="1" applyBorder="1" applyAlignment="1">
      <alignment horizontal="left" vertical="center" wrapText="1" readingOrder="1"/>
    </xf>
    <xf numFmtId="44" fontId="8" fillId="0" borderId="34" xfId="0" applyNumberFormat="1" applyFont="1" applyFill="1" applyBorder="1" applyAlignment="1">
      <alignment horizontal="left" vertical="center" wrapText="1" readingOrder="1"/>
    </xf>
    <xf numFmtId="0" fontId="2" fillId="0" borderId="34" xfId="0" applyFont="1" applyFill="1" applyBorder="1" applyAlignment="1">
      <alignment horizontal="justify" vertical="center" wrapText="1" readingOrder="1"/>
    </xf>
    <xf numFmtId="0" fontId="2" fillId="0" borderId="34" xfId="0" applyFont="1" applyFill="1" applyBorder="1" applyAlignment="1">
      <alignment horizontal="left" vertical="center" wrapText="1" readingOrder="1"/>
    </xf>
    <xf numFmtId="0" fontId="2" fillId="0" borderId="35" xfId="0" applyFont="1" applyFill="1" applyBorder="1" applyAlignment="1">
      <alignment horizontal="left" vertical="center" wrapText="1" readingOrder="1"/>
    </xf>
    <xf numFmtId="44" fontId="9" fillId="0" borderId="36" xfId="0" applyNumberFormat="1" applyFont="1" applyFill="1" applyBorder="1" applyAlignment="1">
      <alignment horizontal="right" vertical="center" wrapText="1"/>
    </xf>
    <xf numFmtId="44" fontId="3" fillId="0" borderId="0" xfId="0" applyNumberFormat="1" applyFont="1" applyFill="1" applyAlignment="1">
      <alignment vertical="center"/>
    </xf>
    <xf numFmtId="44" fontId="3" fillId="0" borderId="2" xfId="0" applyNumberFormat="1" applyFont="1" applyFill="1" applyBorder="1" applyAlignment="1">
      <alignment vertical="center"/>
    </xf>
    <xf numFmtId="10" fontId="3" fillId="0" borderId="2" xfId="0" applyNumberFormat="1" applyFont="1" applyFill="1" applyBorder="1" applyAlignment="1">
      <alignment vertical="center"/>
    </xf>
    <xf numFmtId="44" fontId="3" fillId="0" borderId="4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44" fontId="18" fillId="0" borderId="4" xfId="1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9" fillId="0" borderId="9" xfId="0" applyFont="1" applyFill="1" applyBorder="1" applyAlignment="1">
      <alignment horizontal="center" vertical="center"/>
    </xf>
    <xf numFmtId="44" fontId="19" fillId="0" borderId="9" xfId="1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44" fontId="19" fillId="0" borderId="11" xfId="0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44" fontId="18" fillId="0" borderId="11" xfId="1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44" fontId="18" fillId="0" borderId="9" xfId="1" applyFont="1" applyFill="1" applyBorder="1" applyAlignment="1">
      <alignment vertical="center"/>
    </xf>
    <xf numFmtId="9" fontId="18" fillId="0" borderId="9" xfId="0" applyNumberFormat="1" applyFont="1" applyFill="1" applyBorder="1" applyAlignment="1">
      <alignment vertical="center"/>
    </xf>
    <xf numFmtId="44" fontId="18" fillId="0" borderId="11" xfId="0" applyNumberFormat="1" applyFont="1" applyFill="1" applyBorder="1" applyAlignment="1">
      <alignment vertical="center"/>
    </xf>
    <xf numFmtId="0" fontId="20" fillId="0" borderId="8" xfId="0" applyFont="1" applyFill="1" applyBorder="1" applyAlignment="1">
      <alignment horizontal="left" vertical="center" wrapText="1" readingOrder="1"/>
    </xf>
    <xf numFmtId="0" fontId="21" fillId="0" borderId="9" xfId="0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horizontal="left" vertical="center" wrapText="1" readingOrder="1"/>
    </xf>
    <xf numFmtId="44" fontId="20" fillId="0" borderId="11" xfId="0" applyNumberFormat="1" applyFont="1" applyFill="1" applyBorder="1" applyAlignment="1">
      <alignment horizontal="left" vertical="center" wrapText="1" readingOrder="1"/>
    </xf>
    <xf numFmtId="0" fontId="22" fillId="0" borderId="9" xfId="0" applyFont="1" applyFill="1" applyBorder="1" applyAlignment="1">
      <alignment horizontal="center" vertical="center" wrapText="1" readingOrder="1"/>
    </xf>
    <xf numFmtId="0" fontId="22" fillId="0" borderId="11" xfId="0" applyFont="1" applyFill="1" applyBorder="1" applyAlignment="1">
      <alignment horizontal="center" vertical="center" wrapText="1" readingOrder="1"/>
    </xf>
    <xf numFmtId="0" fontId="22" fillId="0" borderId="8" xfId="0" applyFont="1" applyFill="1" applyBorder="1" applyAlignment="1">
      <alignment horizontal="left" vertical="center" wrapText="1" readingOrder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vertical="center" wrapText="1"/>
    </xf>
    <xf numFmtId="44" fontId="21" fillId="0" borderId="11" xfId="0" applyNumberFormat="1" applyFont="1" applyFill="1" applyBorder="1" applyAlignment="1">
      <alignment horizontal="right" vertical="center" wrapText="1"/>
    </xf>
    <xf numFmtId="10" fontId="20" fillId="0" borderId="9" xfId="0" applyNumberFormat="1" applyFont="1" applyFill="1" applyBorder="1" applyAlignment="1">
      <alignment horizontal="center" vertical="center" wrapText="1" readingOrder="1"/>
    </xf>
    <xf numFmtId="0" fontId="20" fillId="0" borderId="9" xfId="0" applyFont="1" applyFill="1" applyBorder="1" applyAlignment="1">
      <alignment horizontal="right" vertical="center" wrapText="1" readingOrder="1"/>
    </xf>
    <xf numFmtId="0" fontId="21" fillId="0" borderId="11" xfId="0" applyFont="1" applyFill="1" applyBorder="1" applyAlignment="1">
      <alignment horizontal="right" vertical="center" wrapText="1"/>
    </xf>
    <xf numFmtId="8" fontId="20" fillId="0" borderId="9" xfId="0" applyNumberFormat="1" applyFont="1" applyFill="1" applyBorder="1" applyAlignment="1">
      <alignment horizontal="right" vertical="center" wrapText="1" readingOrder="1"/>
    </xf>
    <xf numFmtId="44" fontId="21" fillId="0" borderId="11" xfId="1" applyFont="1" applyFill="1" applyBorder="1" applyAlignment="1">
      <alignment horizontal="right" vertical="center" wrapText="1"/>
    </xf>
    <xf numFmtId="44" fontId="21" fillId="0" borderId="9" xfId="0" applyNumberFormat="1" applyFont="1" applyFill="1" applyBorder="1" applyAlignment="1">
      <alignment horizontal="right" vertical="center" wrapText="1"/>
    </xf>
    <xf numFmtId="10" fontId="21" fillId="0" borderId="9" xfId="0" applyNumberFormat="1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horizontal="center" vertical="center" wrapText="1" readingOrder="1"/>
    </xf>
    <xf numFmtId="10" fontId="20" fillId="0" borderId="9" xfId="0" applyNumberFormat="1" applyFont="1" applyFill="1" applyBorder="1" applyAlignment="1">
      <alignment horizontal="right" vertical="center" wrapText="1" readingOrder="1"/>
    </xf>
    <xf numFmtId="0" fontId="24" fillId="2" borderId="8" xfId="0" applyFont="1" applyFill="1" applyBorder="1" applyAlignment="1">
      <alignment horizontal="left" vertical="center" wrapText="1" readingOrder="1"/>
    </xf>
    <xf numFmtId="44" fontId="25" fillId="2" borderId="9" xfId="0" applyNumberFormat="1" applyFont="1" applyFill="1" applyBorder="1" applyAlignment="1">
      <alignment horizontal="right" vertical="center" wrapText="1"/>
    </xf>
    <xf numFmtId="10" fontId="24" fillId="2" borderId="9" xfId="0" applyNumberFormat="1" applyFont="1" applyFill="1" applyBorder="1" applyAlignment="1">
      <alignment horizontal="center" vertical="center" wrapText="1" readingOrder="1"/>
    </xf>
    <xf numFmtId="8" fontId="24" fillId="2" borderId="9" xfId="0" applyNumberFormat="1" applyFont="1" applyFill="1" applyBorder="1" applyAlignment="1">
      <alignment horizontal="right" vertical="center" wrapText="1" readingOrder="1"/>
    </xf>
    <xf numFmtId="8" fontId="24" fillId="0" borderId="9" xfId="0" applyNumberFormat="1" applyFont="1" applyFill="1" applyBorder="1" applyAlignment="1">
      <alignment horizontal="right" vertical="center" wrapText="1" readingOrder="1"/>
    </xf>
    <xf numFmtId="0" fontId="25" fillId="0" borderId="11" xfId="0" applyFont="1" applyFill="1" applyBorder="1" applyAlignment="1">
      <alignment horizontal="right" vertical="center" wrapText="1"/>
    </xf>
    <xf numFmtId="0" fontId="26" fillId="0" borderId="8" xfId="0" applyFont="1" applyFill="1" applyBorder="1" applyAlignment="1">
      <alignment horizontal="left" vertical="center" wrapText="1" readingOrder="1"/>
    </xf>
    <xf numFmtId="164" fontId="21" fillId="0" borderId="9" xfId="0" applyNumberFormat="1" applyFont="1" applyFill="1" applyBorder="1" applyAlignment="1">
      <alignment horizontal="right" vertical="center" wrapText="1"/>
    </xf>
    <xf numFmtId="0" fontId="22" fillId="2" borderId="8" xfId="0" applyFont="1" applyFill="1" applyBorder="1" applyAlignment="1">
      <alignment horizontal="left" vertical="center" wrapText="1" readingOrder="1"/>
    </xf>
    <xf numFmtId="0" fontId="24" fillId="0" borderId="8" xfId="0" applyFont="1" applyFill="1" applyBorder="1" applyAlignment="1">
      <alignment horizontal="left" vertical="center" wrapText="1" readingOrder="1"/>
    </xf>
    <xf numFmtId="44" fontId="27" fillId="0" borderId="9" xfId="0" applyNumberFormat="1" applyFont="1" applyFill="1" applyBorder="1" applyAlignment="1">
      <alignment horizontal="right" vertical="center" wrapText="1"/>
    </xf>
    <xf numFmtId="10" fontId="28" fillId="0" borderId="9" xfId="0" applyNumberFormat="1" applyFont="1" applyFill="1" applyBorder="1" applyAlignment="1">
      <alignment horizontal="center" vertical="center" wrapText="1" readingOrder="1"/>
    </xf>
    <xf numFmtId="8" fontId="28" fillId="0" borderId="9" xfId="0" applyNumberFormat="1" applyFont="1" applyFill="1" applyBorder="1" applyAlignment="1">
      <alignment horizontal="right" vertical="center" wrapText="1" readingOrder="1"/>
    </xf>
    <xf numFmtId="44" fontId="27" fillId="0" borderId="11" xfId="0" applyNumberFormat="1" applyFont="1" applyFill="1" applyBorder="1" applyAlignment="1">
      <alignment horizontal="right" vertical="center" wrapText="1"/>
    </xf>
    <xf numFmtId="0" fontId="25" fillId="0" borderId="9" xfId="0" applyFont="1" applyFill="1" applyBorder="1" applyAlignment="1">
      <alignment horizontal="right" vertical="center" wrapText="1"/>
    </xf>
    <xf numFmtId="0" fontId="24" fillId="0" borderId="9" xfId="0" applyFont="1" applyFill="1" applyBorder="1" applyAlignment="1">
      <alignment horizontal="center" vertical="center" wrapText="1" readingOrder="1"/>
    </xf>
    <xf numFmtId="0" fontId="24" fillId="0" borderId="9" xfId="0" applyFont="1" applyFill="1" applyBorder="1" applyAlignment="1">
      <alignment horizontal="right" vertical="center" wrapText="1" readingOrder="1"/>
    </xf>
    <xf numFmtId="44" fontId="25" fillId="0" borderId="11" xfId="1" applyFont="1" applyFill="1" applyBorder="1" applyAlignment="1">
      <alignment horizontal="right" vertical="center" wrapText="1"/>
    </xf>
    <xf numFmtId="0" fontId="22" fillId="0" borderId="9" xfId="0" applyFont="1" applyFill="1" applyBorder="1" applyAlignment="1">
      <alignment horizontal="right" vertical="center" wrapText="1" readingOrder="1"/>
    </xf>
    <xf numFmtId="8" fontId="22" fillId="0" borderId="9" xfId="0" applyNumberFormat="1" applyFont="1" applyFill="1" applyBorder="1" applyAlignment="1">
      <alignment horizontal="right" vertical="center" wrapText="1" readingOrder="1"/>
    </xf>
    <xf numFmtId="44" fontId="29" fillId="0" borderId="11" xfId="1" applyFont="1" applyFill="1" applyBorder="1" applyAlignment="1">
      <alignment horizontal="right" vertical="center" wrapText="1"/>
    </xf>
    <xf numFmtId="0" fontId="23" fillId="0" borderId="8" xfId="0" applyFont="1" applyFill="1" applyBorder="1" applyAlignment="1">
      <alignment horizontal="left" vertical="center" wrapText="1" readingOrder="1"/>
    </xf>
    <xf numFmtId="44" fontId="29" fillId="0" borderId="11" xfId="0" applyNumberFormat="1" applyFont="1" applyFill="1" applyBorder="1" applyAlignment="1">
      <alignment horizontal="right" vertical="center" wrapText="1"/>
    </xf>
    <xf numFmtId="44" fontId="29" fillId="0" borderId="9" xfId="0" applyNumberFormat="1" applyFont="1" applyFill="1" applyBorder="1" applyAlignment="1">
      <alignment horizontal="right" vertical="center" wrapText="1"/>
    </xf>
    <xf numFmtId="10" fontId="29" fillId="0" borderId="9" xfId="0" applyNumberFormat="1" applyFont="1" applyFill="1" applyBorder="1" applyAlignment="1">
      <alignment horizontal="right" vertical="center" wrapText="1"/>
    </xf>
    <xf numFmtId="0" fontId="22" fillId="0" borderId="9" xfId="0" applyFont="1" applyFill="1" applyBorder="1" applyAlignment="1">
      <alignment horizontal="left" vertical="center" wrapText="1" readingOrder="1"/>
    </xf>
    <xf numFmtId="44" fontId="25" fillId="2" borderId="9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justify" vertical="center" wrapText="1" readingOrder="1"/>
    </xf>
    <xf numFmtId="0" fontId="22" fillId="0" borderId="13" xfId="0" applyFont="1" applyFill="1" applyBorder="1" applyAlignment="1">
      <alignment horizontal="left" vertical="center" wrapText="1" readingOrder="1"/>
    </xf>
    <xf numFmtId="0" fontId="22" fillId="0" borderId="9" xfId="0" applyFont="1" applyFill="1" applyBorder="1" applyAlignment="1">
      <alignment horizontal="left" vertical="top" wrapText="1" readingOrder="1"/>
    </xf>
    <xf numFmtId="10" fontId="21" fillId="0" borderId="9" xfId="0" applyNumberFormat="1" applyFont="1" applyFill="1" applyBorder="1" applyAlignment="1">
      <alignment vertical="center" wrapText="1"/>
    </xf>
    <xf numFmtId="10" fontId="24" fillId="0" borderId="9" xfId="0" applyNumberFormat="1" applyFont="1" applyFill="1" applyBorder="1" applyAlignment="1">
      <alignment horizontal="right" vertical="center" wrapText="1" readingOrder="1"/>
    </xf>
    <xf numFmtId="0" fontId="20" fillId="0" borderId="8" xfId="0" applyFont="1" applyFill="1" applyBorder="1" applyAlignment="1">
      <alignment horizontal="left" vertical="center" wrapText="1" readingOrder="1"/>
    </xf>
    <xf numFmtId="0" fontId="20" fillId="0" borderId="12" xfId="0" applyFont="1" applyFill="1" applyBorder="1" applyAlignment="1">
      <alignment horizontal="left" vertical="center" wrapText="1" readingOrder="1"/>
    </xf>
    <xf numFmtId="44" fontId="20" fillId="0" borderId="9" xfId="0" applyNumberFormat="1" applyFont="1" applyFill="1" applyBorder="1" applyAlignment="1">
      <alignment horizontal="left" vertical="center" wrapText="1" readingOrder="1"/>
    </xf>
    <xf numFmtId="0" fontId="20" fillId="0" borderId="13" xfId="0" applyFont="1" applyFill="1" applyBorder="1" applyAlignment="1">
      <alignment horizontal="left" vertical="center" wrapText="1" readingOrder="1"/>
    </xf>
    <xf numFmtId="0" fontId="22" fillId="0" borderId="9" xfId="0" applyFont="1" applyFill="1" applyBorder="1" applyAlignment="1">
      <alignment horizontal="justify" vertical="center" wrapText="1" readingOrder="1"/>
    </xf>
    <xf numFmtId="0" fontId="22" fillId="0" borderId="13" xfId="0" applyFont="1" applyFill="1" applyBorder="1" applyAlignment="1">
      <alignment horizontal="justify" vertical="center" wrapText="1" readingOrder="1"/>
    </xf>
    <xf numFmtId="44" fontId="21" fillId="0" borderId="11" xfId="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16" fillId="0" borderId="25" xfId="0" applyFont="1" applyFill="1" applyBorder="1" applyAlignment="1">
      <alignment vertical="center"/>
    </xf>
    <xf numFmtId="0" fontId="22" fillId="0" borderId="8" xfId="0" applyFont="1" applyFill="1" applyBorder="1" applyAlignment="1">
      <alignment horizontal="center" vertical="center" wrapText="1" readingOrder="1"/>
    </xf>
    <xf numFmtId="0" fontId="22" fillId="0" borderId="9" xfId="0" applyFont="1" applyFill="1" applyBorder="1" applyAlignment="1">
      <alignment horizontal="center" vertical="center" wrapText="1" readingOrder="1"/>
    </xf>
    <xf numFmtId="0" fontId="22" fillId="0" borderId="9" xfId="0" applyFont="1" applyFill="1" applyBorder="1" applyAlignment="1">
      <alignment horizontal="right" vertical="center" wrapText="1" readingOrder="1"/>
    </xf>
    <xf numFmtId="0" fontId="22" fillId="0" borderId="11" xfId="0" applyFont="1" applyFill="1" applyBorder="1" applyAlignment="1">
      <alignment horizontal="center" vertical="center" wrapText="1" readingOrder="1"/>
    </xf>
    <xf numFmtId="44" fontId="25" fillId="0" borderId="9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KHOS/Desktop/PATRICE/PREPARATION%20EXAMEN/1er%20cas%20d%20'ensemble-corrig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IES"/>
      <sheetName val="CONDITIONS PARTICULIERES"/>
      <sheetName val="SALAIRES"/>
      <sheetName val="CALENDRIER DU MOIS DE MAI"/>
      <sheetName val="DUMAINE CALCULS"/>
      <sheetName val="DUMAINE BULLETIN"/>
      <sheetName val="VALETTE BULLETIN"/>
      <sheetName val="HERMAN CALCULS"/>
      <sheetName val="HERMAN BULLETIN"/>
      <sheetName val="DUMOULINS CALCUL"/>
      <sheetName val="DUMOULINS BULLETIN"/>
      <sheetName val="LAMBERT BULLETIN"/>
    </sheetNames>
    <sheetDataSet>
      <sheetData sheetId="0"/>
      <sheetData sheetId="1"/>
      <sheetData sheetId="2">
        <row r="8">
          <cell r="B8">
            <v>4.4999999999999998E-2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9D214-E7A9-41A3-B432-1DB78881D12B}">
  <dimension ref="A1:U51"/>
  <sheetViews>
    <sheetView topLeftCell="A11" zoomScale="95" zoomScaleNormal="95" workbookViewId="0">
      <selection activeCell="B27" sqref="B27"/>
    </sheetView>
  </sheetViews>
  <sheetFormatPr baseColWidth="10" defaultRowHeight="12" x14ac:dyDescent="0.25"/>
  <cols>
    <col min="1" max="1" width="69" style="6" customWidth="1"/>
    <col min="2" max="2" width="12.42578125" style="6" bestFit="1" customWidth="1"/>
    <col min="3" max="3" width="10.85546875" style="6" bestFit="1" customWidth="1"/>
    <col min="4" max="4" width="13.5703125" style="6" customWidth="1"/>
    <col min="5" max="5" width="7.7109375" style="6" bestFit="1" customWidth="1"/>
    <col min="6" max="6" width="11.7109375" style="6" bestFit="1" customWidth="1"/>
    <col min="7" max="7" width="13.42578125" style="6" hidden="1" customWidth="1"/>
    <col min="8" max="8" width="37.5703125" style="6" hidden="1" customWidth="1"/>
    <col min="9" max="9" width="11" style="6" hidden="1" customWidth="1"/>
    <col min="10" max="13" width="11.5703125" style="6" hidden="1" customWidth="1"/>
    <col min="14" max="18" width="0" style="6" hidden="1" customWidth="1"/>
    <col min="19" max="16384" width="11.42578125" style="6"/>
  </cols>
  <sheetData>
    <row r="1" spans="1:20" ht="22.5" x14ac:dyDescent="0.25">
      <c r="A1" s="197" t="s">
        <v>90</v>
      </c>
    </row>
    <row r="3" spans="1:20" ht="12.75" thickBot="1" x14ac:dyDescent="0.3"/>
    <row r="4" spans="1:20" ht="15.75" thickBot="1" x14ac:dyDescent="0.3">
      <c r="A4" s="114" t="s">
        <v>0</v>
      </c>
      <c r="B4" s="115"/>
      <c r="C4" s="115"/>
      <c r="D4" s="115"/>
      <c r="E4" s="115"/>
      <c r="F4" s="116">
        <v>2000</v>
      </c>
      <c r="H4" s="187" t="s">
        <v>1</v>
      </c>
      <c r="I4" s="188"/>
      <c r="J4" s="188"/>
      <c r="K4" s="188"/>
      <c r="L4" s="188"/>
      <c r="M4" s="188"/>
      <c r="N4" s="188"/>
      <c r="O4" s="188"/>
      <c r="P4" s="188"/>
      <c r="Q4" s="188"/>
      <c r="R4" s="189"/>
    </row>
    <row r="5" spans="1:20" ht="15" x14ac:dyDescent="0.25">
      <c r="A5" s="117" t="s">
        <v>79</v>
      </c>
      <c r="B5" s="118">
        <v>3</v>
      </c>
      <c r="C5" s="119">
        <f>ROUND(F4/151.67*1.25,2)</f>
        <v>16.48</v>
      </c>
      <c r="D5" s="120"/>
      <c r="E5" s="120"/>
      <c r="F5" s="121">
        <f>C5*B5</f>
        <v>49.44</v>
      </c>
      <c r="H5" s="2"/>
      <c r="I5" s="13" t="s">
        <v>3</v>
      </c>
      <c r="J5" s="13" t="s">
        <v>4</v>
      </c>
      <c r="K5" s="13" t="s">
        <v>5</v>
      </c>
      <c r="L5" s="14" t="s">
        <v>6</v>
      </c>
      <c r="M5" s="14" t="s">
        <v>7</v>
      </c>
      <c r="N5" s="14" t="s">
        <v>8</v>
      </c>
      <c r="O5" s="14" t="s">
        <v>8</v>
      </c>
      <c r="P5" s="14" t="s">
        <v>9</v>
      </c>
      <c r="Q5" s="14" t="s">
        <v>10</v>
      </c>
      <c r="R5" s="15" t="s">
        <v>11</v>
      </c>
    </row>
    <row r="6" spans="1:20" ht="15" x14ac:dyDescent="0.25">
      <c r="A6" s="117" t="s">
        <v>12</v>
      </c>
      <c r="B6" s="122"/>
      <c r="C6" s="122"/>
      <c r="D6" s="122"/>
      <c r="E6" s="122"/>
      <c r="F6" s="123">
        <v>85</v>
      </c>
      <c r="H6" s="7" t="s">
        <v>13</v>
      </c>
      <c r="I6" s="19">
        <v>2000</v>
      </c>
      <c r="J6" s="19">
        <f>$B$8*2%</f>
        <v>0</v>
      </c>
      <c r="K6" s="19">
        <f t="shared" ref="K6:K11" si="0">SUM(I6:J6)</f>
        <v>2000</v>
      </c>
      <c r="L6" s="19">
        <v>1521.22</v>
      </c>
      <c r="M6" s="19"/>
      <c r="N6" s="16"/>
      <c r="O6" s="16"/>
      <c r="P6" s="16"/>
      <c r="Q6" s="16"/>
      <c r="R6" s="20"/>
    </row>
    <row r="7" spans="1:20" ht="15" hidden="1" x14ac:dyDescent="0.25">
      <c r="A7" s="117" t="s">
        <v>14</v>
      </c>
      <c r="B7" s="122"/>
      <c r="C7" s="122"/>
      <c r="D7" s="122"/>
      <c r="E7" s="122"/>
      <c r="F7" s="124"/>
      <c r="H7" s="7" t="s">
        <v>15</v>
      </c>
      <c r="I7" s="19">
        <v>2000</v>
      </c>
      <c r="J7" s="19">
        <f t="shared" ref="J7:J8" si="1">$B$8*2%</f>
        <v>0</v>
      </c>
      <c r="K7" s="19">
        <f t="shared" si="0"/>
        <v>2000</v>
      </c>
      <c r="L7" s="19">
        <v>1521.22</v>
      </c>
      <c r="M7" s="19"/>
      <c r="N7" s="16"/>
      <c r="O7" s="16"/>
      <c r="P7" s="16"/>
      <c r="Q7" s="16"/>
      <c r="R7" s="20"/>
    </row>
    <row r="8" spans="1:20" ht="15" hidden="1" x14ac:dyDescent="0.25">
      <c r="A8" s="117" t="s">
        <v>16</v>
      </c>
      <c r="B8" s="125"/>
      <c r="C8" s="126"/>
      <c r="D8" s="122"/>
      <c r="E8" s="122"/>
      <c r="F8" s="127"/>
      <c r="H8" s="7" t="s">
        <v>17</v>
      </c>
      <c r="I8" s="19">
        <v>2000</v>
      </c>
      <c r="J8" s="19">
        <f t="shared" si="1"/>
        <v>0</v>
      </c>
      <c r="K8" s="19">
        <f t="shared" si="0"/>
        <v>2000</v>
      </c>
      <c r="L8" s="19">
        <v>1521.22</v>
      </c>
      <c r="M8" s="19"/>
      <c r="N8" s="16"/>
      <c r="O8" s="16"/>
      <c r="P8" s="16"/>
      <c r="Q8" s="24"/>
      <c r="R8" s="20"/>
    </row>
    <row r="9" spans="1:20" ht="15" hidden="1" x14ac:dyDescent="0.25">
      <c r="A9" s="117"/>
      <c r="B9" s="122"/>
      <c r="C9" s="122"/>
      <c r="D9" s="122"/>
      <c r="E9" s="122"/>
      <c r="F9" s="124"/>
      <c r="H9" s="7" t="s">
        <v>18</v>
      </c>
      <c r="I9" s="19">
        <f>I8</f>
        <v>2000</v>
      </c>
      <c r="J9" s="24">
        <f>J8</f>
        <v>0</v>
      </c>
      <c r="K9" s="19">
        <f t="shared" si="0"/>
        <v>2000</v>
      </c>
      <c r="L9" s="19">
        <v>1521.22</v>
      </c>
      <c r="M9" s="19"/>
      <c r="N9" s="16"/>
      <c r="O9" s="16"/>
      <c r="P9" s="16"/>
      <c r="Q9" s="16"/>
      <c r="R9" s="20"/>
    </row>
    <row r="10" spans="1:20" ht="15" hidden="1" x14ac:dyDescent="0.25">
      <c r="A10" s="117"/>
      <c r="B10" s="122"/>
      <c r="C10" s="122"/>
      <c r="D10" s="122"/>
      <c r="E10" s="122"/>
      <c r="F10" s="124"/>
      <c r="H10" s="7" t="s">
        <v>19</v>
      </c>
      <c r="I10" s="19">
        <f>SUM(I6:I9)</f>
        <v>8000</v>
      </c>
      <c r="J10" s="19">
        <f>SUM(J6:J9)</f>
        <v>0</v>
      </c>
      <c r="K10" s="19">
        <f>SUM(K6:K9)</f>
        <v>8000</v>
      </c>
      <c r="L10" s="19">
        <f>SUM(L6:L9)</f>
        <v>6084.88</v>
      </c>
      <c r="M10" s="19"/>
      <c r="N10" s="16">
        <f>0.2809/0.6*((1.6*L10/K10)-1)</f>
        <v>0.10158093066666669</v>
      </c>
      <c r="O10" s="16"/>
      <c r="P10" s="16">
        <f>ROUND(N10,4)</f>
        <v>0.1016</v>
      </c>
      <c r="Q10" s="24">
        <f>P10*K10</f>
        <v>812.8</v>
      </c>
      <c r="R10" s="76"/>
      <c r="T10" s="110"/>
    </row>
    <row r="11" spans="1:20" ht="15" x14ac:dyDescent="0.25">
      <c r="A11" s="128" t="s">
        <v>20</v>
      </c>
      <c r="B11" s="129"/>
      <c r="C11" s="130"/>
      <c r="D11" s="130"/>
      <c r="E11" s="130"/>
      <c r="F11" s="131">
        <f>SUM(F4:F9)</f>
        <v>2134.44</v>
      </c>
      <c r="H11" s="7" t="s">
        <v>21</v>
      </c>
      <c r="I11" s="19">
        <v>2000</v>
      </c>
      <c r="J11" s="24">
        <f>B8*C8</f>
        <v>0</v>
      </c>
      <c r="K11" s="19">
        <f t="shared" si="0"/>
        <v>2000</v>
      </c>
      <c r="L11" s="19">
        <f>I16</f>
        <v>1551.3400999999997</v>
      </c>
      <c r="M11" s="19"/>
      <c r="N11" s="16"/>
      <c r="O11" s="16"/>
      <c r="P11" s="16"/>
      <c r="Q11" s="16"/>
      <c r="R11" s="20"/>
    </row>
    <row r="12" spans="1:20" ht="29.25" thickBot="1" x14ac:dyDescent="0.3">
      <c r="A12" s="128"/>
      <c r="B12" s="132" t="s">
        <v>22</v>
      </c>
      <c r="C12" s="132" t="s">
        <v>23</v>
      </c>
      <c r="D12" s="132" t="s">
        <v>24</v>
      </c>
      <c r="E12" s="132" t="s">
        <v>23</v>
      </c>
      <c r="F12" s="133" t="s">
        <v>25</v>
      </c>
      <c r="H12" s="27" t="s">
        <v>26</v>
      </c>
      <c r="I12" s="28">
        <f>I11+I10</f>
        <v>10000</v>
      </c>
      <c r="J12" s="28">
        <f>J11+J10</f>
        <v>0</v>
      </c>
      <c r="K12" s="28">
        <f>K11+K10</f>
        <v>10000</v>
      </c>
      <c r="L12" s="28">
        <f>L11+L10</f>
        <v>7636.2200999999995</v>
      </c>
      <c r="M12" s="28"/>
      <c r="N12" s="29">
        <f>0.2809/0.6*((1.6*L12/K12)-1)</f>
        <v>0.10383712695733337</v>
      </c>
      <c r="O12" s="29"/>
      <c r="P12" s="29">
        <f>ROUND(N12,4)</f>
        <v>0.1038</v>
      </c>
      <c r="Q12" s="30">
        <f>P12*K12</f>
        <v>1038</v>
      </c>
      <c r="R12" s="31">
        <f>Q12-Q10</f>
        <v>225.20000000000005</v>
      </c>
    </row>
    <row r="13" spans="1:20" ht="15.75" thickBot="1" x14ac:dyDescent="0.3">
      <c r="A13" s="134" t="s">
        <v>27</v>
      </c>
      <c r="B13" s="135"/>
      <c r="C13" s="132"/>
      <c r="D13" s="132"/>
      <c r="E13" s="132"/>
      <c r="F13" s="133"/>
    </row>
    <row r="14" spans="1:20" ht="15" x14ac:dyDescent="0.25">
      <c r="A14" s="128" t="s">
        <v>80</v>
      </c>
      <c r="B14" s="143">
        <f>$F$11</f>
        <v>2134.44</v>
      </c>
      <c r="C14" s="136"/>
      <c r="D14" s="136"/>
      <c r="E14" s="177">
        <v>7.0000000000000007E-2</v>
      </c>
      <c r="F14" s="137">
        <f>F11*7%</f>
        <v>149.41080000000002</v>
      </c>
      <c r="G14" s="38">
        <v>7.0000000000000007E-2</v>
      </c>
      <c r="H14" s="2" t="s">
        <v>28</v>
      </c>
      <c r="I14" s="39">
        <v>3</v>
      </c>
    </row>
    <row r="15" spans="1:20" ht="15" x14ac:dyDescent="0.25">
      <c r="A15" s="128" t="s">
        <v>29</v>
      </c>
      <c r="B15" s="129"/>
      <c r="C15" s="138"/>
      <c r="D15" s="139"/>
      <c r="E15" s="146"/>
      <c r="F15" s="140"/>
      <c r="H15" s="7" t="s">
        <v>30</v>
      </c>
      <c r="I15" s="20">
        <f>151.67+I14</f>
        <v>154.66999999999999</v>
      </c>
    </row>
    <row r="16" spans="1:20" ht="15.75" thickBot="1" x14ac:dyDescent="0.3">
      <c r="A16" s="128" t="s">
        <v>31</v>
      </c>
      <c r="B16" s="129"/>
      <c r="C16" s="138"/>
      <c r="D16" s="141">
        <v>20</v>
      </c>
      <c r="E16" s="146"/>
      <c r="F16" s="142">
        <v>24</v>
      </c>
      <c r="H16" s="27" t="s">
        <v>32</v>
      </c>
      <c r="I16" s="45">
        <f>I15*10.03</f>
        <v>1551.3400999999997</v>
      </c>
    </row>
    <row r="17" spans="1:21" ht="15" x14ac:dyDescent="0.25">
      <c r="A17" s="134" t="s">
        <v>87</v>
      </c>
      <c r="B17" s="143">
        <f>$F$11</f>
        <v>2134.44</v>
      </c>
      <c r="C17" s="138"/>
      <c r="D17" s="129"/>
      <c r="E17" s="144">
        <v>2.7E-2</v>
      </c>
      <c r="F17" s="137">
        <f>F11*2.7%</f>
        <v>57.629880000000007</v>
      </c>
    </row>
    <row r="18" spans="1:21" ht="15" x14ac:dyDescent="0.25">
      <c r="A18" s="134" t="s">
        <v>33</v>
      </c>
      <c r="B18" s="129"/>
      <c r="C18" s="145"/>
      <c r="D18" s="129"/>
      <c r="E18" s="144"/>
      <c r="F18" s="140"/>
    </row>
    <row r="19" spans="1:21" ht="15" x14ac:dyDescent="0.25">
      <c r="A19" s="128" t="s">
        <v>81</v>
      </c>
      <c r="B19" s="143">
        <f t="shared" ref="B19:B21" si="2">$F$11</f>
        <v>2134.44</v>
      </c>
      <c r="C19" s="138">
        <v>6.9000000000000006E-2</v>
      </c>
      <c r="D19" s="141">
        <f>C19*B19</f>
        <v>147.27636000000001</v>
      </c>
      <c r="E19" s="146">
        <v>8.5500000000000007E-2</v>
      </c>
      <c r="F19" s="137">
        <f>B19*8.55%</f>
        <v>182.49462000000003</v>
      </c>
    </row>
    <row r="20" spans="1:21" ht="15" x14ac:dyDescent="0.25">
      <c r="A20" s="128" t="s">
        <v>67</v>
      </c>
      <c r="B20" s="143">
        <f t="shared" si="2"/>
        <v>2134.44</v>
      </c>
      <c r="C20" s="138">
        <v>4.0000000000000001E-3</v>
      </c>
      <c r="D20" s="141">
        <f t="shared" ref="D20:D21" si="3">B20*C20</f>
        <v>8.5377600000000005</v>
      </c>
      <c r="E20" s="146">
        <v>1.9E-2</v>
      </c>
      <c r="F20" s="137">
        <f>B20*1.9%</f>
        <v>40.554360000000003</v>
      </c>
    </row>
    <row r="21" spans="1:21" ht="15" x14ac:dyDescent="0.25">
      <c r="A21" s="128" t="s">
        <v>82</v>
      </c>
      <c r="B21" s="143">
        <f t="shared" si="2"/>
        <v>2134.44</v>
      </c>
      <c r="C21" s="138">
        <v>4.0099999999999997E-2</v>
      </c>
      <c r="D21" s="141">
        <f t="shared" si="3"/>
        <v>85.591043999999997</v>
      </c>
      <c r="E21" s="146">
        <v>6.0100000000000001E-2</v>
      </c>
      <c r="F21" s="137">
        <f>B21*6.01%</f>
        <v>128.279844</v>
      </c>
      <c r="U21" s="110"/>
    </row>
    <row r="22" spans="1:21" ht="15" x14ac:dyDescent="0.25">
      <c r="A22" s="147" t="s">
        <v>34</v>
      </c>
      <c r="B22" s="148">
        <f>F5</f>
        <v>49.44</v>
      </c>
      <c r="C22" s="149">
        <v>0.11310000000000001</v>
      </c>
      <c r="D22" s="150">
        <f>C22*-B22</f>
        <v>-5.5916639999999997</v>
      </c>
      <c r="E22" s="178"/>
      <c r="F22" s="152"/>
    </row>
    <row r="23" spans="1:21" ht="15" x14ac:dyDescent="0.25">
      <c r="A23" s="153" t="s">
        <v>88</v>
      </c>
      <c r="B23" s="143">
        <f>B21</f>
        <v>2134.44</v>
      </c>
      <c r="C23" s="145"/>
      <c r="D23" s="129"/>
      <c r="E23" s="144">
        <v>3.4500000000000003E-2</v>
      </c>
      <c r="F23" s="137">
        <f>F11*3.45%</f>
        <v>73.638180000000006</v>
      </c>
      <c r="G23" s="38">
        <v>3.4500000000000003E-2</v>
      </c>
    </row>
    <row r="24" spans="1:21" ht="15" x14ac:dyDescent="0.25">
      <c r="A24" s="134" t="s">
        <v>69</v>
      </c>
      <c r="B24" s="143">
        <f>B23</f>
        <v>2134.44</v>
      </c>
      <c r="C24" s="145"/>
      <c r="D24" s="129"/>
      <c r="E24" s="144">
        <v>4.2000000000000003E-2</v>
      </c>
      <c r="F24" s="137">
        <f>F11*4.2%</f>
        <v>89.646480000000011</v>
      </c>
    </row>
    <row r="25" spans="1:21" ht="15" x14ac:dyDescent="0.25">
      <c r="A25" s="134" t="s">
        <v>70</v>
      </c>
      <c r="B25" s="143">
        <f>+B21</f>
        <v>2134.44</v>
      </c>
      <c r="C25" s="145"/>
      <c r="D25" s="129"/>
      <c r="E25" s="154">
        <f>B49</f>
        <v>1.6459999999999999E-2</v>
      </c>
      <c r="F25" s="137">
        <f>E25*B25</f>
        <v>35.1328824</v>
      </c>
    </row>
    <row r="26" spans="1:21" ht="15" x14ac:dyDescent="0.25">
      <c r="A26" s="134" t="s">
        <v>35</v>
      </c>
      <c r="B26" s="143">
        <f>((F4+F6)*98.25%)+F16</f>
        <v>2072.5125000000003</v>
      </c>
      <c r="C26" s="138">
        <v>2.9000000000000001E-2</v>
      </c>
      <c r="D26" s="141">
        <f>C26*B26</f>
        <v>60.102862500000008</v>
      </c>
      <c r="E26" s="141"/>
      <c r="F26" s="140"/>
    </row>
    <row r="27" spans="1:21" ht="15" x14ac:dyDescent="0.25">
      <c r="A27" s="134" t="s">
        <v>36</v>
      </c>
      <c r="B27" s="143">
        <f>B26</f>
        <v>2072.5125000000003</v>
      </c>
      <c r="C27" s="138">
        <v>6.8000000000000005E-2</v>
      </c>
      <c r="D27" s="141">
        <f t="shared" ref="D27:D28" si="4">C27*B27</f>
        <v>140.93085000000002</v>
      </c>
      <c r="E27" s="141"/>
      <c r="F27" s="140"/>
    </row>
    <row r="28" spans="1:21" ht="15.75" thickBot="1" x14ac:dyDescent="0.3">
      <c r="A28" s="155" t="s">
        <v>89</v>
      </c>
      <c r="B28" s="148">
        <f>F5*0.9825</f>
        <v>48.574799999999996</v>
      </c>
      <c r="C28" s="149">
        <v>9.7000000000000003E-2</v>
      </c>
      <c r="D28" s="150">
        <f t="shared" si="4"/>
        <v>4.7117556</v>
      </c>
      <c r="E28" s="151"/>
      <c r="F28" s="140"/>
    </row>
    <row r="29" spans="1:21" ht="15" x14ac:dyDescent="0.25">
      <c r="A29" s="156" t="s">
        <v>38</v>
      </c>
      <c r="B29" s="157"/>
      <c r="C29" s="158"/>
      <c r="D29" s="159"/>
      <c r="E29" s="159"/>
      <c r="F29" s="160">
        <v>-167.19</v>
      </c>
      <c r="G29" s="190" t="s">
        <v>39</v>
      </c>
    </row>
    <row r="30" spans="1:21" ht="30.75" hidden="1" thickBot="1" x14ac:dyDescent="0.3">
      <c r="A30" s="156" t="s">
        <v>40</v>
      </c>
      <c r="B30" s="161"/>
      <c r="C30" s="162"/>
      <c r="D30" s="163"/>
      <c r="E30" s="163"/>
      <c r="F30" s="164">
        <f>-B5*1.5</f>
        <v>-4.5</v>
      </c>
      <c r="G30" s="191"/>
    </row>
    <row r="31" spans="1:21" ht="14.25" x14ac:dyDescent="0.25">
      <c r="A31" s="134" t="s">
        <v>41</v>
      </c>
      <c r="B31" s="165"/>
      <c r="C31" s="132"/>
      <c r="D31" s="166">
        <f>SUM(D14:D30)</f>
        <v>461.55896810000002</v>
      </c>
      <c r="E31" s="166"/>
      <c r="F31" s="167">
        <f>SUM(F14:F30)</f>
        <v>609.09704640000018</v>
      </c>
    </row>
    <row r="32" spans="1:21" ht="15" hidden="1" x14ac:dyDescent="0.25">
      <c r="A32" s="134"/>
      <c r="B32" s="165"/>
      <c r="C32" s="132"/>
      <c r="D32" s="165"/>
      <c r="E32" s="165"/>
      <c r="F32" s="140"/>
    </row>
    <row r="33" spans="1:11" ht="15" x14ac:dyDescent="0.25">
      <c r="A33" s="168" t="s">
        <v>42</v>
      </c>
      <c r="B33" s="165"/>
      <c r="C33" s="132"/>
      <c r="D33" s="165"/>
      <c r="E33" s="165"/>
      <c r="F33" s="137">
        <f>F11-D31</f>
        <v>1672.8810318999999</v>
      </c>
    </row>
    <row r="34" spans="1:11" ht="14.25" x14ac:dyDescent="0.25">
      <c r="A34" s="134" t="s">
        <v>83</v>
      </c>
      <c r="B34" s="165"/>
      <c r="C34" s="132"/>
      <c r="D34" s="165"/>
      <c r="E34" s="165"/>
      <c r="F34" s="169">
        <f>K39</f>
        <v>31.176375899999989</v>
      </c>
      <c r="H34" s="68" t="s">
        <v>44</v>
      </c>
      <c r="K34" s="69"/>
    </row>
    <row r="35" spans="1:11" ht="14.25" x14ac:dyDescent="0.25">
      <c r="A35" s="192" t="s">
        <v>45</v>
      </c>
      <c r="B35" s="193" t="s">
        <v>46</v>
      </c>
      <c r="C35" s="132" t="s">
        <v>23</v>
      </c>
      <c r="D35" s="194"/>
      <c r="E35" s="165"/>
      <c r="F35" s="195" t="s">
        <v>47</v>
      </c>
    </row>
    <row r="36" spans="1:11" ht="28.5" hidden="1" x14ac:dyDescent="0.25">
      <c r="A36" s="192"/>
      <c r="B36" s="193"/>
      <c r="C36" s="132" t="s">
        <v>48</v>
      </c>
      <c r="D36" s="194"/>
      <c r="E36" s="165"/>
      <c r="F36" s="195"/>
      <c r="H36" s="2" t="s">
        <v>49</v>
      </c>
      <c r="I36" s="111">
        <f>F11</f>
        <v>2134.44</v>
      </c>
      <c r="J36" s="112">
        <v>2.4E-2</v>
      </c>
      <c r="K36" s="113">
        <f>J36*I36</f>
        <v>51.226559999999999</v>
      </c>
    </row>
    <row r="37" spans="1:11" ht="14.25" x14ac:dyDescent="0.25">
      <c r="A37" s="168" t="s">
        <v>50</v>
      </c>
      <c r="B37" s="170">
        <f>B39</f>
        <v>1712.2556499999998</v>
      </c>
      <c r="C37" s="171">
        <f>[1]SALAIRES!B8</f>
        <v>4.4999999999999998E-2</v>
      </c>
      <c r="D37" s="170"/>
      <c r="E37" s="170"/>
      <c r="F37" s="169">
        <f>B37*C37</f>
        <v>77.051504249999994</v>
      </c>
      <c r="H37" s="7" t="s">
        <v>51</v>
      </c>
      <c r="I37" s="74">
        <f>I36</f>
        <v>2134.44</v>
      </c>
      <c r="J37" s="75">
        <v>7.4999999999999997E-3</v>
      </c>
      <c r="K37" s="76">
        <f t="shared" ref="K37" si="5">J37*I37</f>
        <v>16.008299999999998</v>
      </c>
    </row>
    <row r="38" spans="1:11" ht="15" x14ac:dyDescent="0.25">
      <c r="A38" s="128"/>
      <c r="B38" s="136"/>
      <c r="C38" s="130"/>
      <c r="D38" s="172" t="s">
        <v>85</v>
      </c>
      <c r="E38" s="172"/>
      <c r="F38" s="137">
        <f>F33-F37</f>
        <v>1595.8295276499998</v>
      </c>
      <c r="H38" s="7" t="s">
        <v>52</v>
      </c>
      <c r="I38" s="74">
        <f>B26+B28</f>
        <v>2121.0873000000001</v>
      </c>
      <c r="J38" s="75">
        <v>1.7000000000000001E-2</v>
      </c>
      <c r="K38" s="76">
        <f>-J38*I38</f>
        <v>-36.058484100000008</v>
      </c>
    </row>
    <row r="39" spans="1:11" ht="29.25" thickBot="1" x14ac:dyDescent="0.3">
      <c r="A39" s="147" t="s">
        <v>86</v>
      </c>
      <c r="B39" s="173">
        <f>F11-D31+D26+D28+F16-F5</f>
        <v>1712.2556499999998</v>
      </c>
      <c r="C39" s="174"/>
      <c r="D39" s="172" t="s">
        <v>84</v>
      </c>
      <c r="E39" s="172"/>
      <c r="F39" s="169">
        <f>K47</f>
        <v>210.10991999999999</v>
      </c>
      <c r="H39" s="27" t="s">
        <v>53</v>
      </c>
      <c r="I39" s="29"/>
      <c r="J39" s="29"/>
      <c r="K39" s="81">
        <f>SUM(K36:K38)</f>
        <v>31.176375899999989</v>
      </c>
    </row>
    <row r="40" spans="1:11" ht="19.5" customHeight="1" x14ac:dyDescent="0.25">
      <c r="A40" s="179"/>
      <c r="B40" s="181"/>
      <c r="C40" s="183"/>
      <c r="D40" s="176" t="s">
        <v>73</v>
      </c>
      <c r="E40" s="172"/>
      <c r="F40" s="185">
        <f>F11+F31</f>
        <v>2743.5370464000002</v>
      </c>
    </row>
    <row r="41" spans="1:11" ht="15" hidden="1" thickBot="1" x14ac:dyDescent="0.3">
      <c r="A41" s="180"/>
      <c r="B41" s="182"/>
      <c r="C41" s="184"/>
      <c r="D41" s="175" t="s">
        <v>74</v>
      </c>
      <c r="E41" s="175"/>
      <c r="F41" s="186"/>
    </row>
    <row r="42" spans="1:11" ht="12.75" thickBot="1" x14ac:dyDescent="0.3">
      <c r="H42" s="68" t="s">
        <v>55</v>
      </c>
    </row>
    <row r="43" spans="1:11" x14ac:dyDescent="0.25">
      <c r="H43" s="2" t="s">
        <v>56</v>
      </c>
      <c r="I43" s="3"/>
      <c r="J43" s="3"/>
      <c r="K43" s="5">
        <f>-F29</f>
        <v>167.19</v>
      </c>
    </row>
    <row r="44" spans="1:11" hidden="1" x14ac:dyDescent="0.25">
      <c r="A44" s="6" t="s">
        <v>57</v>
      </c>
      <c r="B44" s="69">
        <v>1E-3</v>
      </c>
      <c r="H44" s="7" t="s">
        <v>58</v>
      </c>
      <c r="I44" s="16"/>
      <c r="J44" s="16"/>
      <c r="K44" s="18">
        <f>-F30</f>
        <v>4.5</v>
      </c>
    </row>
    <row r="45" spans="1:11" ht="15.75" hidden="1" customHeight="1" x14ac:dyDescent="0.25">
      <c r="A45" s="6" t="s">
        <v>59</v>
      </c>
      <c r="B45" s="82">
        <v>1.6000000000000001E-4</v>
      </c>
      <c r="H45" s="7" t="s">
        <v>60</v>
      </c>
      <c r="I45" s="74">
        <f>F11</f>
        <v>2134.44</v>
      </c>
      <c r="J45" s="75">
        <v>1.7999999999999999E-2</v>
      </c>
      <c r="K45" s="18">
        <f>J45*I45</f>
        <v>38.419919999999998</v>
      </c>
    </row>
    <row r="46" spans="1:11" ht="15.75" hidden="1" customHeight="1" x14ac:dyDescent="0.25">
      <c r="A46" s="6" t="s">
        <v>61</v>
      </c>
      <c r="B46" s="69">
        <v>5.4999999999999997E-3</v>
      </c>
      <c r="H46" s="7" t="s">
        <v>34</v>
      </c>
      <c r="I46" s="16"/>
      <c r="J46" s="16"/>
      <c r="K46" s="18">
        <f>J46*I46</f>
        <v>0</v>
      </c>
    </row>
    <row r="47" spans="1:11" ht="15.75" hidden="1" customHeight="1" thickBot="1" x14ac:dyDescent="0.3">
      <c r="A47" s="6" t="s">
        <v>62</v>
      </c>
      <c r="B47" s="69">
        <v>6.7999999999999996E-3</v>
      </c>
      <c r="H47" s="27" t="s">
        <v>63</v>
      </c>
      <c r="I47" s="29"/>
      <c r="J47" s="29"/>
      <c r="K47" s="81">
        <f>SUM(K43:K46)</f>
        <v>210.10991999999999</v>
      </c>
    </row>
    <row r="48" spans="1:11" hidden="1" x14ac:dyDescent="0.25">
      <c r="A48" s="6" t="s">
        <v>64</v>
      </c>
      <c r="B48" s="69">
        <v>3.0000000000000001E-3</v>
      </c>
    </row>
    <row r="49" spans="2:2" hidden="1" x14ac:dyDescent="0.25">
      <c r="B49" s="82">
        <f>SUM(B44:B48)</f>
        <v>1.6459999999999999E-2</v>
      </c>
    </row>
    <row r="50" spans="2:2" hidden="1" x14ac:dyDescent="0.25"/>
    <row r="51" spans="2:2" hidden="1" x14ac:dyDescent="0.25"/>
  </sheetData>
  <mergeCells count="10">
    <mergeCell ref="A40:A41"/>
    <mergeCell ref="B40:B41"/>
    <mergeCell ref="C40:C41"/>
    <mergeCell ref="F40:F41"/>
    <mergeCell ref="H4:R4"/>
    <mergeCell ref="G29:G30"/>
    <mergeCell ref="A35:A36"/>
    <mergeCell ref="B35:B36"/>
    <mergeCell ref="D35:D36"/>
    <mergeCell ref="F35:F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076E3-C558-4F73-B329-3DD276E65BE9}">
  <dimension ref="A1:U46"/>
  <sheetViews>
    <sheetView tabSelected="1" zoomScale="95" zoomScaleNormal="95" workbookViewId="0">
      <selection activeCell="V24" sqref="V24"/>
    </sheetView>
  </sheetViews>
  <sheetFormatPr baseColWidth="10" defaultRowHeight="12" x14ac:dyDescent="0.25"/>
  <cols>
    <col min="1" max="1" width="69" style="6" customWidth="1"/>
    <col min="2" max="2" width="12.42578125" style="6" bestFit="1" customWidth="1"/>
    <col min="3" max="3" width="10.85546875" style="6" bestFit="1" customWidth="1"/>
    <col min="4" max="4" width="13.5703125" style="6" customWidth="1"/>
    <col min="5" max="5" width="7.7109375" style="6" bestFit="1" customWidth="1"/>
    <col min="6" max="6" width="11.7109375" style="6" bestFit="1" customWidth="1"/>
    <col min="7" max="7" width="13.42578125" style="6" hidden="1" customWidth="1"/>
    <col min="8" max="8" width="37.5703125" style="6" hidden="1" customWidth="1"/>
    <col min="9" max="9" width="11" style="6" hidden="1" customWidth="1"/>
    <col min="10" max="13" width="11.5703125" style="6" hidden="1" customWidth="1"/>
    <col min="14" max="18" width="0" style="6" hidden="1" customWidth="1"/>
    <col min="19" max="16384" width="11.42578125" style="6"/>
  </cols>
  <sheetData>
    <row r="1" spans="1:20" ht="15.75" thickBot="1" x14ac:dyDescent="0.3">
      <c r="A1" s="114" t="s">
        <v>0</v>
      </c>
      <c r="B1" s="115"/>
      <c r="C1" s="115"/>
      <c r="D1" s="115"/>
      <c r="E1" s="115"/>
      <c r="F1" s="116">
        <v>2000</v>
      </c>
      <c r="H1" s="187" t="s">
        <v>1</v>
      </c>
      <c r="I1" s="188"/>
      <c r="J1" s="188"/>
      <c r="K1" s="188"/>
      <c r="L1" s="188"/>
      <c r="M1" s="188"/>
      <c r="N1" s="188"/>
      <c r="O1" s="188"/>
      <c r="P1" s="188"/>
      <c r="Q1" s="188"/>
      <c r="R1" s="189"/>
    </row>
    <row r="2" spans="1:20" ht="15" x14ac:dyDescent="0.25">
      <c r="A2" s="117" t="s">
        <v>79</v>
      </c>
      <c r="B2" s="118">
        <v>3</v>
      </c>
      <c r="C2" s="119">
        <f>ROUND(F1/151.67*1.25,2)</f>
        <v>16.48</v>
      </c>
      <c r="D2" s="120"/>
      <c r="E2" s="120"/>
      <c r="F2" s="121">
        <f>C2*B2</f>
        <v>49.44</v>
      </c>
      <c r="H2" s="2"/>
      <c r="I2" s="13" t="s">
        <v>3</v>
      </c>
      <c r="J2" s="13" t="s">
        <v>4</v>
      </c>
      <c r="K2" s="13" t="s">
        <v>5</v>
      </c>
      <c r="L2" s="14" t="s">
        <v>6</v>
      </c>
      <c r="M2" s="14" t="s">
        <v>7</v>
      </c>
      <c r="N2" s="14" t="s">
        <v>8</v>
      </c>
      <c r="O2" s="14" t="s">
        <v>8</v>
      </c>
      <c r="P2" s="14" t="s">
        <v>9</v>
      </c>
      <c r="Q2" s="14" t="s">
        <v>10</v>
      </c>
      <c r="R2" s="15" t="s">
        <v>11</v>
      </c>
    </row>
    <row r="3" spans="1:20" ht="15" x14ac:dyDescent="0.25">
      <c r="A3" s="117" t="s">
        <v>12</v>
      </c>
      <c r="B3" s="122"/>
      <c r="C3" s="122"/>
      <c r="D3" s="122"/>
      <c r="E3" s="122"/>
      <c r="F3" s="123">
        <v>85</v>
      </c>
      <c r="H3" s="7" t="s">
        <v>13</v>
      </c>
      <c r="I3" s="19">
        <v>2000</v>
      </c>
      <c r="J3" s="19">
        <f>$B$5*2%</f>
        <v>0</v>
      </c>
      <c r="K3" s="19">
        <f t="shared" ref="K3:K8" si="0">SUM(I3:J3)</f>
        <v>2000</v>
      </c>
      <c r="L3" s="19">
        <v>1521.22</v>
      </c>
      <c r="M3" s="19"/>
      <c r="N3" s="16"/>
      <c r="O3" s="16"/>
      <c r="P3" s="16"/>
      <c r="Q3" s="16"/>
      <c r="R3" s="20"/>
    </row>
    <row r="4" spans="1:20" ht="15" hidden="1" x14ac:dyDescent="0.25">
      <c r="A4" s="117" t="s">
        <v>14</v>
      </c>
      <c r="B4" s="122"/>
      <c r="C4" s="122"/>
      <c r="D4" s="122"/>
      <c r="E4" s="122"/>
      <c r="F4" s="124"/>
      <c r="H4" s="7" t="s">
        <v>15</v>
      </c>
      <c r="I4" s="19">
        <v>2000</v>
      </c>
      <c r="J4" s="19">
        <f t="shared" ref="J4:J5" si="1">$B$5*2%</f>
        <v>0</v>
      </c>
      <c r="K4" s="19">
        <f t="shared" si="0"/>
        <v>2000</v>
      </c>
      <c r="L4" s="19">
        <v>1521.22</v>
      </c>
      <c r="M4" s="19"/>
      <c r="N4" s="16"/>
      <c r="O4" s="16"/>
      <c r="P4" s="16"/>
      <c r="Q4" s="16"/>
      <c r="R4" s="20"/>
    </row>
    <row r="5" spans="1:20" ht="15" hidden="1" x14ac:dyDescent="0.25">
      <c r="A5" s="117" t="s">
        <v>16</v>
      </c>
      <c r="B5" s="125"/>
      <c r="C5" s="126"/>
      <c r="D5" s="122"/>
      <c r="E5" s="122"/>
      <c r="F5" s="127"/>
      <c r="H5" s="7" t="s">
        <v>17</v>
      </c>
      <c r="I5" s="19">
        <v>2000</v>
      </c>
      <c r="J5" s="19">
        <f t="shared" si="1"/>
        <v>0</v>
      </c>
      <c r="K5" s="19">
        <f t="shared" si="0"/>
        <v>2000</v>
      </c>
      <c r="L5" s="19">
        <v>1521.22</v>
      </c>
      <c r="M5" s="19"/>
      <c r="N5" s="16"/>
      <c r="O5" s="16"/>
      <c r="P5" s="16"/>
      <c r="Q5" s="24"/>
      <c r="R5" s="20"/>
    </row>
    <row r="6" spans="1:20" ht="15" hidden="1" x14ac:dyDescent="0.25">
      <c r="A6" s="117"/>
      <c r="B6" s="122"/>
      <c r="C6" s="122"/>
      <c r="D6" s="122"/>
      <c r="E6" s="122"/>
      <c r="F6" s="124"/>
      <c r="H6" s="7" t="s">
        <v>18</v>
      </c>
      <c r="I6" s="19">
        <f>I5</f>
        <v>2000</v>
      </c>
      <c r="J6" s="24">
        <f>J5</f>
        <v>0</v>
      </c>
      <c r="K6" s="19">
        <f t="shared" si="0"/>
        <v>2000</v>
      </c>
      <c r="L6" s="19">
        <v>1521.22</v>
      </c>
      <c r="M6" s="19"/>
      <c r="N6" s="16"/>
      <c r="O6" s="16"/>
      <c r="P6" s="16"/>
      <c r="Q6" s="16"/>
      <c r="R6" s="20"/>
    </row>
    <row r="7" spans="1:20" ht="15" hidden="1" x14ac:dyDescent="0.25">
      <c r="A7" s="117"/>
      <c r="B7" s="122"/>
      <c r="C7" s="122"/>
      <c r="D7" s="122"/>
      <c r="E7" s="122"/>
      <c r="F7" s="124"/>
      <c r="H7" s="7" t="s">
        <v>19</v>
      </c>
      <c r="I7" s="19">
        <f>SUM(I3:I6)</f>
        <v>8000</v>
      </c>
      <c r="J7" s="19">
        <f>SUM(J3:J6)</f>
        <v>0</v>
      </c>
      <c r="K7" s="19">
        <f>SUM(K3:K6)</f>
        <v>8000</v>
      </c>
      <c r="L7" s="19">
        <f>SUM(L3:L6)</f>
        <v>6084.88</v>
      </c>
      <c r="M7" s="19"/>
      <c r="N7" s="16">
        <f>0.2809/0.6*((1.6*L7/K7)-1)</f>
        <v>0.10158093066666669</v>
      </c>
      <c r="O7" s="16"/>
      <c r="P7" s="16">
        <f>ROUND(N7,4)</f>
        <v>0.1016</v>
      </c>
      <c r="Q7" s="24">
        <f>P7*K7</f>
        <v>812.8</v>
      </c>
      <c r="R7" s="76"/>
      <c r="T7" s="110"/>
    </row>
    <row r="8" spans="1:20" ht="15" x14ac:dyDescent="0.25">
      <c r="A8" s="128" t="s">
        <v>20</v>
      </c>
      <c r="B8" s="129"/>
      <c r="C8" s="130"/>
      <c r="D8" s="130"/>
      <c r="E8" s="130"/>
      <c r="F8" s="131">
        <f>SUM(F1:F6)</f>
        <v>2134.44</v>
      </c>
      <c r="H8" s="7" t="s">
        <v>21</v>
      </c>
      <c r="I8" s="19">
        <v>2000</v>
      </c>
      <c r="J8" s="24">
        <f>B5*C5</f>
        <v>0</v>
      </c>
      <c r="K8" s="19">
        <f t="shared" si="0"/>
        <v>2000</v>
      </c>
      <c r="L8" s="19">
        <f>I13</f>
        <v>1551.3400999999997</v>
      </c>
      <c r="M8" s="19"/>
      <c r="N8" s="16"/>
      <c r="O8" s="16"/>
      <c r="P8" s="16"/>
      <c r="Q8" s="16"/>
      <c r="R8" s="20"/>
    </row>
    <row r="9" spans="1:20" ht="29.25" thickBot="1" x14ac:dyDescent="0.3">
      <c r="A9" s="128"/>
      <c r="B9" s="132" t="s">
        <v>22</v>
      </c>
      <c r="C9" s="132" t="s">
        <v>23</v>
      </c>
      <c r="D9" s="132" t="s">
        <v>24</v>
      </c>
      <c r="E9" s="132" t="s">
        <v>23</v>
      </c>
      <c r="F9" s="133" t="s">
        <v>25</v>
      </c>
      <c r="H9" s="27" t="s">
        <v>26</v>
      </c>
      <c r="I9" s="28">
        <f>I8+I7</f>
        <v>10000</v>
      </c>
      <c r="J9" s="28">
        <f>J8+J7</f>
        <v>0</v>
      </c>
      <c r="K9" s="28">
        <f>K8+K7</f>
        <v>10000</v>
      </c>
      <c r="L9" s="28">
        <f>L8+L7</f>
        <v>7636.2200999999995</v>
      </c>
      <c r="M9" s="28"/>
      <c r="N9" s="29">
        <f>0.2809/0.6*((1.6*L9/K9)-1)</f>
        <v>0.10383712695733337</v>
      </c>
      <c r="O9" s="29"/>
      <c r="P9" s="29">
        <f>ROUND(N9,4)</f>
        <v>0.1038</v>
      </c>
      <c r="Q9" s="30">
        <f>P9*K9</f>
        <v>1038</v>
      </c>
      <c r="R9" s="31">
        <f>Q9-Q7</f>
        <v>225.20000000000005</v>
      </c>
    </row>
    <row r="10" spans="1:20" ht="15.75" thickBot="1" x14ac:dyDescent="0.3">
      <c r="A10" s="134" t="s">
        <v>27</v>
      </c>
      <c r="B10" s="135"/>
      <c r="C10" s="132"/>
      <c r="D10" s="132"/>
      <c r="E10" s="132"/>
      <c r="F10" s="133"/>
    </row>
    <row r="11" spans="1:20" ht="15" x14ac:dyDescent="0.25">
      <c r="A11" s="128" t="s">
        <v>80</v>
      </c>
      <c r="B11" s="143">
        <f>$F$8</f>
        <v>2134.44</v>
      </c>
      <c r="C11" s="136"/>
      <c r="D11" s="136"/>
      <c r="E11" s="177">
        <v>7.0000000000000007E-2</v>
      </c>
      <c r="F11" s="137">
        <f>F8*7%</f>
        <v>149.41080000000002</v>
      </c>
      <c r="G11" s="38">
        <v>7.0000000000000007E-2</v>
      </c>
      <c r="H11" s="2" t="s">
        <v>28</v>
      </c>
      <c r="I11" s="39">
        <v>3</v>
      </c>
    </row>
    <row r="12" spans="1:20" ht="15" x14ac:dyDescent="0.25">
      <c r="A12" s="128" t="s">
        <v>29</v>
      </c>
      <c r="B12" s="129"/>
      <c r="C12" s="138"/>
      <c r="D12" s="139"/>
      <c r="E12" s="146"/>
      <c r="F12" s="140"/>
      <c r="H12" s="7" t="s">
        <v>30</v>
      </c>
      <c r="I12" s="20">
        <f>151.67+I11</f>
        <v>154.66999999999999</v>
      </c>
    </row>
    <row r="13" spans="1:20" ht="15.75" thickBot="1" x14ac:dyDescent="0.3">
      <c r="A13" s="128" t="s">
        <v>31</v>
      </c>
      <c r="B13" s="129"/>
      <c r="C13" s="138"/>
      <c r="D13" s="141">
        <v>20</v>
      </c>
      <c r="E13" s="146"/>
      <c r="F13" s="142">
        <v>24</v>
      </c>
      <c r="H13" s="27" t="s">
        <v>32</v>
      </c>
      <c r="I13" s="45">
        <f>I12*10.03</f>
        <v>1551.3400999999997</v>
      </c>
    </row>
    <row r="14" spans="1:20" ht="15" x14ac:dyDescent="0.25">
      <c r="A14" s="134" t="s">
        <v>87</v>
      </c>
      <c r="B14" s="143">
        <f>$F$8</f>
        <v>2134.44</v>
      </c>
      <c r="C14" s="138"/>
      <c r="D14" s="129"/>
      <c r="E14" s="144">
        <v>2.7E-2</v>
      </c>
      <c r="F14" s="137">
        <f>F8*2.7%</f>
        <v>57.629880000000007</v>
      </c>
    </row>
    <row r="15" spans="1:20" ht="15" x14ac:dyDescent="0.25">
      <c r="A15" s="134" t="s">
        <v>33</v>
      </c>
      <c r="B15" s="129"/>
      <c r="C15" s="145"/>
      <c r="D15" s="129"/>
      <c r="E15" s="144"/>
      <c r="F15" s="140"/>
    </row>
    <row r="16" spans="1:20" ht="15" x14ac:dyDescent="0.25">
      <c r="A16" s="128" t="s">
        <v>81</v>
      </c>
      <c r="B16" s="143">
        <f t="shared" ref="B16:B18" si="2">$F$8</f>
        <v>2134.44</v>
      </c>
      <c r="C16" s="138">
        <v>6.9000000000000006E-2</v>
      </c>
      <c r="D16" s="141">
        <f>C16*B16</f>
        <v>147.27636000000001</v>
      </c>
      <c r="E16" s="146">
        <v>8.5500000000000007E-2</v>
      </c>
      <c r="F16" s="137">
        <f>B16*8.55%</f>
        <v>182.49462000000003</v>
      </c>
    </row>
    <row r="17" spans="1:21" ht="15" x14ac:dyDescent="0.25">
      <c r="A17" s="128" t="s">
        <v>67</v>
      </c>
      <c r="B17" s="143">
        <f t="shared" si="2"/>
        <v>2134.44</v>
      </c>
      <c r="C17" s="138">
        <v>4.0000000000000001E-3</v>
      </c>
      <c r="D17" s="141">
        <f t="shared" ref="D17:D18" si="3">B17*C17</f>
        <v>8.5377600000000005</v>
      </c>
      <c r="E17" s="146">
        <v>1.9E-2</v>
      </c>
      <c r="F17" s="137">
        <f>B17*1.9%</f>
        <v>40.554360000000003</v>
      </c>
    </row>
    <row r="18" spans="1:21" ht="15" x14ac:dyDescent="0.25">
      <c r="A18" s="128" t="s">
        <v>82</v>
      </c>
      <c r="B18" s="143">
        <f t="shared" si="2"/>
        <v>2134.44</v>
      </c>
      <c r="C18" s="138">
        <v>4.0099999999999997E-2</v>
      </c>
      <c r="D18" s="141">
        <f t="shared" si="3"/>
        <v>85.591043999999997</v>
      </c>
      <c r="E18" s="146">
        <v>6.0100000000000001E-2</v>
      </c>
      <c r="F18" s="137">
        <f>B18*6.01%</f>
        <v>128.279844</v>
      </c>
      <c r="U18" s="110"/>
    </row>
    <row r="19" spans="1:21" ht="15" x14ac:dyDescent="0.25">
      <c r="A19" s="153" t="s">
        <v>88</v>
      </c>
      <c r="B19" s="143">
        <f>B18</f>
        <v>2134.44</v>
      </c>
      <c r="C19" s="145"/>
      <c r="D19" s="129"/>
      <c r="E19" s="144">
        <v>3.4500000000000003E-2</v>
      </c>
      <c r="F19" s="137">
        <f>F8*3.45%</f>
        <v>73.638180000000006</v>
      </c>
      <c r="G19" s="38">
        <v>3.4500000000000003E-2</v>
      </c>
    </row>
    <row r="20" spans="1:21" ht="15" x14ac:dyDescent="0.25">
      <c r="A20" s="134" t="s">
        <v>69</v>
      </c>
      <c r="B20" s="143">
        <f>$F$8</f>
        <v>2134.44</v>
      </c>
      <c r="C20" s="145"/>
      <c r="D20" s="129"/>
      <c r="E20" s="144">
        <v>4.2000000000000003E-2</v>
      </c>
      <c r="F20" s="137">
        <f>F8*4.2%</f>
        <v>89.646480000000011</v>
      </c>
    </row>
    <row r="21" spans="1:21" ht="15" x14ac:dyDescent="0.25">
      <c r="A21" s="134" t="s">
        <v>70</v>
      </c>
      <c r="B21" s="143">
        <f>+B18</f>
        <v>2134.44</v>
      </c>
      <c r="C21" s="145"/>
      <c r="D21" s="129"/>
      <c r="E21" s="154">
        <f>B44</f>
        <v>1.6459999999999999E-2</v>
      </c>
      <c r="F21" s="137">
        <f>E21*B21</f>
        <v>35.1328824</v>
      </c>
    </row>
    <row r="22" spans="1:21" ht="15" x14ac:dyDescent="0.25">
      <c r="A22" s="134" t="s">
        <v>35</v>
      </c>
      <c r="B22" s="143">
        <f>((F8)*98.25%)+F13</f>
        <v>2121.0873000000001</v>
      </c>
      <c r="C22" s="138">
        <v>2.9000000000000001E-2</v>
      </c>
      <c r="D22" s="141">
        <f>C22*B22</f>
        <v>61.511531700000006</v>
      </c>
      <c r="E22" s="141"/>
      <c r="F22" s="140"/>
    </row>
    <row r="23" spans="1:21" ht="15.75" thickBot="1" x14ac:dyDescent="0.3">
      <c r="A23" s="134" t="s">
        <v>36</v>
      </c>
      <c r="B23" s="143">
        <f>B22</f>
        <v>2121.0873000000001</v>
      </c>
      <c r="C23" s="138">
        <v>6.8000000000000005E-2</v>
      </c>
      <c r="D23" s="141">
        <f t="shared" ref="D23" si="4">C23*B23</f>
        <v>144.23393640000003</v>
      </c>
      <c r="E23" s="141"/>
      <c r="F23" s="140"/>
    </row>
    <row r="24" spans="1:21" ht="15" x14ac:dyDescent="0.25">
      <c r="A24" s="156" t="s">
        <v>38</v>
      </c>
      <c r="B24" s="157"/>
      <c r="C24" s="158"/>
      <c r="D24" s="159"/>
      <c r="E24" s="159"/>
      <c r="F24" s="160">
        <f>'Avec exonération 2019'!F29</f>
        <v>-167.19</v>
      </c>
      <c r="G24" s="190" t="s">
        <v>39</v>
      </c>
    </row>
    <row r="25" spans="1:21" ht="15.75" hidden="1" thickBot="1" x14ac:dyDescent="0.3">
      <c r="A25" s="156" t="s">
        <v>40</v>
      </c>
      <c r="B25" s="161"/>
      <c r="C25" s="162"/>
      <c r="D25" s="163"/>
      <c r="E25" s="163"/>
      <c r="F25" s="164">
        <f>-B2*1.5</f>
        <v>-4.5</v>
      </c>
      <c r="G25" s="191"/>
    </row>
    <row r="26" spans="1:21" ht="14.25" x14ac:dyDescent="0.25">
      <c r="A26" s="134" t="s">
        <v>41</v>
      </c>
      <c r="B26" s="165"/>
      <c r="C26" s="132"/>
      <c r="D26" s="166">
        <f>SUM(D11:D25)</f>
        <v>467.15063210000005</v>
      </c>
      <c r="E26" s="166"/>
      <c r="F26" s="167">
        <f>SUM(F11:F25)</f>
        <v>609.09704640000018</v>
      </c>
    </row>
    <row r="27" spans="1:21" ht="15" hidden="1" x14ac:dyDescent="0.25">
      <c r="A27" s="134"/>
      <c r="B27" s="165"/>
      <c r="C27" s="132"/>
      <c r="D27" s="165"/>
      <c r="E27" s="165"/>
      <c r="F27" s="140"/>
    </row>
    <row r="28" spans="1:21" ht="15" x14ac:dyDescent="0.25">
      <c r="A28" s="168" t="s">
        <v>42</v>
      </c>
      <c r="B28" s="165"/>
      <c r="C28" s="132"/>
      <c r="D28" s="165"/>
      <c r="E28" s="165"/>
      <c r="F28" s="137">
        <f>F8-D26</f>
        <v>1667.2893678999999</v>
      </c>
    </row>
    <row r="29" spans="1:21" ht="14.25" x14ac:dyDescent="0.25">
      <c r="A29" s="134" t="s">
        <v>83</v>
      </c>
      <c r="B29" s="165"/>
      <c r="C29" s="132"/>
      <c r="D29" s="165"/>
      <c r="E29" s="165"/>
      <c r="F29" s="169">
        <f>'Avec exonération 2019'!F34</f>
        <v>31.176375899999989</v>
      </c>
      <c r="H29" s="68" t="s">
        <v>44</v>
      </c>
      <c r="K29" s="69"/>
    </row>
    <row r="30" spans="1:21" ht="14.25" x14ac:dyDescent="0.25">
      <c r="A30" s="192" t="s">
        <v>45</v>
      </c>
      <c r="B30" s="193" t="s">
        <v>46</v>
      </c>
      <c r="C30" s="132" t="s">
        <v>23</v>
      </c>
      <c r="D30" s="194"/>
      <c r="E30" s="165"/>
      <c r="F30" s="195" t="s">
        <v>47</v>
      </c>
    </row>
    <row r="31" spans="1:21" ht="28.5" hidden="1" x14ac:dyDescent="0.25">
      <c r="A31" s="192"/>
      <c r="B31" s="193"/>
      <c r="C31" s="132" t="s">
        <v>48</v>
      </c>
      <c r="D31" s="194"/>
      <c r="E31" s="165"/>
      <c r="F31" s="195"/>
      <c r="H31" s="2" t="s">
        <v>49</v>
      </c>
      <c r="I31" s="111">
        <f>F8</f>
        <v>2134.44</v>
      </c>
      <c r="J31" s="112">
        <v>2.4E-2</v>
      </c>
      <c r="K31" s="113">
        <f>J31*I31</f>
        <v>51.226559999999999</v>
      </c>
    </row>
    <row r="32" spans="1:21" ht="14.25" x14ac:dyDescent="0.25">
      <c r="A32" s="168" t="s">
        <v>50</v>
      </c>
      <c r="B32" s="170">
        <f>B34</f>
        <v>1752.8008995999999</v>
      </c>
      <c r="C32" s="171">
        <f>[1]SALAIRES!B8</f>
        <v>4.4999999999999998E-2</v>
      </c>
      <c r="D32" s="170"/>
      <c r="E32" s="170"/>
      <c r="F32" s="169">
        <f>B32*C32</f>
        <v>78.876040481999993</v>
      </c>
      <c r="H32" s="7" t="s">
        <v>51</v>
      </c>
      <c r="I32" s="74">
        <f>I31</f>
        <v>2134.44</v>
      </c>
      <c r="J32" s="75">
        <v>7.4999999999999997E-3</v>
      </c>
      <c r="K32" s="76">
        <f t="shared" ref="K32" si="5">J32*I32</f>
        <v>16.008299999999998</v>
      </c>
    </row>
    <row r="33" spans="1:11" ht="15" x14ac:dyDescent="0.25">
      <c r="A33" s="128"/>
      <c r="B33" s="136"/>
      <c r="C33" s="130"/>
      <c r="D33" s="172" t="s">
        <v>85</v>
      </c>
      <c r="E33" s="172"/>
      <c r="F33" s="137">
        <f>F28-F32</f>
        <v>1588.4133274179999</v>
      </c>
      <c r="H33" s="7" t="s">
        <v>52</v>
      </c>
      <c r="I33" s="74" t="e">
        <f>B22+#REF!</f>
        <v>#REF!</v>
      </c>
      <c r="J33" s="75">
        <v>1.7000000000000001E-2</v>
      </c>
      <c r="K33" s="76" t="e">
        <f>-J33*I33</f>
        <v>#REF!</v>
      </c>
    </row>
    <row r="34" spans="1:11" ht="29.25" thickBot="1" x14ac:dyDescent="0.3">
      <c r="A34" s="156" t="s">
        <v>86</v>
      </c>
      <c r="B34" s="196">
        <f>F8-D26+D22+F13</f>
        <v>1752.8008995999999</v>
      </c>
      <c r="C34" s="174"/>
      <c r="D34" s="172" t="s">
        <v>84</v>
      </c>
      <c r="E34" s="172"/>
      <c r="F34" s="169">
        <f>K42</f>
        <v>210.10991999999999</v>
      </c>
      <c r="H34" s="27" t="s">
        <v>53</v>
      </c>
      <c r="I34" s="29"/>
      <c r="J34" s="29"/>
      <c r="K34" s="81" t="e">
        <f>SUM(K31:K33)</f>
        <v>#REF!</v>
      </c>
    </row>
    <row r="35" spans="1:11" ht="19.5" customHeight="1" x14ac:dyDescent="0.25">
      <c r="A35" s="179"/>
      <c r="B35" s="181"/>
      <c r="C35" s="183"/>
      <c r="D35" s="176" t="s">
        <v>73</v>
      </c>
      <c r="E35" s="172"/>
      <c r="F35" s="185">
        <f>F8+F26</f>
        <v>2743.5370464000002</v>
      </c>
    </row>
    <row r="36" spans="1:11" ht="15" hidden="1" thickBot="1" x14ac:dyDescent="0.3">
      <c r="A36" s="180"/>
      <c r="B36" s="182"/>
      <c r="C36" s="184"/>
      <c r="D36" s="175" t="s">
        <v>74</v>
      </c>
      <c r="E36" s="175"/>
      <c r="F36" s="186"/>
    </row>
    <row r="37" spans="1:11" ht="12.75" thickBot="1" x14ac:dyDescent="0.3">
      <c r="H37" s="68" t="s">
        <v>55</v>
      </c>
    </row>
    <row r="38" spans="1:11" x14ac:dyDescent="0.25">
      <c r="H38" s="2" t="s">
        <v>56</v>
      </c>
      <c r="I38" s="3"/>
      <c r="J38" s="3"/>
      <c r="K38" s="5">
        <f>-F24</f>
        <v>167.19</v>
      </c>
    </row>
    <row r="39" spans="1:11" hidden="1" x14ac:dyDescent="0.25">
      <c r="A39" s="6" t="s">
        <v>57</v>
      </c>
      <c r="B39" s="69">
        <v>1E-3</v>
      </c>
      <c r="H39" s="7" t="s">
        <v>58</v>
      </c>
      <c r="I39" s="16"/>
      <c r="J39" s="16"/>
      <c r="K39" s="18">
        <f>-F25</f>
        <v>4.5</v>
      </c>
    </row>
    <row r="40" spans="1:11" ht="15.75" hidden="1" customHeight="1" x14ac:dyDescent="0.25">
      <c r="A40" s="6" t="s">
        <v>59</v>
      </c>
      <c r="B40" s="82">
        <v>1.6000000000000001E-4</v>
      </c>
      <c r="H40" s="7" t="s">
        <v>60</v>
      </c>
      <c r="I40" s="74">
        <f>F8</f>
        <v>2134.44</v>
      </c>
      <c r="J40" s="75">
        <v>1.7999999999999999E-2</v>
      </c>
      <c r="K40" s="18">
        <f>J40*I40</f>
        <v>38.419919999999998</v>
      </c>
    </row>
    <row r="41" spans="1:11" ht="15.75" hidden="1" customHeight="1" x14ac:dyDescent="0.25">
      <c r="A41" s="6" t="s">
        <v>61</v>
      </c>
      <c r="B41" s="69">
        <v>5.4999999999999997E-3</v>
      </c>
      <c r="H41" s="7" t="s">
        <v>34</v>
      </c>
      <c r="I41" s="16"/>
      <c r="J41" s="16"/>
      <c r="K41" s="18">
        <f>J41*I41</f>
        <v>0</v>
      </c>
    </row>
    <row r="42" spans="1:11" ht="15.75" hidden="1" customHeight="1" thickBot="1" x14ac:dyDescent="0.3">
      <c r="A42" s="6" t="s">
        <v>62</v>
      </c>
      <c r="B42" s="69">
        <v>6.7999999999999996E-3</v>
      </c>
      <c r="H42" s="27" t="s">
        <v>63</v>
      </c>
      <c r="I42" s="29"/>
      <c r="J42" s="29"/>
      <c r="K42" s="81">
        <f>SUM(K38:K41)</f>
        <v>210.10991999999999</v>
      </c>
    </row>
    <row r="43" spans="1:11" hidden="1" x14ac:dyDescent="0.25">
      <c r="A43" s="6" t="s">
        <v>64</v>
      </c>
      <c r="B43" s="69">
        <v>3.0000000000000001E-3</v>
      </c>
    </row>
    <row r="44" spans="1:11" hidden="1" x14ac:dyDescent="0.25">
      <c r="B44" s="82">
        <f>SUM(B39:B43)</f>
        <v>1.6459999999999999E-2</v>
      </c>
    </row>
    <row r="45" spans="1:11" hidden="1" x14ac:dyDescent="0.25"/>
    <row r="46" spans="1:11" hidden="1" x14ac:dyDescent="0.25"/>
  </sheetData>
  <mergeCells count="10">
    <mergeCell ref="A35:A36"/>
    <mergeCell ref="B35:B36"/>
    <mergeCell ref="C35:C36"/>
    <mergeCell ref="F35:F36"/>
    <mergeCell ref="H1:R1"/>
    <mergeCell ref="G24:G25"/>
    <mergeCell ref="A30:A31"/>
    <mergeCell ref="B30:B31"/>
    <mergeCell ref="D30:D31"/>
    <mergeCell ref="F30:F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89194-05D6-4C80-BAD8-87C471620A8E}">
  <dimension ref="A1:R48"/>
  <sheetViews>
    <sheetView zoomScaleNormal="100" workbookViewId="0">
      <selection activeCell="A29" sqref="A29"/>
    </sheetView>
  </sheetViews>
  <sheetFormatPr baseColWidth="10" defaultRowHeight="12" x14ac:dyDescent="0.25"/>
  <cols>
    <col min="1" max="1" width="56" style="6" customWidth="1"/>
    <col min="2" max="2" width="10.7109375" style="6" customWidth="1"/>
    <col min="3" max="3" width="8.5703125" style="6" bestFit="1" customWidth="1"/>
    <col min="4" max="4" width="11.85546875" style="6" bestFit="1" customWidth="1"/>
    <col min="5" max="5" width="5.5703125" style="6" bestFit="1" customWidth="1"/>
    <col min="6" max="6" width="9.42578125" style="6" bestFit="1" customWidth="1"/>
    <col min="7" max="7" width="13.42578125" style="6" hidden="1" customWidth="1"/>
    <col min="8" max="8" width="37.5703125" style="6" hidden="1" customWidth="1"/>
    <col min="9" max="9" width="11" style="6" hidden="1" customWidth="1"/>
    <col min="10" max="13" width="11.5703125" style="6" hidden="1" customWidth="1"/>
    <col min="14" max="20" width="0" style="6" hidden="1" customWidth="1"/>
    <col min="21" max="16384" width="11.42578125" style="6"/>
  </cols>
  <sheetData>
    <row r="1" spans="1:18" ht="12.75" thickBot="1" x14ac:dyDescent="0.3">
      <c r="A1" s="2" t="s">
        <v>0</v>
      </c>
      <c r="B1" s="3"/>
      <c r="C1" s="3"/>
      <c r="D1" s="3"/>
      <c r="E1" s="4"/>
      <c r="F1" s="5">
        <v>2000</v>
      </c>
      <c r="H1" s="187" t="s">
        <v>1</v>
      </c>
      <c r="I1" s="188"/>
      <c r="J1" s="188"/>
      <c r="K1" s="188"/>
      <c r="L1" s="188"/>
      <c r="M1" s="188"/>
      <c r="N1" s="188"/>
      <c r="O1" s="188"/>
      <c r="P1" s="188"/>
      <c r="Q1" s="188"/>
      <c r="R1" s="189"/>
    </row>
    <row r="2" spans="1:18" x14ac:dyDescent="0.25">
      <c r="A2" s="7" t="s">
        <v>2</v>
      </c>
      <c r="B2" s="8">
        <v>3</v>
      </c>
      <c r="C2" s="9">
        <f>ROUND(F1/151.67*1.25,2)</f>
        <v>16.48</v>
      </c>
      <c r="D2" s="10"/>
      <c r="E2" s="11"/>
      <c r="F2" s="12">
        <f>C2*B2</f>
        <v>49.44</v>
      </c>
      <c r="H2" s="2"/>
      <c r="I2" s="13" t="s">
        <v>3</v>
      </c>
      <c r="J2" s="13" t="s">
        <v>4</v>
      </c>
      <c r="K2" s="13" t="s">
        <v>5</v>
      </c>
      <c r="L2" s="14" t="s">
        <v>6</v>
      </c>
      <c r="M2" s="14" t="s">
        <v>7</v>
      </c>
      <c r="N2" s="14" t="s">
        <v>8</v>
      </c>
      <c r="O2" s="14" t="s">
        <v>8</v>
      </c>
      <c r="P2" s="14" t="s">
        <v>9</v>
      </c>
      <c r="Q2" s="14" t="s">
        <v>10</v>
      </c>
      <c r="R2" s="15" t="s">
        <v>11</v>
      </c>
    </row>
    <row r="3" spans="1:18" ht="12.75" thickBot="1" x14ac:dyDescent="0.3">
      <c r="A3" s="7" t="s">
        <v>12</v>
      </c>
      <c r="B3" s="16"/>
      <c r="C3" s="16"/>
      <c r="D3" s="16"/>
      <c r="E3" s="17"/>
      <c r="F3" s="18">
        <v>85</v>
      </c>
      <c r="H3" s="7" t="s">
        <v>13</v>
      </c>
      <c r="I3" s="19">
        <v>2000</v>
      </c>
      <c r="J3" s="19" t="e">
        <f>#REF!*2%</f>
        <v>#REF!</v>
      </c>
      <c r="K3" s="19" t="e">
        <f t="shared" ref="K3:K4" si="0">SUM(I3:J3)</f>
        <v>#REF!</v>
      </c>
      <c r="L3" s="19">
        <v>1521.22</v>
      </c>
      <c r="M3" s="19"/>
      <c r="N3" s="16"/>
      <c r="O3" s="16"/>
      <c r="P3" s="16"/>
      <c r="Q3" s="16"/>
      <c r="R3" s="20"/>
    </row>
    <row r="4" spans="1:18" x14ac:dyDescent="0.25">
      <c r="A4" s="83" t="s">
        <v>20</v>
      </c>
      <c r="B4" s="21"/>
      <c r="C4" s="22"/>
      <c r="D4" s="22"/>
      <c r="E4" s="23"/>
      <c r="F4" s="84">
        <v>2134.44</v>
      </c>
      <c r="H4" s="7" t="s">
        <v>21</v>
      </c>
      <c r="I4" s="19">
        <v>2000</v>
      </c>
      <c r="J4" s="24" t="e">
        <f>#REF!*#REF!</f>
        <v>#REF!</v>
      </c>
      <c r="K4" s="19" t="e">
        <f t="shared" si="0"/>
        <v>#REF!</v>
      </c>
      <c r="L4" s="19">
        <f>I9</f>
        <v>1551.3400999999997</v>
      </c>
      <c r="M4" s="19"/>
      <c r="N4" s="16"/>
      <c r="O4" s="16"/>
      <c r="P4" s="16"/>
      <c r="Q4" s="16"/>
      <c r="R4" s="20"/>
    </row>
    <row r="5" spans="1:18" ht="24.75" thickBot="1" x14ac:dyDescent="0.3">
      <c r="A5" s="85"/>
      <c r="B5" s="25" t="s">
        <v>22</v>
      </c>
      <c r="C5" s="25" t="s">
        <v>23</v>
      </c>
      <c r="D5" s="25" t="s">
        <v>24</v>
      </c>
      <c r="E5" s="26" t="s">
        <v>23</v>
      </c>
      <c r="F5" s="86" t="s">
        <v>25</v>
      </c>
      <c r="H5" s="27" t="s">
        <v>26</v>
      </c>
      <c r="I5" s="28" t="e">
        <f>I4+#REF!</f>
        <v>#REF!</v>
      </c>
      <c r="J5" s="28" t="e">
        <f>J4+#REF!</f>
        <v>#REF!</v>
      </c>
      <c r="K5" s="28" t="e">
        <f>K4+#REF!</f>
        <v>#REF!</v>
      </c>
      <c r="L5" s="28" t="e">
        <f>L4+#REF!</f>
        <v>#REF!</v>
      </c>
      <c r="M5" s="28"/>
      <c r="N5" s="29" t="e">
        <f>0.2809/0.6*((1.6*L5/K5)-1)</f>
        <v>#REF!</v>
      </c>
      <c r="O5" s="29"/>
      <c r="P5" s="29" t="e">
        <f>ROUND(N5,4)</f>
        <v>#REF!</v>
      </c>
      <c r="Q5" s="30" t="e">
        <f>P5*K5</f>
        <v>#REF!</v>
      </c>
      <c r="R5" s="31" t="e">
        <f>Q5-#REF!</f>
        <v>#REF!</v>
      </c>
    </row>
    <row r="6" spans="1:18" ht="12.75" thickBot="1" x14ac:dyDescent="0.3">
      <c r="A6" s="87" t="s">
        <v>27</v>
      </c>
      <c r="B6" s="32"/>
      <c r="C6" s="33"/>
      <c r="D6" s="33"/>
      <c r="E6" s="34"/>
      <c r="F6" s="86"/>
    </row>
    <row r="7" spans="1:18" x14ac:dyDescent="0.25">
      <c r="A7" s="88" t="s">
        <v>65</v>
      </c>
      <c r="B7" s="35"/>
      <c r="C7" s="36"/>
      <c r="D7" s="36"/>
      <c r="E7" s="37">
        <v>7.0000000000000007E-2</v>
      </c>
      <c r="F7" s="89">
        <v>149.41080000000002</v>
      </c>
      <c r="G7" s="38">
        <v>7.0000000000000007E-2</v>
      </c>
      <c r="H7" s="2" t="s">
        <v>28</v>
      </c>
      <c r="I7" s="39">
        <v>3</v>
      </c>
    </row>
    <row r="8" spans="1:18" x14ac:dyDescent="0.25">
      <c r="A8" s="88" t="s">
        <v>29</v>
      </c>
      <c r="B8" s="35"/>
      <c r="C8" s="40"/>
      <c r="D8" s="41"/>
      <c r="E8" s="42"/>
      <c r="F8" s="90"/>
      <c r="H8" s="7" t="s">
        <v>30</v>
      </c>
      <c r="I8" s="20">
        <f>151.67+I7</f>
        <v>154.66999999999999</v>
      </c>
    </row>
    <row r="9" spans="1:18" ht="12.75" thickBot="1" x14ac:dyDescent="0.3">
      <c r="A9" s="88" t="s">
        <v>31</v>
      </c>
      <c r="B9" s="35"/>
      <c r="C9" s="40"/>
      <c r="D9" s="43">
        <v>20</v>
      </c>
      <c r="E9" s="44"/>
      <c r="F9" s="91">
        <v>24</v>
      </c>
      <c r="H9" s="27" t="s">
        <v>32</v>
      </c>
      <c r="I9" s="45">
        <f>I8*10.03</f>
        <v>1551.3400999999997</v>
      </c>
    </row>
    <row r="10" spans="1:18" x14ac:dyDescent="0.25">
      <c r="A10" s="87" t="s">
        <v>76</v>
      </c>
      <c r="B10" s="46">
        <v>2134.44</v>
      </c>
      <c r="C10" s="40"/>
      <c r="D10" s="35"/>
      <c r="E10" s="47">
        <v>2.7E-2</v>
      </c>
      <c r="F10" s="89">
        <v>57.629880000000007</v>
      </c>
    </row>
    <row r="11" spans="1:18" x14ac:dyDescent="0.25">
      <c r="A11" s="87" t="s">
        <v>33</v>
      </c>
      <c r="B11" s="35"/>
      <c r="C11" s="48"/>
      <c r="D11" s="35"/>
      <c r="E11" s="49"/>
      <c r="F11" s="90"/>
    </row>
    <row r="12" spans="1:18" x14ac:dyDescent="0.25">
      <c r="A12" s="88" t="s">
        <v>66</v>
      </c>
      <c r="B12" s="46">
        <v>2134.44</v>
      </c>
      <c r="C12" s="40">
        <v>6.9000000000000006E-2</v>
      </c>
      <c r="D12" s="43">
        <v>147.27636000000001</v>
      </c>
      <c r="E12" s="50">
        <v>8.5500000000000007E-2</v>
      </c>
      <c r="F12" s="89">
        <v>182.49462000000003</v>
      </c>
    </row>
    <row r="13" spans="1:18" x14ac:dyDescent="0.25">
      <c r="A13" s="88" t="s">
        <v>67</v>
      </c>
      <c r="B13" s="46">
        <v>2134.44</v>
      </c>
      <c r="C13" s="40">
        <v>4.0000000000000001E-3</v>
      </c>
      <c r="D13" s="43">
        <v>8.5377600000000005</v>
      </c>
      <c r="E13" s="50">
        <v>1.9E-2</v>
      </c>
      <c r="F13" s="89">
        <v>40.554360000000003</v>
      </c>
    </row>
    <row r="14" spans="1:18" x14ac:dyDescent="0.25">
      <c r="A14" s="88" t="s">
        <v>68</v>
      </c>
      <c r="B14" s="46">
        <v>2134.44</v>
      </c>
      <c r="C14" s="40">
        <v>4.0099999999999997E-2</v>
      </c>
      <c r="D14" s="43">
        <v>85.591043999999997</v>
      </c>
      <c r="E14" s="50">
        <v>6.0100000000000001E-2</v>
      </c>
      <c r="F14" s="89">
        <v>128.279844</v>
      </c>
    </row>
    <row r="15" spans="1:18" x14ac:dyDescent="0.25">
      <c r="A15" s="92" t="s">
        <v>34</v>
      </c>
      <c r="B15" s="51">
        <v>49.44</v>
      </c>
      <c r="C15" s="52">
        <v>0.11310000000000001</v>
      </c>
      <c r="D15" s="53">
        <v>-5.5916639999999997</v>
      </c>
      <c r="E15" s="54"/>
      <c r="F15" s="93"/>
    </row>
    <row r="16" spans="1:18" x14ac:dyDescent="0.25">
      <c r="A16" s="94" t="s">
        <v>77</v>
      </c>
      <c r="B16" s="46">
        <v>2134.44</v>
      </c>
      <c r="C16" s="48"/>
      <c r="D16" s="35"/>
      <c r="E16" s="47">
        <v>3.4500000000000003E-2</v>
      </c>
      <c r="F16" s="89">
        <v>73.638180000000006</v>
      </c>
      <c r="G16" s="38">
        <v>3.4500000000000003E-2</v>
      </c>
    </row>
    <row r="17" spans="1:11" x14ac:dyDescent="0.25">
      <c r="A17" s="87" t="s">
        <v>69</v>
      </c>
      <c r="B17" s="35"/>
      <c r="C17" s="48"/>
      <c r="D17" s="35"/>
      <c r="E17" s="47">
        <v>4.2000000000000003E-2</v>
      </c>
      <c r="F17" s="89">
        <v>89.646480000000011</v>
      </c>
    </row>
    <row r="18" spans="1:11" x14ac:dyDescent="0.25">
      <c r="A18" s="87" t="s">
        <v>70</v>
      </c>
      <c r="B18" s="46">
        <v>2134.44</v>
      </c>
      <c r="C18" s="48"/>
      <c r="D18" s="35"/>
      <c r="E18" s="47">
        <v>1.6459999999999999E-2</v>
      </c>
      <c r="F18" s="89">
        <v>35.1328824</v>
      </c>
    </row>
    <row r="19" spans="1:11" x14ac:dyDescent="0.25">
      <c r="A19" s="87" t="s">
        <v>35</v>
      </c>
      <c r="B19" s="46">
        <v>2072.5125000000003</v>
      </c>
      <c r="C19" s="40">
        <v>2.9000000000000001E-2</v>
      </c>
      <c r="D19" s="43">
        <v>60.102862500000008</v>
      </c>
      <c r="E19" s="44"/>
      <c r="F19" s="90"/>
    </row>
    <row r="20" spans="1:11" x14ac:dyDescent="0.25">
      <c r="A20" s="87" t="s">
        <v>36</v>
      </c>
      <c r="B20" s="46">
        <v>2072.5125000000003</v>
      </c>
      <c r="C20" s="40">
        <v>6.8000000000000005E-2</v>
      </c>
      <c r="D20" s="43">
        <v>140.93085000000002</v>
      </c>
      <c r="E20" s="44"/>
      <c r="F20" s="90"/>
    </row>
    <row r="21" spans="1:11" ht="12.75" thickBot="1" x14ac:dyDescent="0.3">
      <c r="A21" s="95" t="s">
        <v>37</v>
      </c>
      <c r="B21" s="51">
        <v>48.574799999999996</v>
      </c>
      <c r="C21" s="52">
        <v>9.7000000000000003E-2</v>
      </c>
      <c r="D21" s="53">
        <v>4.7117556</v>
      </c>
      <c r="E21" s="54"/>
      <c r="F21" s="90"/>
    </row>
    <row r="22" spans="1:11" x14ac:dyDescent="0.25">
      <c r="A22" s="96" t="s">
        <v>38</v>
      </c>
      <c r="B22" s="55"/>
      <c r="C22" s="56"/>
      <c r="D22" s="57"/>
      <c r="E22" s="58"/>
      <c r="F22" s="97">
        <v>-162.6903122832465</v>
      </c>
      <c r="G22" s="190" t="s">
        <v>39</v>
      </c>
    </row>
    <row r="23" spans="1:11" ht="12.75" thickBot="1" x14ac:dyDescent="0.3">
      <c r="A23" s="96" t="s">
        <v>40</v>
      </c>
      <c r="B23" s="59"/>
      <c r="C23" s="60"/>
      <c r="D23" s="61"/>
      <c r="E23" s="62"/>
      <c r="F23" s="98">
        <v>-4.5</v>
      </c>
      <c r="G23" s="191"/>
    </row>
    <row r="24" spans="1:11" x14ac:dyDescent="0.25">
      <c r="A24" s="87" t="s">
        <v>41</v>
      </c>
      <c r="B24" s="63"/>
      <c r="C24" s="33"/>
      <c r="D24" s="64">
        <v>461.55896810000002</v>
      </c>
      <c r="E24" s="65"/>
      <c r="F24" s="99">
        <v>613.59673411675362</v>
      </c>
    </row>
    <row r="25" spans="1:11" x14ac:dyDescent="0.25">
      <c r="A25" s="87"/>
      <c r="B25" s="63"/>
      <c r="C25" s="33"/>
      <c r="D25" s="63"/>
      <c r="E25" s="66"/>
      <c r="F25" s="90"/>
    </row>
    <row r="26" spans="1:11" x14ac:dyDescent="0.25">
      <c r="A26" s="100" t="s">
        <v>42</v>
      </c>
      <c r="B26" s="63"/>
      <c r="C26" s="33"/>
      <c r="D26" s="63"/>
      <c r="E26" s="66"/>
      <c r="F26" s="89">
        <v>1672.8810318999999</v>
      </c>
    </row>
    <row r="27" spans="1:11" ht="24" x14ac:dyDescent="0.25">
      <c r="A27" s="87" t="s">
        <v>43</v>
      </c>
      <c r="B27" s="63"/>
      <c r="C27" s="33"/>
      <c r="D27" s="63"/>
      <c r="E27" s="66"/>
      <c r="F27" s="101">
        <v>31.176375899999989</v>
      </c>
      <c r="H27" s="68" t="s">
        <v>44</v>
      </c>
      <c r="K27" s="69"/>
    </row>
    <row r="28" spans="1:11" x14ac:dyDescent="0.25">
      <c r="A28" s="102" t="s">
        <v>45</v>
      </c>
      <c r="B28" s="70" t="s">
        <v>46</v>
      </c>
      <c r="C28" s="70" t="s">
        <v>23</v>
      </c>
      <c r="D28" s="71"/>
      <c r="E28" s="72"/>
      <c r="F28" s="103" t="s">
        <v>47</v>
      </c>
    </row>
    <row r="29" spans="1:11" x14ac:dyDescent="0.25">
      <c r="A29" s="100" t="s">
        <v>78</v>
      </c>
      <c r="B29" s="67">
        <v>1712.2556499999998</v>
      </c>
      <c r="C29" s="73">
        <v>4.4999999999999998E-2</v>
      </c>
      <c r="D29" s="67"/>
      <c r="E29" s="67"/>
      <c r="F29" s="101">
        <v>77.051504249999994</v>
      </c>
      <c r="H29" s="7" t="s">
        <v>51</v>
      </c>
      <c r="I29" s="74" t="e">
        <f>#REF!</f>
        <v>#REF!</v>
      </c>
      <c r="J29" s="75">
        <v>7.4999999999999997E-3</v>
      </c>
      <c r="K29" s="76" t="e">
        <f t="shared" ref="K29" si="1">J29*I29</f>
        <v>#REF!</v>
      </c>
    </row>
    <row r="30" spans="1:11" x14ac:dyDescent="0.25">
      <c r="A30" s="88"/>
      <c r="B30" s="36"/>
      <c r="C30" s="77"/>
      <c r="D30" s="1" t="s">
        <v>72</v>
      </c>
      <c r="E30" s="78"/>
      <c r="F30" s="89">
        <v>1595.8295276499998</v>
      </c>
      <c r="H30" s="7" t="s">
        <v>52</v>
      </c>
      <c r="I30" s="74">
        <f>B19+B21</f>
        <v>2121.0873000000001</v>
      </c>
      <c r="J30" s="75">
        <v>1.7000000000000001E-2</v>
      </c>
      <c r="K30" s="76">
        <f>-J30*I30</f>
        <v>-36.058484100000008</v>
      </c>
    </row>
    <row r="31" spans="1:11" ht="24.75" thickBot="1" x14ac:dyDescent="0.3">
      <c r="A31" s="96" t="s">
        <v>71</v>
      </c>
      <c r="B31" s="79">
        <v>1712.2556499999998</v>
      </c>
      <c r="C31" s="80"/>
      <c r="D31" s="1" t="s">
        <v>75</v>
      </c>
      <c r="E31" s="78"/>
      <c r="F31" s="101">
        <v>205.61023228324649</v>
      </c>
      <c r="H31" s="27" t="s">
        <v>53</v>
      </c>
      <c r="I31" s="29"/>
      <c r="J31" s="29"/>
      <c r="K31" s="81" t="e">
        <f>SUM(K29:K30)</f>
        <v>#REF!</v>
      </c>
    </row>
    <row r="32" spans="1:11" ht="12.75" thickBot="1" x14ac:dyDescent="0.3">
      <c r="A32" s="104"/>
      <c r="B32" s="105"/>
      <c r="C32" s="106"/>
      <c r="D32" s="107" t="s">
        <v>54</v>
      </c>
      <c r="E32" s="108"/>
      <c r="F32" s="109">
        <v>2748.0367341167539</v>
      </c>
    </row>
    <row r="33" spans="1:11" ht="15.75" customHeight="1" x14ac:dyDescent="0.25">
      <c r="H33" s="68" t="s">
        <v>55</v>
      </c>
    </row>
    <row r="34" spans="1:11" ht="15.75" hidden="1" customHeight="1" x14ac:dyDescent="0.25">
      <c r="H34" s="2" t="s">
        <v>56</v>
      </c>
      <c r="I34" s="3"/>
      <c r="J34" s="3"/>
      <c r="K34" s="5">
        <f>-F22</f>
        <v>162.6903122832465</v>
      </c>
    </row>
    <row r="35" spans="1:11" ht="15.75" hidden="1" customHeight="1" x14ac:dyDescent="0.25">
      <c r="A35" s="6" t="s">
        <v>57</v>
      </c>
      <c r="B35" s="69">
        <v>1E-3</v>
      </c>
      <c r="H35" s="7" t="s">
        <v>58</v>
      </c>
      <c r="I35" s="16"/>
      <c r="J35" s="16"/>
      <c r="K35" s="18">
        <f>-F23</f>
        <v>4.5</v>
      </c>
    </row>
    <row r="36" spans="1:11" ht="15.75" hidden="1" customHeight="1" x14ac:dyDescent="0.25">
      <c r="A36" s="6" t="s">
        <v>59</v>
      </c>
      <c r="B36" s="82">
        <v>1.6000000000000001E-4</v>
      </c>
      <c r="H36" s="7" t="s">
        <v>60</v>
      </c>
      <c r="I36" s="74">
        <f>F4</f>
        <v>2134.44</v>
      </c>
      <c r="J36" s="75">
        <v>1.7999999999999999E-2</v>
      </c>
      <c r="K36" s="18">
        <f>J36*I36</f>
        <v>38.419919999999998</v>
      </c>
    </row>
    <row r="37" spans="1:11" ht="15.75" hidden="1" customHeight="1" x14ac:dyDescent="0.25">
      <c r="A37" s="6" t="s">
        <v>61</v>
      </c>
      <c r="B37" s="69">
        <v>5.4999999999999997E-3</v>
      </c>
      <c r="H37" s="7" t="s">
        <v>34</v>
      </c>
      <c r="I37" s="16"/>
      <c r="J37" s="16"/>
      <c r="K37" s="18">
        <f>J37*I37</f>
        <v>0</v>
      </c>
    </row>
    <row r="38" spans="1:11" ht="15.75" hidden="1" customHeight="1" thickBot="1" x14ac:dyDescent="0.3">
      <c r="A38" s="6" t="s">
        <v>62</v>
      </c>
      <c r="B38" s="69">
        <v>6.7999999999999996E-3</v>
      </c>
      <c r="H38" s="27" t="s">
        <v>63</v>
      </c>
      <c r="I38" s="29"/>
      <c r="J38" s="29"/>
      <c r="K38" s="81">
        <f>SUM(K34:K37)</f>
        <v>205.61023228324649</v>
      </c>
    </row>
    <row r="39" spans="1:11" hidden="1" x14ac:dyDescent="0.25">
      <c r="A39" s="6" t="s">
        <v>64</v>
      </c>
      <c r="B39" s="69">
        <v>3.0000000000000001E-3</v>
      </c>
    </row>
    <row r="40" spans="1:11" hidden="1" x14ac:dyDescent="0.25">
      <c r="B40" s="82">
        <f>SUM(B35:B39)</f>
        <v>1.6459999999999999E-2</v>
      </c>
    </row>
    <row r="41" spans="1:11" hidden="1" x14ac:dyDescent="0.25"/>
    <row r="42" spans="1:11" hidden="1" x14ac:dyDescent="0.25"/>
    <row r="43" spans="1:11" hidden="1" x14ac:dyDescent="0.25"/>
    <row r="44" spans="1:11" hidden="1" x14ac:dyDescent="0.25"/>
    <row r="45" spans="1:11" hidden="1" x14ac:dyDescent="0.25"/>
    <row r="46" spans="1:11" hidden="1" x14ac:dyDescent="0.25"/>
    <row r="47" spans="1:11" hidden="1" x14ac:dyDescent="0.25"/>
    <row r="48" spans="1:11" hidden="1" x14ac:dyDescent="0.25"/>
  </sheetData>
  <mergeCells count="2">
    <mergeCell ref="H1:R1"/>
    <mergeCell ref="G22:G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Avec exonération 2019</vt:lpstr>
      <vt:lpstr>Sans exonération</vt:lpstr>
      <vt:lpstr>DUMAINE BULLETIN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dcterms:created xsi:type="dcterms:W3CDTF">2019-05-31T08:22:25Z</dcterms:created>
  <dcterms:modified xsi:type="dcterms:W3CDTF">2019-06-01T13:22:45Z</dcterms:modified>
</cp:coreProperties>
</file>