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YT\PAIE\VALEUR CIBLE\"/>
    </mc:Choice>
  </mc:AlternateContent>
  <xr:revisionPtr revIDLastSave="0" documentId="8_{46945FD9-7381-4782-B96E-41B2EE240244}" xr6:coauthVersionLast="37" xr6:coauthVersionMax="37" xr10:uidLastSave="{00000000-0000-0000-0000-000000000000}"/>
  <bookViews>
    <workbookView xWindow="0" yWindow="0" windowWidth="24000" windowHeight="10905" firstSheet="1" activeTab="5" xr2:uid="{CE26632D-E4A4-43CD-AF96-3CDA7779CA99}"/>
  </bookViews>
  <sheets>
    <sheet name="Salarié" sheetId="1" r:id="rId1"/>
    <sheet name="IJSS" sheetId="2" r:id="rId2"/>
    <sheet name="SALAIRE HABITUEL" sheetId="3" r:id="rId3"/>
    <sheet name="PREMIER CAS" sheetId="4" r:id="rId4"/>
    <sheet name="DEUXIEME CAS " sheetId="5" r:id="rId5"/>
    <sheet name="TROISIEME CAS" sheetId="6" r:id="rId6"/>
    <sheet name="Feuil7" sheetId="7" r:id="rId7"/>
    <sheet name="TROISIEME CAS (2)" sheetId="8" r:id="rId8"/>
  </sheets>
  <externalReferences>
    <externalReference r:id="rId9"/>
  </externalReferences>
  <definedNames>
    <definedName name="_Toc409093540" localSheetId="2">'SALAIRE HABITUEL'!$A$1</definedName>
    <definedName name="_Toc409093540" localSheetId="0">Salarié!$A$1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8" i="8" l="1"/>
  <c r="E86" i="8"/>
  <c r="E84" i="8"/>
  <c r="E81" i="8"/>
  <c r="C58" i="8"/>
  <c r="C72" i="8" s="1"/>
  <c r="F54" i="8"/>
  <c r="C59" i="8" s="1"/>
  <c r="J51" i="8"/>
  <c r="E50" i="8"/>
  <c r="D49" i="8"/>
  <c r="E49" i="8" s="1"/>
  <c r="E52" i="8" s="1"/>
  <c r="C34" i="8"/>
  <c r="G34" i="8" s="1"/>
  <c r="C32" i="8"/>
  <c r="C33" i="8" s="1"/>
  <c r="E33" i="8" s="1"/>
  <c r="C21" i="8"/>
  <c r="C22" i="8" s="1"/>
  <c r="C20" i="8"/>
  <c r="E20" i="8" s="1"/>
  <c r="C19" i="8"/>
  <c r="C29" i="8" s="1"/>
  <c r="E29" i="8" s="1"/>
  <c r="E8" i="8"/>
  <c r="E7" i="8"/>
  <c r="E87" i="8" s="1"/>
  <c r="E89" i="8" s="1"/>
  <c r="E3" i="8"/>
  <c r="E2" i="8"/>
  <c r="E8" i="7"/>
  <c r="E10" i="7" s="1"/>
  <c r="E13" i="7"/>
  <c r="E6" i="7"/>
  <c r="D8" i="6"/>
  <c r="D83" i="6" s="1"/>
  <c r="D7" i="6"/>
  <c r="D82" i="6" s="1"/>
  <c r="I50" i="5"/>
  <c r="D47" i="4"/>
  <c r="H43" i="4"/>
  <c r="I60" i="5"/>
  <c r="I57" i="5"/>
  <c r="I56" i="5"/>
  <c r="C9" i="2"/>
  <c r="E49" i="6"/>
  <c r="D81" i="6"/>
  <c r="B21" i="6"/>
  <c r="B22" i="6" s="1"/>
  <c r="B20" i="6"/>
  <c r="B26" i="6" s="1"/>
  <c r="D26" i="6" s="1"/>
  <c r="B19" i="6"/>
  <c r="B29" i="6" s="1"/>
  <c r="D29" i="6" s="1"/>
  <c r="D3" i="6"/>
  <c r="D85" i="5"/>
  <c r="D49" i="5"/>
  <c r="C48" i="5"/>
  <c r="D48" i="5" s="1"/>
  <c r="B20" i="5"/>
  <c r="D20" i="5" s="1"/>
  <c r="B19" i="5"/>
  <c r="B33" i="5" s="1"/>
  <c r="B18" i="5"/>
  <c r="B28" i="5" s="1"/>
  <c r="D28" i="5" s="1"/>
  <c r="D3" i="5"/>
  <c r="D81" i="4"/>
  <c r="I46" i="4"/>
  <c r="D45" i="4"/>
  <c r="C44" i="4"/>
  <c r="D44" i="4" s="1"/>
  <c r="B54" i="4"/>
  <c r="B55" i="4" s="1"/>
  <c r="B53" i="4"/>
  <c r="B59" i="4" s="1"/>
  <c r="D59" i="4" s="1"/>
  <c r="B52" i="4"/>
  <c r="B62" i="4" s="1"/>
  <c r="D62" i="4" s="1"/>
  <c r="B15" i="4"/>
  <c r="B16" i="4" s="1"/>
  <c r="B14" i="4"/>
  <c r="D14" i="4" s="1"/>
  <c r="B13" i="4"/>
  <c r="B23" i="4" s="1"/>
  <c r="D23" i="4" s="1"/>
  <c r="D3" i="4"/>
  <c r="B35" i="3"/>
  <c r="B36" i="3" s="1"/>
  <c r="C33" i="3"/>
  <c r="B33" i="3"/>
  <c r="B43" i="3" s="1"/>
  <c r="D43" i="3" s="1"/>
  <c r="E19" i="3"/>
  <c r="E20" i="3" s="1"/>
  <c r="C19" i="3"/>
  <c r="C20" i="3" s="1"/>
  <c r="D14" i="3"/>
  <c r="B14" i="3"/>
  <c r="B21" i="3" s="1"/>
  <c r="D13" i="3"/>
  <c r="C13" i="3"/>
  <c r="E12" i="3"/>
  <c r="F12" i="3" s="1"/>
  <c r="G12" i="3" s="1"/>
  <c r="H12" i="3" s="1"/>
  <c r="C12" i="3"/>
  <c r="C6" i="3"/>
  <c r="C7" i="3" s="1"/>
  <c r="C3" i="3"/>
  <c r="C4" i="3" s="1"/>
  <c r="C11" i="2"/>
  <c r="D76" i="6" s="1"/>
  <c r="C10" i="2"/>
  <c r="C8" i="2"/>
  <c r="E30" i="1"/>
  <c r="B33" i="1" s="1"/>
  <c r="B42" i="1" s="1"/>
  <c r="B51" i="1"/>
  <c r="B50" i="1"/>
  <c r="B49" i="1"/>
  <c r="B48" i="1"/>
  <c r="B47" i="1"/>
  <c r="B46" i="1"/>
  <c r="C33" i="1"/>
  <c r="E19" i="1"/>
  <c r="E21" i="1" s="1"/>
  <c r="C19" i="1"/>
  <c r="C20" i="1" s="1"/>
  <c r="D14" i="1"/>
  <c r="D13" i="1"/>
  <c r="C12" i="1"/>
  <c r="C13" i="1" s="1"/>
  <c r="C6" i="1"/>
  <c r="C7" i="1" s="1"/>
  <c r="C3" i="1"/>
  <c r="C4" i="1" s="1"/>
  <c r="E4" i="8" l="1"/>
  <c r="E6" i="8" s="1"/>
  <c r="E9" i="8" s="1"/>
  <c r="E22" i="8"/>
  <c r="C23" i="8"/>
  <c r="E23" i="8" s="1"/>
  <c r="C37" i="8"/>
  <c r="G41" i="8"/>
  <c r="E59" i="8"/>
  <c r="C60" i="8"/>
  <c r="E72" i="8"/>
  <c r="G72" i="8"/>
  <c r="C28" i="8"/>
  <c r="E28" i="8" s="1"/>
  <c r="C30" i="8"/>
  <c r="C64" i="8"/>
  <c r="E64" i="8" s="1"/>
  <c r="E19" i="8"/>
  <c r="E21" i="8"/>
  <c r="E32" i="8"/>
  <c r="E34" i="8"/>
  <c r="E58" i="8"/>
  <c r="C26" i="8"/>
  <c r="E26" i="8" s="1"/>
  <c r="C57" i="8"/>
  <c r="C70" i="8"/>
  <c r="E15" i="7"/>
  <c r="E17" i="7" s="1"/>
  <c r="D84" i="6"/>
  <c r="B65" i="4"/>
  <c r="B66" i="4" s="1"/>
  <c r="D66" i="4" s="1"/>
  <c r="E13" i="3"/>
  <c r="F13" i="3" s="1"/>
  <c r="G13" i="3" s="1"/>
  <c r="H13" i="3" s="1"/>
  <c r="D76" i="4"/>
  <c r="D80" i="5"/>
  <c r="D20" i="6"/>
  <c r="B67" i="4"/>
  <c r="F67" i="4" s="1"/>
  <c r="F74" i="4" s="1"/>
  <c r="D53" i="4"/>
  <c r="B23" i="6"/>
  <c r="D23" i="6" s="1"/>
  <c r="D22" i="6"/>
  <c r="D19" i="6"/>
  <c r="D21" i="6"/>
  <c r="B53" i="6"/>
  <c r="B54" i="6"/>
  <c r="B52" i="6"/>
  <c r="B28" i="6"/>
  <c r="D28" i="6" s="1"/>
  <c r="B30" i="6"/>
  <c r="B32" i="6"/>
  <c r="B34" i="6"/>
  <c r="B21" i="5"/>
  <c r="B22" i="5" s="1"/>
  <c r="D22" i="5" s="1"/>
  <c r="D18" i="5"/>
  <c r="D51" i="5"/>
  <c r="E53" i="5" s="1"/>
  <c r="D33" i="5"/>
  <c r="F33" i="5"/>
  <c r="B25" i="5"/>
  <c r="D25" i="5" s="1"/>
  <c r="D19" i="5"/>
  <c r="B27" i="5"/>
  <c r="D27" i="5" s="1"/>
  <c r="B29" i="5"/>
  <c r="B31" i="5"/>
  <c r="B56" i="4"/>
  <c r="D56" i="4" s="1"/>
  <c r="D55" i="4"/>
  <c r="B70" i="4"/>
  <c r="D52" i="4"/>
  <c r="D54" i="4"/>
  <c r="D65" i="4"/>
  <c r="D67" i="4"/>
  <c r="B61" i="4"/>
  <c r="D61" i="4" s="1"/>
  <c r="B63" i="4"/>
  <c r="B22" i="4"/>
  <c r="D22" i="4" s="1"/>
  <c r="B26" i="4"/>
  <c r="B27" i="4" s="1"/>
  <c r="D27" i="4" s="1"/>
  <c r="B24" i="4"/>
  <c r="B25" i="4" s="1"/>
  <c r="D25" i="4" s="1"/>
  <c r="B28" i="4"/>
  <c r="F28" i="4" s="1"/>
  <c r="B31" i="4" s="1"/>
  <c r="D16" i="4"/>
  <c r="B17" i="4"/>
  <c r="D17" i="4" s="1"/>
  <c r="D13" i="4"/>
  <c r="D15" i="4"/>
  <c r="B20" i="4"/>
  <c r="D20" i="4" s="1"/>
  <c r="C14" i="3"/>
  <c r="G14" i="3" s="1"/>
  <c r="H14" i="3" s="1"/>
  <c r="C21" i="3"/>
  <c r="D36" i="3"/>
  <c r="B37" i="3"/>
  <c r="D37" i="3" s="1"/>
  <c r="B42" i="3"/>
  <c r="D42" i="3" s="1"/>
  <c r="E21" i="3"/>
  <c r="D33" i="3"/>
  <c r="D35" i="3"/>
  <c r="B34" i="3"/>
  <c r="B43" i="1"/>
  <c r="B34" i="1"/>
  <c r="B54" i="1" s="1"/>
  <c r="B35" i="1"/>
  <c r="E20" i="1"/>
  <c r="D47" i="1"/>
  <c r="D51" i="1"/>
  <c r="D46" i="1"/>
  <c r="D50" i="1"/>
  <c r="E13" i="1"/>
  <c r="F13" i="1" s="1"/>
  <c r="G13" i="1" s="1"/>
  <c r="B14" i="1"/>
  <c r="B21" i="1" s="1"/>
  <c r="C21" i="1" s="1"/>
  <c r="E12" i="1"/>
  <c r="F12" i="1" s="1"/>
  <c r="G12" i="1" s="1"/>
  <c r="H12" i="1" s="1"/>
  <c r="D49" i="1"/>
  <c r="D48" i="1"/>
  <c r="C31" i="8" l="1"/>
  <c r="E31" i="8" s="1"/>
  <c r="E30" i="8"/>
  <c r="C61" i="8"/>
  <c r="E61" i="8" s="1"/>
  <c r="E60" i="8"/>
  <c r="E57" i="8"/>
  <c r="C66" i="8"/>
  <c r="E66" i="8" s="1"/>
  <c r="C67" i="8"/>
  <c r="E67" i="8" s="1"/>
  <c r="E70" i="8"/>
  <c r="C71" i="8"/>
  <c r="E71" i="8" s="1"/>
  <c r="C38" i="8"/>
  <c r="E37" i="8"/>
  <c r="C68" i="8"/>
  <c r="C75" i="8"/>
  <c r="G79" i="8"/>
  <c r="E14" i="3"/>
  <c r="B56" i="5"/>
  <c r="B58" i="5"/>
  <c r="B57" i="5"/>
  <c r="B59" i="6"/>
  <c r="D59" i="6" s="1"/>
  <c r="B67" i="6"/>
  <c r="B65" i="6"/>
  <c r="B63" i="6"/>
  <c r="D53" i="6"/>
  <c r="F34" i="6"/>
  <c r="D34" i="6"/>
  <c r="B62" i="6"/>
  <c r="D62" i="6" s="1"/>
  <c r="D52" i="6"/>
  <c r="B61" i="6"/>
  <c r="D61" i="6" s="1"/>
  <c r="B33" i="6"/>
  <c r="D33" i="6" s="1"/>
  <c r="D32" i="6"/>
  <c r="B31" i="6"/>
  <c r="D31" i="6" s="1"/>
  <c r="D30" i="6"/>
  <c r="B55" i="6"/>
  <c r="D54" i="6"/>
  <c r="D21" i="5"/>
  <c r="D31" i="5"/>
  <c r="B32" i="5"/>
  <c r="D32" i="5" s="1"/>
  <c r="D29" i="5"/>
  <c r="B30" i="5"/>
  <c r="D30" i="5" s="1"/>
  <c r="F40" i="5"/>
  <c r="B36" i="5"/>
  <c r="D70" i="4"/>
  <c r="B71" i="4"/>
  <c r="B64" i="4"/>
  <c r="D64" i="4" s="1"/>
  <c r="D63" i="4"/>
  <c r="D26" i="4"/>
  <c r="F35" i="4"/>
  <c r="D24" i="4"/>
  <c r="D28" i="4"/>
  <c r="D31" i="4"/>
  <c r="B32" i="4"/>
  <c r="D34" i="3"/>
  <c r="B40" i="3"/>
  <c r="D40" i="3" s="1"/>
  <c r="B48" i="3"/>
  <c r="B46" i="3"/>
  <c r="B44" i="3"/>
  <c r="F54" i="1"/>
  <c r="B57" i="1" s="1"/>
  <c r="D54" i="1"/>
  <c r="B52" i="1"/>
  <c r="B44" i="1"/>
  <c r="C14" i="1"/>
  <c r="H13" i="1"/>
  <c r="E68" i="8" l="1"/>
  <c r="C69" i="8"/>
  <c r="E69" i="8" s="1"/>
  <c r="C76" i="8"/>
  <c r="E75" i="8"/>
  <c r="C39" i="8"/>
  <c r="E39" i="8" s="1"/>
  <c r="E38" i="8"/>
  <c r="E41" i="8" s="1"/>
  <c r="E42" i="8" s="1"/>
  <c r="B63" i="5"/>
  <c r="D63" i="5" s="1"/>
  <c r="B69" i="5"/>
  <c r="B67" i="5"/>
  <c r="D57" i="5"/>
  <c r="B71" i="5"/>
  <c r="B59" i="5"/>
  <c r="D58" i="5"/>
  <c r="B66" i="5"/>
  <c r="D66" i="5" s="1"/>
  <c r="D56" i="5"/>
  <c r="B65" i="5"/>
  <c r="D65" i="5" s="1"/>
  <c r="B64" i="6"/>
  <c r="D64" i="6" s="1"/>
  <c r="D63" i="6"/>
  <c r="B56" i="6"/>
  <c r="D56" i="6" s="1"/>
  <c r="D55" i="6"/>
  <c r="B66" i="6"/>
  <c r="D66" i="6" s="1"/>
  <c r="D65" i="6"/>
  <c r="F41" i="6"/>
  <c r="B37" i="6"/>
  <c r="F67" i="6"/>
  <c r="D67" i="6"/>
  <c r="B37" i="5"/>
  <c r="D36" i="5"/>
  <c r="D71" i="4"/>
  <c r="B72" i="4"/>
  <c r="D72" i="4" s="1"/>
  <c r="D74" i="4" s="1"/>
  <c r="D75" i="4" s="1"/>
  <c r="D77" i="4" s="1"/>
  <c r="B33" i="4"/>
  <c r="D33" i="4" s="1"/>
  <c r="D32" i="4"/>
  <c r="B45" i="3"/>
  <c r="D45" i="3" s="1"/>
  <c r="D44" i="3"/>
  <c r="B47" i="3"/>
  <c r="D47" i="3" s="1"/>
  <c r="D46" i="3"/>
  <c r="F48" i="3"/>
  <c r="D48" i="3"/>
  <c r="D44" i="1"/>
  <c r="B45" i="1"/>
  <c r="D45" i="1" s="1"/>
  <c r="G14" i="1"/>
  <c r="H14" i="1" s="1"/>
  <c r="E14" i="1"/>
  <c r="D34" i="1"/>
  <c r="B40" i="1"/>
  <c r="D40" i="1" s="1"/>
  <c r="D33" i="1"/>
  <c r="C77" i="8" l="1"/>
  <c r="E77" i="8" s="1"/>
  <c r="E76" i="8"/>
  <c r="E79" i="8" s="1"/>
  <c r="E80" i="8" s="1"/>
  <c r="E82" i="8" s="1"/>
  <c r="E85" i="8" s="1"/>
  <c r="B70" i="5"/>
  <c r="D70" i="5" s="1"/>
  <c r="D69" i="5"/>
  <c r="D67" i="5"/>
  <c r="B68" i="5"/>
  <c r="D68" i="5" s="1"/>
  <c r="D59" i="5"/>
  <c r="B60" i="5"/>
  <c r="D60" i="5" s="1"/>
  <c r="F71" i="5"/>
  <c r="D71" i="5"/>
  <c r="F74" i="6"/>
  <c r="B70" i="6"/>
  <c r="B38" i="6"/>
  <c r="D37" i="6"/>
  <c r="B38" i="5"/>
  <c r="D38" i="5" s="1"/>
  <c r="D37" i="5"/>
  <c r="D35" i="4"/>
  <c r="D36" i="4" s="1"/>
  <c r="B51" i="3"/>
  <c r="F55" i="3"/>
  <c r="F78" i="5" l="1"/>
  <c r="B74" i="5"/>
  <c r="B71" i="6"/>
  <c r="D70" i="6"/>
  <c r="D38" i="6"/>
  <c r="B39" i="6"/>
  <c r="D39" i="6" s="1"/>
  <c r="D40" i="5"/>
  <c r="D41" i="5" s="1"/>
  <c r="B52" i="3"/>
  <c r="D51" i="3"/>
  <c r="B36" i="1"/>
  <c r="D35" i="1"/>
  <c r="D42" i="1"/>
  <c r="B53" i="1"/>
  <c r="D74" i="5" l="1"/>
  <c r="B75" i="5"/>
  <c r="D71" i="6"/>
  <c r="B72" i="6"/>
  <c r="D72" i="6" s="1"/>
  <c r="D41" i="6"/>
  <c r="D42" i="6" s="1"/>
  <c r="B53" i="3"/>
  <c r="D53" i="3" s="1"/>
  <c r="D52" i="3"/>
  <c r="D55" i="3" s="1"/>
  <c r="D56" i="3" s="1"/>
  <c r="D36" i="1"/>
  <c r="B37" i="1"/>
  <c r="D37" i="1" s="1"/>
  <c r="D52" i="1"/>
  <c r="D43" i="1"/>
  <c r="D74" i="6" l="1"/>
  <c r="D75" i="6" s="1"/>
  <c r="D77" i="6" s="1"/>
  <c r="D2" i="5"/>
  <c r="D2" i="6"/>
  <c r="D4" i="6" s="1"/>
  <c r="D6" i="6" s="1"/>
  <c r="D9" i="6" s="1"/>
  <c r="D83" i="5"/>
  <c r="D79" i="6"/>
  <c r="D79" i="4"/>
  <c r="D80" i="4" s="1"/>
  <c r="D2" i="4"/>
  <c r="D4" i="4" s="1"/>
  <c r="D75" i="5"/>
  <c r="B76" i="5"/>
  <c r="D76" i="5" s="1"/>
  <c r="D53" i="1"/>
  <c r="D80" i="6" l="1"/>
  <c r="D78" i="5"/>
  <c r="D79" i="5" s="1"/>
  <c r="D81" i="5" s="1"/>
  <c r="D84" i="5" s="1"/>
  <c r="D4" i="5"/>
  <c r="D7" i="5"/>
  <c r="D86" i="5" s="1"/>
  <c r="D87" i="5" s="1"/>
  <c r="F61" i="1"/>
  <c r="D57" i="1"/>
  <c r="B58" i="1"/>
  <c r="D8" i="5" l="1"/>
  <c r="B59" i="1"/>
  <c r="D59" i="1" s="1"/>
  <c r="D58" i="1"/>
  <c r="D61" i="1" l="1"/>
  <c r="D62" i="1" s="1"/>
</calcChain>
</file>

<file path=xl/sharedStrings.xml><?xml version="1.0" encoding="utf-8"?>
<sst xmlns="http://schemas.openxmlformats.org/spreadsheetml/2006/main" count="486" uniqueCount="116">
  <si>
    <t>Bulletin d’un salarié  non cadre</t>
  </si>
  <si>
    <t>Salaires totaux pour calcul precarite</t>
  </si>
  <si>
    <t>Précarité</t>
  </si>
  <si>
    <t>Salaires totaux pour CP</t>
  </si>
  <si>
    <t>(1900*3)+665</t>
  </si>
  <si>
    <t>CP 1/10</t>
  </si>
  <si>
    <t>FILLON</t>
  </si>
  <si>
    <t>MOIS</t>
  </si>
  <si>
    <t>SALAIRES</t>
  </si>
  <si>
    <t>cumuls</t>
  </si>
  <si>
    <t>CUMUL SMIC</t>
  </si>
  <si>
    <t>Coeff cuml</t>
  </si>
  <si>
    <t>Coeff arrondi</t>
  </si>
  <si>
    <t>FILLON CUMULE</t>
  </si>
  <si>
    <t>fillon mois</t>
  </si>
  <si>
    <t>AVRIL</t>
  </si>
  <si>
    <t>MAI</t>
  </si>
  <si>
    <t>JUIN</t>
  </si>
  <si>
    <t>GMP</t>
  </si>
  <si>
    <t>Salaires</t>
  </si>
  <si>
    <t>Cumuls plafonds</t>
  </si>
  <si>
    <t>Cumuls charnieres</t>
  </si>
  <si>
    <t>ASSIETTE GMP</t>
  </si>
  <si>
    <t>Salaire de base</t>
  </si>
  <si>
    <t>Salaire brut</t>
  </si>
  <si>
    <t>Bases</t>
  </si>
  <si>
    <t>Salarial</t>
  </si>
  <si>
    <t>Retenues sal</t>
  </si>
  <si>
    <t>Patronal</t>
  </si>
  <si>
    <t>Cot patron.</t>
  </si>
  <si>
    <t>Salaire de base per ref</t>
  </si>
  <si>
    <t>280 HS A 26,37 €</t>
  </si>
  <si>
    <t>Vieillesse</t>
  </si>
  <si>
    <t>Total per de ref</t>
  </si>
  <si>
    <t xml:space="preserve">Vieillesse </t>
  </si>
  <si>
    <t>1/10</t>
  </si>
  <si>
    <t>C.S.G. non déductible</t>
  </si>
  <si>
    <t>C.S.G. déductible</t>
  </si>
  <si>
    <t>CRDS non déductible</t>
  </si>
  <si>
    <t>PÔLE EMPLOI</t>
  </si>
  <si>
    <t xml:space="preserve">Chômage </t>
  </si>
  <si>
    <t>RETRAITE COMPLEMENTAIRE</t>
  </si>
  <si>
    <t>AGFF TA</t>
  </si>
  <si>
    <t>APEC</t>
  </si>
  <si>
    <t>CET</t>
  </si>
  <si>
    <t xml:space="preserve">CSG déductible sur mutuelle </t>
  </si>
  <si>
    <t>CSG non-déductible sur mutuelle</t>
  </si>
  <si>
    <t>CRDS sur mutuelle</t>
  </si>
  <si>
    <t>Total de cotisations</t>
  </si>
  <si>
    <t>Net à payer</t>
  </si>
  <si>
    <t>Mutuelle et prevoyance</t>
  </si>
  <si>
    <t>AGFF TB</t>
  </si>
  <si>
    <t>RETRAITE COMPLEMENTAIRE AGIRC TB</t>
  </si>
  <si>
    <t>RETRAITE COMPLEMENTAIRE TA</t>
  </si>
  <si>
    <t>RETENUES POUR ABSENCES</t>
  </si>
  <si>
    <t>IJSS</t>
  </si>
  <si>
    <t>regularisation</t>
  </si>
  <si>
    <t xml:space="preserve">Salaire de base </t>
  </si>
  <si>
    <t>Absence en février sur 14 jours = 2 semaines</t>
  </si>
  <si>
    <t xml:space="preserve">Maintien de salaire </t>
  </si>
  <si>
    <t>100% sans carence</t>
  </si>
  <si>
    <t>Prévoyance et mutuelle salariale</t>
  </si>
  <si>
    <t>Prévoyance et mutuelle patronale</t>
  </si>
  <si>
    <t>CAS 1</t>
  </si>
  <si>
    <t>100% avec carence de 3 jours</t>
  </si>
  <si>
    <t>CAS 2</t>
  </si>
  <si>
    <t>CAS 3</t>
  </si>
  <si>
    <t>90% avec carence de 3 jours</t>
  </si>
  <si>
    <t>Indemnité journaliere sur la base de 1,8 SMIC</t>
  </si>
  <si>
    <t>1,8*1498,47*3/91,25*,50</t>
  </si>
  <si>
    <t>IJSS Brutes</t>
  </si>
  <si>
    <t>CSG</t>
  </si>
  <si>
    <t>ijss nettes</t>
  </si>
  <si>
    <t>SALAIRE HABITUEL</t>
  </si>
  <si>
    <t>IJSS BRUTES</t>
  </si>
  <si>
    <t>SALAIRE A MAINTENIR</t>
  </si>
  <si>
    <t>CALCUL A L'ENVERS</t>
  </si>
  <si>
    <t>BULLETIN</t>
  </si>
  <si>
    <t>Retenues absence</t>
  </si>
  <si>
    <t xml:space="preserve">IJSS </t>
  </si>
  <si>
    <t>Régularisation</t>
  </si>
  <si>
    <t>SALAIRE BRUT</t>
  </si>
  <si>
    <t>IJSS NETTES</t>
  </si>
  <si>
    <t>Net</t>
  </si>
  <si>
    <t>PERTE</t>
  </si>
  <si>
    <t>3 J CARENCE</t>
  </si>
  <si>
    <t>Perte 3 jours de carence</t>
  </si>
  <si>
    <t>Salaire à maintenir</t>
  </si>
  <si>
    <t>DELAI DE CARENCE</t>
  </si>
  <si>
    <t>total perte</t>
  </si>
  <si>
    <t>Perte 10%</t>
  </si>
  <si>
    <t>44,34 * 11</t>
  </si>
  <si>
    <t>487,74*6,7%</t>
  </si>
  <si>
    <t>SALAIRE A MAINTENIR 1er cas</t>
  </si>
  <si>
    <t>Perte</t>
  </si>
  <si>
    <t>3 jours de carence calendaires</t>
  </si>
  <si>
    <t>=D2/28*3</t>
  </si>
  <si>
    <t>Salaire à maintenir 2ème cas</t>
  </si>
  <si>
    <t>5000-2500-487,74-3842,80</t>
  </si>
  <si>
    <t>Salaire habituel sans IJSS</t>
  </si>
  <si>
    <t>3794,51/28*3</t>
  </si>
  <si>
    <t>3794,51/28*11*,10</t>
  </si>
  <si>
    <t>5000-2500-487,74-3649,90</t>
  </si>
  <si>
    <t xml:space="preserve">VENTES </t>
  </si>
  <si>
    <t>MARGE</t>
  </si>
  <si>
    <t>% DE MARGE</t>
  </si>
  <si>
    <t>Revenu mensuel</t>
  </si>
  <si>
    <t>Revenu annuel</t>
  </si>
  <si>
    <t>1500 * 12 mois</t>
  </si>
  <si>
    <t>% estimé de cotisations</t>
  </si>
  <si>
    <t>Cotisations annuelles</t>
  </si>
  <si>
    <t>Frais fixes mensuels</t>
  </si>
  <si>
    <t>Frais fixes annuels</t>
  </si>
  <si>
    <t>Total des charges</t>
  </si>
  <si>
    <t>Bénéfice</t>
  </si>
  <si>
    <t xml:space="preserve">PREVISIONNEL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</si>
</sst>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Verdana"/>
      <family val="2"/>
    </font>
    <font>
      <sz val="12"/>
      <color theme="1"/>
      <name val="Verdana"/>
      <family val="2"/>
    </font>
    <font>
      <b/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theme="0"/>
      <name val="Verdana"/>
      <family val="2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sz val="10"/>
      <color rgb="FFFF0000"/>
      <name val="Verdana"/>
      <family val="2"/>
    </font>
    <font>
      <b/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4" fontId="4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4" fontId="8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4" fontId="8" fillId="0" borderId="6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44" fontId="8" fillId="0" borderId="8" xfId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4" fontId="6" fillId="0" borderId="9" xfId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4" fontId="8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44" fontId="13" fillId="0" borderId="5" xfId="1" applyFont="1" applyBorder="1" applyAlignment="1">
      <alignment vertical="center"/>
    </xf>
    <xf numFmtId="44" fontId="13" fillId="0" borderId="6" xfId="1" applyFont="1" applyBorder="1" applyAlignment="1">
      <alignment vertical="center"/>
    </xf>
    <xf numFmtId="44" fontId="13" fillId="0" borderId="8" xfId="1" applyFont="1" applyBorder="1" applyAlignment="1">
      <alignment vertical="center"/>
    </xf>
    <xf numFmtId="44" fontId="13" fillId="0" borderId="9" xfId="1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44" fontId="14" fillId="0" borderId="10" xfId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44" fontId="14" fillId="0" borderId="11" xfId="0" applyNumberFormat="1" applyFont="1" applyFill="1" applyBorder="1" applyAlignment="1">
      <alignment horizontal="right" vertical="center"/>
    </xf>
    <xf numFmtId="44" fontId="14" fillId="0" borderId="11" xfId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justify" vertical="center"/>
    </xf>
    <xf numFmtId="0" fontId="14" fillId="0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44" fontId="18" fillId="0" borderId="12" xfId="1" applyFont="1" applyFill="1" applyBorder="1" applyAlignment="1">
      <alignment horizontal="right" vertical="center"/>
    </xf>
    <xf numFmtId="10" fontId="18" fillId="0" borderId="12" xfId="0" applyNumberFormat="1" applyFont="1" applyFill="1" applyBorder="1" applyAlignment="1">
      <alignment horizontal="center" vertical="center"/>
    </xf>
    <xf numFmtId="8" fontId="18" fillId="0" borderId="12" xfId="0" applyNumberFormat="1" applyFont="1" applyFill="1" applyBorder="1" applyAlignment="1">
      <alignment horizontal="right" vertical="center"/>
    </xf>
    <xf numFmtId="10" fontId="18" fillId="2" borderId="12" xfId="0" applyNumberFormat="1" applyFont="1" applyFill="1" applyBorder="1" applyAlignment="1">
      <alignment horizontal="center" vertical="center"/>
    </xf>
    <xf numFmtId="8" fontId="19" fillId="2" borderId="12" xfId="0" applyNumberFormat="1" applyFont="1" applyFill="1" applyBorder="1" applyAlignment="1">
      <alignment horizontal="right" vertical="center"/>
    </xf>
    <xf numFmtId="16" fontId="16" fillId="0" borderId="0" xfId="0" quotePrefix="1" applyNumberFormat="1" applyFont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right" vertical="center"/>
    </xf>
    <xf numFmtId="10" fontId="14" fillId="0" borderId="12" xfId="0" applyNumberFormat="1" applyFont="1" applyFill="1" applyBorder="1" applyAlignment="1">
      <alignment horizontal="center" vertical="center"/>
    </xf>
    <xf numFmtId="164" fontId="18" fillId="2" borderId="12" xfId="2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44" fontId="21" fillId="2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44" fontId="14" fillId="0" borderId="12" xfId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8" fontId="14" fillId="0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10" fontId="17" fillId="2" borderId="12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right" vertical="center"/>
    </xf>
    <xf numFmtId="10" fontId="18" fillId="2" borderId="12" xfId="0" applyNumberFormat="1" applyFont="1" applyFill="1" applyBorder="1" applyAlignment="1">
      <alignment horizontal="right" vertical="center"/>
    </xf>
    <xf numFmtId="164" fontId="18" fillId="0" borderId="12" xfId="0" applyNumberFormat="1" applyFont="1" applyFill="1" applyBorder="1" applyAlignment="1">
      <alignment horizontal="center" vertical="center"/>
    </xf>
    <xf numFmtId="44" fontId="18" fillId="2" borderId="12" xfId="1" applyFont="1" applyFill="1" applyBorder="1" applyAlignment="1">
      <alignment horizontal="right" vertical="center"/>
    </xf>
    <xf numFmtId="10" fontId="18" fillId="2" borderId="12" xfId="1" applyNumberFormat="1" applyFont="1" applyFill="1" applyBorder="1" applyAlignment="1">
      <alignment horizontal="right" vertical="center"/>
    </xf>
    <xf numFmtId="10" fontId="18" fillId="2" borderId="12" xfId="1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right" vertical="center"/>
    </xf>
    <xf numFmtId="0" fontId="23" fillId="0" borderId="0" xfId="0" applyFont="1" applyAlignment="1">
      <alignment horizontal="justify" vertical="center"/>
    </xf>
    <xf numFmtId="9" fontId="18" fillId="0" borderId="12" xfId="0" applyNumberFormat="1" applyFont="1" applyFill="1" applyBorder="1" applyAlignment="1">
      <alignment horizontal="center" vertical="center"/>
    </xf>
    <xf numFmtId="9" fontId="18" fillId="2" borderId="12" xfId="1" applyNumberFormat="1" applyFont="1" applyFill="1" applyBorder="1" applyAlignment="1">
      <alignment horizontal="right" vertical="center"/>
    </xf>
    <xf numFmtId="44" fontId="17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0" fontId="23" fillId="0" borderId="0" xfId="0" applyNumberFormat="1" applyFont="1" applyAlignment="1">
      <alignment horizontal="right" vertical="center"/>
    </xf>
    <xf numFmtId="9" fontId="23" fillId="0" borderId="0" xfId="0" applyNumberFormat="1" applyFont="1" applyAlignment="1">
      <alignment vertical="center"/>
    </xf>
    <xf numFmtId="0" fontId="23" fillId="3" borderId="0" xfId="0" applyFont="1" applyFill="1" applyAlignment="1">
      <alignment horizontal="justify" vertical="center"/>
    </xf>
    <xf numFmtId="44" fontId="0" fillId="0" borderId="0" xfId="1" applyFont="1"/>
    <xf numFmtId="44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8" xfId="0" applyBorder="1"/>
    <xf numFmtId="44" fontId="0" fillId="0" borderId="9" xfId="0" applyNumberFormat="1" applyBorder="1"/>
    <xf numFmtId="44" fontId="17" fillId="3" borderId="12" xfId="0" applyNumberFormat="1" applyFont="1" applyFill="1" applyBorder="1" applyAlignment="1">
      <alignment horizontal="right" vertical="center"/>
    </xf>
    <xf numFmtId="0" fontId="24" fillId="0" borderId="0" xfId="0" applyFont="1"/>
    <xf numFmtId="0" fontId="25" fillId="0" borderId="0" xfId="0" applyFont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44" fontId="4" fillId="0" borderId="3" xfId="1" applyFont="1" applyBorder="1"/>
    <xf numFmtId="0" fontId="4" fillId="0" borderId="4" xfId="0" applyFont="1" applyBorder="1"/>
    <xf numFmtId="0" fontId="4" fillId="0" borderId="5" xfId="0" applyFont="1" applyBorder="1"/>
    <xf numFmtId="44" fontId="4" fillId="0" borderId="5" xfId="1" applyFont="1" applyBorder="1"/>
    <xf numFmtId="44" fontId="4" fillId="0" borderId="6" xfId="1" applyFont="1" applyBorder="1"/>
    <xf numFmtId="0" fontId="4" fillId="0" borderId="7" xfId="0" applyFont="1" applyBorder="1"/>
    <xf numFmtId="0" fontId="4" fillId="0" borderId="8" xfId="0" applyFont="1" applyBorder="1"/>
    <xf numFmtId="44" fontId="4" fillId="0" borderId="9" xfId="1" applyFont="1" applyBorder="1"/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44" fontId="17" fillId="3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left" vertical="center"/>
    </xf>
    <xf numFmtId="0" fontId="0" fillId="0" borderId="15" xfId="0" applyBorder="1"/>
    <xf numFmtId="44" fontId="0" fillId="0" borderId="16" xfId="0" applyNumberFormat="1" applyBorder="1"/>
    <xf numFmtId="0" fontId="14" fillId="0" borderId="17" xfId="0" applyFont="1" applyFill="1" applyBorder="1" applyAlignment="1">
      <alignment horizontal="left" vertical="center"/>
    </xf>
    <xf numFmtId="0" fontId="0" fillId="0" borderId="18" xfId="0" applyBorder="1"/>
    <xf numFmtId="44" fontId="0" fillId="0" borderId="19" xfId="0" applyNumberFormat="1" applyBorder="1"/>
    <xf numFmtId="0" fontId="14" fillId="0" borderId="1" xfId="0" applyFont="1" applyFill="1" applyBorder="1" applyAlignment="1">
      <alignment horizontal="left" vertical="center"/>
    </xf>
    <xf numFmtId="44" fontId="0" fillId="0" borderId="3" xfId="0" applyNumberFormat="1" applyBorder="1"/>
    <xf numFmtId="0" fontId="14" fillId="0" borderId="4" xfId="0" applyFont="1" applyFill="1" applyBorder="1" applyAlignment="1">
      <alignment horizontal="left" vertical="center"/>
    </xf>
    <xf numFmtId="44" fontId="0" fillId="0" borderId="6" xfId="0" applyNumberFormat="1" applyBorder="1"/>
    <xf numFmtId="0" fontId="14" fillId="0" borderId="7" xfId="0" applyFont="1" applyFill="1" applyBorder="1" applyAlignment="1">
      <alignment horizontal="left" vertical="center"/>
    </xf>
    <xf numFmtId="44" fontId="14" fillId="0" borderId="0" xfId="0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right" vertical="center"/>
    </xf>
    <xf numFmtId="44" fontId="2" fillId="0" borderId="6" xfId="0" applyNumberFormat="1" applyFont="1" applyBorder="1"/>
    <xf numFmtId="44" fontId="2" fillId="0" borderId="9" xfId="0" applyNumberFormat="1" applyFont="1" applyBorder="1"/>
    <xf numFmtId="0" fontId="0" fillId="0" borderId="21" xfId="0" applyBorder="1"/>
    <xf numFmtId="44" fontId="0" fillId="0" borderId="22" xfId="0" applyNumberFormat="1" applyBorder="1"/>
    <xf numFmtId="9" fontId="14" fillId="0" borderId="20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justify" vertical="center"/>
    </xf>
    <xf numFmtId="0" fontId="26" fillId="0" borderId="2" xfId="0" applyFont="1" applyBorder="1"/>
    <xf numFmtId="44" fontId="26" fillId="0" borderId="3" xfId="1" applyFont="1" applyBorder="1"/>
    <xf numFmtId="0" fontId="26" fillId="0" borderId="0" xfId="0" applyFont="1"/>
    <xf numFmtId="0" fontId="10" fillId="0" borderId="4" xfId="0" applyFont="1" applyBorder="1" applyAlignment="1">
      <alignment horizontal="justify" vertical="center"/>
    </xf>
    <xf numFmtId="0" fontId="26" fillId="0" borderId="5" xfId="0" applyFont="1" applyBorder="1"/>
    <xf numFmtId="44" fontId="26" fillId="0" borderId="6" xfId="1" applyFont="1" applyBorder="1"/>
    <xf numFmtId="0" fontId="10" fillId="0" borderId="7" xfId="0" applyFont="1" applyBorder="1" applyAlignment="1">
      <alignment horizontal="justify" vertical="center"/>
    </xf>
    <xf numFmtId="0" fontId="26" fillId="0" borderId="8" xfId="0" applyFont="1" applyBorder="1"/>
    <xf numFmtId="44" fontId="11" fillId="0" borderId="6" xfId="1" applyFont="1" applyBorder="1"/>
    <xf numFmtId="44" fontId="11" fillId="0" borderId="9" xfId="0" applyNumberFormat="1" applyFont="1" applyBorder="1"/>
    <xf numFmtId="0" fontId="0" fillId="0" borderId="0" xfId="0" quotePrefix="1"/>
    <xf numFmtId="44" fontId="14" fillId="0" borderId="0" xfId="0" quotePrefix="1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44" fontId="27" fillId="0" borderId="3" xfId="1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44" fontId="28" fillId="0" borderId="6" xfId="1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9" fontId="28" fillId="0" borderId="6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44" fontId="27" fillId="0" borderId="6" xfId="1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44" fontId="27" fillId="3" borderId="9" xfId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</cellXfs>
  <cellStyles count="3">
    <cellStyle name="Monétaire" xfId="1" builtinId="4"/>
    <cellStyle name="Normal" xfId="0" builtinId="0"/>
    <cellStyle name="Pourcentage 2" xfId="2" xr:uid="{C466F29F-D77B-4969-B64E-9DF75A251F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KHOS/Desktop/afpa%20important/EXERCICES%20AFPA/BULLETINS%20DE%20PA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Salarié 1"/>
      <sheetName val="Salarié 2"/>
      <sheetName val="Salarié 3"/>
      <sheetName val="Salarié 4"/>
      <sheetName val="Stagiaire"/>
      <sheetName val="Apprenti"/>
      <sheetName val="URSSAF exercice (3)"/>
      <sheetName val="Retraite complémentaire exe (3)"/>
      <sheetName val="Feuil2"/>
    </sheetNames>
    <sheetDataSet>
      <sheetData sheetId="0">
        <row r="21">
          <cell r="C21">
            <v>6.9000000000000006E-2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CD62-D455-4864-8664-5177B44C56EF}">
  <dimension ref="A1:H84"/>
  <sheetViews>
    <sheetView topLeftCell="A24" zoomScale="135" zoomScaleNormal="135" workbookViewId="0">
      <selection activeCell="A72" sqref="A72:C77"/>
    </sheetView>
  </sheetViews>
  <sheetFormatPr baseColWidth="10" defaultRowHeight="11.25" x14ac:dyDescent="0.25"/>
  <cols>
    <col min="1" max="1" width="43" style="4" customWidth="1"/>
    <col min="2" max="2" width="16" style="4" customWidth="1"/>
    <col min="3" max="3" width="16.28515625" style="4" bestFit="1" customWidth="1"/>
    <col min="4" max="4" width="17" style="4" bestFit="1" customWidth="1"/>
    <col min="5" max="5" width="18.28515625" style="4" bestFit="1" customWidth="1"/>
    <col min="6" max="6" width="17.5703125" style="4" bestFit="1" customWidth="1"/>
    <col min="7" max="7" width="15.7109375" style="4" customWidth="1"/>
    <col min="8" max="8" width="14.140625" style="4" bestFit="1" customWidth="1"/>
    <col min="9" max="9" width="12.140625" style="4" bestFit="1" customWidth="1"/>
    <col min="10" max="10" width="11.42578125" style="4"/>
    <col min="11" max="11" width="12.42578125" style="4" bestFit="1" customWidth="1"/>
    <col min="12" max="12" width="11.42578125" style="4"/>
    <col min="13" max="13" width="12.7109375" style="4" bestFit="1" customWidth="1"/>
    <col min="14" max="14" width="15.42578125" style="4" bestFit="1" customWidth="1"/>
    <col min="15" max="16384" width="11.42578125" style="4"/>
  </cols>
  <sheetData>
    <row r="1" spans="1:8" ht="21" hidden="1" customHeight="1" x14ac:dyDescent="0.25">
      <c r="A1" s="1" t="s">
        <v>0</v>
      </c>
      <c r="B1" s="2"/>
      <c r="C1" s="3"/>
      <c r="D1" s="3"/>
      <c r="E1" s="3"/>
    </row>
    <row r="2" spans="1:8" ht="21" hidden="1" customHeight="1" x14ac:dyDescent="0.25">
      <c r="A2" s="5"/>
      <c r="B2" s="6"/>
      <c r="C2" s="7"/>
      <c r="D2" s="7"/>
      <c r="E2" s="7"/>
    </row>
    <row r="3" spans="1:8" ht="21" hidden="1" customHeight="1" x14ac:dyDescent="0.25">
      <c r="A3" s="5" t="s">
        <v>1</v>
      </c>
      <c r="B3" s="6"/>
      <c r="C3" s="8">
        <f>5700+950</f>
        <v>6650</v>
      </c>
      <c r="D3" s="7"/>
      <c r="E3" s="7"/>
    </row>
    <row r="4" spans="1:8" ht="21" hidden="1" customHeight="1" x14ac:dyDescent="0.25">
      <c r="A4" s="5" t="s">
        <v>2</v>
      </c>
      <c r="B4" s="6"/>
      <c r="C4" s="9">
        <f>C3/10</f>
        <v>665</v>
      </c>
      <c r="D4" s="7"/>
      <c r="E4" s="10"/>
    </row>
    <row r="5" spans="1:8" ht="21" hidden="1" customHeight="1" x14ac:dyDescent="0.25">
      <c r="A5" s="5"/>
      <c r="B5" s="6"/>
      <c r="C5" s="7"/>
      <c r="D5" s="7"/>
      <c r="E5" s="7"/>
    </row>
    <row r="6" spans="1:8" ht="21" hidden="1" customHeight="1" x14ac:dyDescent="0.25">
      <c r="A6" s="5" t="s">
        <v>3</v>
      </c>
      <c r="B6" s="6" t="s">
        <v>4</v>
      </c>
      <c r="C6" s="11">
        <f>(1900*3)+665</f>
        <v>6365</v>
      </c>
      <c r="D6" s="7"/>
      <c r="E6" s="10"/>
    </row>
    <row r="7" spans="1:8" ht="21" hidden="1" customHeight="1" x14ac:dyDescent="0.25">
      <c r="A7" s="5" t="s">
        <v>5</v>
      </c>
      <c r="B7" s="6"/>
      <c r="C7" s="8">
        <f>+C6/10</f>
        <v>636.5</v>
      </c>
      <c r="D7" s="7"/>
      <c r="E7" s="7"/>
    </row>
    <row r="8" spans="1:8" ht="15" hidden="1" customHeight="1" x14ac:dyDescent="0.25">
      <c r="A8" s="5"/>
      <c r="B8" s="6"/>
      <c r="C8" s="7"/>
      <c r="D8" s="7"/>
      <c r="E8" s="7"/>
    </row>
    <row r="9" spans="1:8" ht="15" hidden="1" customHeight="1" x14ac:dyDescent="0.25">
      <c r="A9" s="12" t="s">
        <v>6</v>
      </c>
      <c r="B9" s="6"/>
      <c r="C9" s="7"/>
      <c r="D9" s="7"/>
      <c r="E9" s="7"/>
    </row>
    <row r="10" spans="1:8" ht="15" hidden="1" customHeight="1" thickBot="1" x14ac:dyDescent="0.3">
      <c r="A10" s="5"/>
      <c r="B10" s="6"/>
      <c r="C10" s="7"/>
      <c r="D10" s="7"/>
      <c r="E10" s="7"/>
    </row>
    <row r="11" spans="1:8" ht="18" hidden="1" customHeight="1" x14ac:dyDescent="0.25">
      <c r="A11" s="13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5" t="s">
        <v>14</v>
      </c>
    </row>
    <row r="12" spans="1:8" ht="18" hidden="1" customHeight="1" x14ac:dyDescent="0.25">
      <c r="A12" s="16" t="s">
        <v>15</v>
      </c>
      <c r="B12" s="17">
        <v>1900</v>
      </c>
      <c r="C12" s="17">
        <f>B12</f>
        <v>1900</v>
      </c>
      <c r="D12" s="17">
        <v>1498.47</v>
      </c>
      <c r="E12" s="18">
        <f>0.2814/0.6*((1.6*D12/C12)-1)</f>
        <v>0.12281678315789479</v>
      </c>
      <c r="F12" s="18">
        <f>ROUND(E12,4)</f>
        <v>0.12280000000000001</v>
      </c>
      <c r="G12" s="17">
        <f>F12*C12</f>
        <v>233.32000000000002</v>
      </c>
      <c r="H12" s="19">
        <f>G12</f>
        <v>233.32000000000002</v>
      </c>
    </row>
    <row r="13" spans="1:8" ht="18" hidden="1" customHeight="1" x14ac:dyDescent="0.25">
      <c r="A13" s="16" t="s">
        <v>16</v>
      </c>
      <c r="B13" s="17">
        <v>1900</v>
      </c>
      <c r="C13" s="17">
        <f>C12+B13</f>
        <v>3800</v>
      </c>
      <c r="D13" s="17">
        <f>D12*2</f>
        <v>2996.94</v>
      </c>
      <c r="E13" s="18">
        <f t="shared" ref="E13:E14" si="0">0.2814/0.6*((1.6*D13/C13)-1)</f>
        <v>0.12281678315789479</v>
      </c>
      <c r="F13" s="18">
        <f t="shared" ref="F13" si="1">ROUND(E13,4)</f>
        <v>0.12280000000000001</v>
      </c>
      <c r="G13" s="17">
        <f t="shared" ref="G13:G14" si="2">F13*C13</f>
        <v>466.64000000000004</v>
      </c>
      <c r="H13" s="19">
        <f>G13-G12</f>
        <v>233.32000000000002</v>
      </c>
    </row>
    <row r="14" spans="1:8" ht="18" hidden="1" customHeight="1" thickBot="1" x14ac:dyDescent="0.3">
      <c r="A14" s="20" t="s">
        <v>17</v>
      </c>
      <c r="B14" s="21">
        <f>+E30</f>
        <v>5300.2</v>
      </c>
      <c r="C14" s="21">
        <f>C13+B14</f>
        <v>9100.2000000000007</v>
      </c>
      <c r="D14" s="21">
        <f>D12*3</f>
        <v>4495.41</v>
      </c>
      <c r="E14" s="22">
        <f t="shared" si="0"/>
        <v>-9.8309722423683008E-2</v>
      </c>
      <c r="F14" s="22">
        <v>0</v>
      </c>
      <c r="G14" s="21">
        <f t="shared" si="2"/>
        <v>0</v>
      </c>
      <c r="H14" s="23">
        <f>G14-G13</f>
        <v>-466.64000000000004</v>
      </c>
    </row>
    <row r="15" spans="1:8" ht="18" hidden="1" customHeight="1" x14ac:dyDescent="0.25">
      <c r="A15" s="24"/>
      <c r="B15" s="25"/>
      <c r="C15" s="25"/>
      <c r="D15" s="25"/>
      <c r="E15" s="26"/>
      <c r="F15" s="26"/>
      <c r="G15" s="25"/>
      <c r="H15" s="27"/>
    </row>
    <row r="16" spans="1:8" ht="18" hidden="1" customHeight="1" x14ac:dyDescent="0.25">
      <c r="A16" s="28" t="s">
        <v>18</v>
      </c>
      <c r="B16" s="25"/>
      <c r="C16" s="25"/>
      <c r="D16" s="25"/>
      <c r="E16" s="26"/>
      <c r="F16" s="26"/>
      <c r="G16" s="25"/>
      <c r="H16" s="27"/>
    </row>
    <row r="17" spans="1:7" ht="15.75" hidden="1" thickBot="1" x14ac:dyDescent="0.3">
      <c r="A17" s="29"/>
      <c r="B17" s="7"/>
      <c r="C17" s="7"/>
      <c r="D17" s="7"/>
      <c r="E17" s="7"/>
      <c r="F17" s="7"/>
    </row>
    <row r="18" spans="1:7" s="34" customFormat="1" ht="19.5" hidden="1" customHeight="1" x14ac:dyDescent="0.25">
      <c r="A18" s="30" t="s">
        <v>7</v>
      </c>
      <c r="B18" s="31" t="s">
        <v>19</v>
      </c>
      <c r="C18" s="31" t="s">
        <v>9</v>
      </c>
      <c r="D18" s="32" t="s">
        <v>20</v>
      </c>
      <c r="E18" s="32" t="s">
        <v>21</v>
      </c>
      <c r="F18" s="33" t="s">
        <v>22</v>
      </c>
    </row>
    <row r="19" spans="1:7" ht="19.5" hidden="1" customHeight="1" x14ac:dyDescent="0.25">
      <c r="A19" s="16" t="s">
        <v>15</v>
      </c>
      <c r="B19" s="35">
        <v>1900</v>
      </c>
      <c r="C19" s="35">
        <f>B19</f>
        <v>1900</v>
      </c>
      <c r="D19" s="35">
        <v>3311</v>
      </c>
      <c r="E19" s="35">
        <f>3311+353.82</f>
        <v>3664.82</v>
      </c>
      <c r="F19" s="36">
        <v>353.82</v>
      </c>
    </row>
    <row r="20" spans="1:7" ht="19.5" hidden="1" customHeight="1" x14ac:dyDescent="0.25">
      <c r="A20" s="16" t="s">
        <v>16</v>
      </c>
      <c r="B20" s="35">
        <v>1900</v>
      </c>
      <c r="C20" s="35">
        <f>C19+B20</f>
        <v>3800</v>
      </c>
      <c r="D20" s="35">
        <v>6622</v>
      </c>
      <c r="E20" s="35">
        <f>E19*2</f>
        <v>7329.64</v>
      </c>
      <c r="F20" s="36">
        <v>353.82</v>
      </c>
    </row>
    <row r="21" spans="1:7" ht="19.5" hidden="1" customHeight="1" thickBot="1" x14ac:dyDescent="0.3">
      <c r="A21" s="20" t="s">
        <v>17</v>
      </c>
      <c r="B21" s="37">
        <f>B14</f>
        <v>5300.2</v>
      </c>
      <c r="C21" s="37">
        <f>C20+B21</f>
        <v>9100.2000000000007</v>
      </c>
      <c r="D21" s="37">
        <v>9933</v>
      </c>
      <c r="E21" s="37">
        <f>E19*3</f>
        <v>10994.460000000001</v>
      </c>
      <c r="F21" s="38">
        <v>353.82</v>
      </c>
    </row>
    <row r="22" spans="1:7" ht="15" hidden="1" x14ac:dyDescent="0.25">
      <c r="A22" s="29"/>
      <c r="B22" s="7"/>
      <c r="C22" s="7"/>
      <c r="D22" s="7"/>
      <c r="E22" s="7"/>
      <c r="F22" s="7"/>
    </row>
    <row r="23" spans="1:7" ht="15" hidden="1" x14ac:dyDescent="0.25">
      <c r="A23" s="29"/>
      <c r="B23" s="7"/>
      <c r="C23" s="7"/>
      <c r="D23" s="7"/>
      <c r="E23" s="7"/>
      <c r="F23" s="7"/>
    </row>
    <row r="24" spans="1:7" ht="15" x14ac:dyDescent="0.25">
      <c r="A24" s="29"/>
      <c r="B24" s="7"/>
      <c r="C24" s="7"/>
      <c r="D24" s="7"/>
      <c r="E24" s="7"/>
      <c r="F24" s="7"/>
    </row>
    <row r="25" spans="1:7" ht="15.75" thickBot="1" x14ac:dyDescent="0.3">
      <c r="A25" s="29"/>
      <c r="B25" s="7"/>
      <c r="C25" s="7"/>
      <c r="D25" s="7"/>
      <c r="E25" s="7"/>
      <c r="F25" s="7"/>
    </row>
    <row r="26" spans="1:7" ht="15" x14ac:dyDescent="0.25">
      <c r="A26" s="39" t="s">
        <v>23</v>
      </c>
      <c r="B26" s="7"/>
      <c r="C26" s="7"/>
      <c r="D26" s="7">
        <v>6000</v>
      </c>
      <c r="E26" s="7"/>
      <c r="F26" s="7"/>
    </row>
    <row r="27" spans="1:7" ht="15" x14ac:dyDescent="0.25">
      <c r="A27" s="29" t="s">
        <v>54</v>
      </c>
      <c r="B27" s="7"/>
      <c r="C27" s="7"/>
      <c r="D27" s="7">
        <v>-1200</v>
      </c>
      <c r="E27" s="7"/>
      <c r="F27" s="7"/>
    </row>
    <row r="28" spans="1:7" ht="15.75" thickBot="1" x14ac:dyDescent="0.3">
      <c r="A28" s="29" t="s">
        <v>55</v>
      </c>
      <c r="B28" s="7"/>
      <c r="C28" s="7"/>
      <c r="D28" s="7">
        <v>-1100</v>
      </c>
      <c r="E28" s="7"/>
      <c r="F28" s="7"/>
    </row>
    <row r="29" spans="1:7" ht="12.75" customHeight="1" x14ac:dyDescent="0.25">
      <c r="A29" s="4" t="s">
        <v>56</v>
      </c>
      <c r="B29" s="40"/>
      <c r="C29" s="40"/>
      <c r="D29" s="86">
        <v>1600.2</v>
      </c>
      <c r="E29" s="41"/>
      <c r="F29" s="40"/>
      <c r="G29" s="42"/>
    </row>
    <row r="30" spans="1:7" ht="12.75" customHeight="1" x14ac:dyDescent="0.25">
      <c r="A30" s="44" t="s">
        <v>24</v>
      </c>
      <c r="B30" s="45"/>
      <c r="C30" s="43"/>
      <c r="D30" s="43"/>
      <c r="E30" s="46">
        <f>SUM(D26:D29)</f>
        <v>5300.2</v>
      </c>
      <c r="F30" s="43"/>
      <c r="G30" s="42"/>
    </row>
    <row r="31" spans="1:7" ht="12.75" customHeight="1" x14ac:dyDescent="0.25">
      <c r="A31" s="47"/>
      <c r="B31" s="48" t="s">
        <v>25</v>
      </c>
      <c r="C31" s="48" t="s">
        <v>26</v>
      </c>
      <c r="D31" s="48" t="s">
        <v>27</v>
      </c>
      <c r="E31" s="49" t="s">
        <v>28</v>
      </c>
      <c r="F31" s="49" t="s">
        <v>29</v>
      </c>
      <c r="G31" s="42" t="s">
        <v>30</v>
      </c>
    </row>
    <row r="32" spans="1:7" ht="12.75" customHeight="1" x14ac:dyDescent="0.25">
      <c r="A32" s="47"/>
      <c r="B32" s="48"/>
      <c r="C32" s="48"/>
      <c r="D32" s="48"/>
      <c r="E32" s="49"/>
      <c r="F32" s="49"/>
      <c r="G32" s="42" t="s">
        <v>31</v>
      </c>
    </row>
    <row r="33" spans="1:7" ht="12.75" customHeight="1" x14ac:dyDescent="0.25">
      <c r="A33" s="50" t="s">
        <v>32</v>
      </c>
      <c r="B33" s="51">
        <f>IF(E30&gt;3311,3311,E30)</f>
        <v>3311</v>
      </c>
      <c r="C33" s="52">
        <f>'[1]v 12 Grille de cotisations'!C21</f>
        <v>6.9000000000000006E-2</v>
      </c>
      <c r="D33" s="53">
        <f t="shared" ref="D33:D34" si="3">B33*C33</f>
        <v>228.45900000000003</v>
      </c>
      <c r="E33" s="54"/>
      <c r="F33" s="55"/>
      <c r="G33" s="42" t="s">
        <v>33</v>
      </c>
    </row>
    <row r="34" spans="1:7" ht="12.75" customHeight="1" x14ac:dyDescent="0.25">
      <c r="A34" s="50" t="s">
        <v>34</v>
      </c>
      <c r="B34" s="51">
        <f>E30</f>
        <v>5300.2</v>
      </c>
      <c r="C34" s="52">
        <v>4.0000000000000001E-3</v>
      </c>
      <c r="D34" s="53">
        <f t="shared" si="3"/>
        <v>21.200800000000001</v>
      </c>
      <c r="E34" s="54"/>
      <c r="F34" s="55"/>
      <c r="G34" s="56" t="s">
        <v>35</v>
      </c>
    </row>
    <row r="35" spans="1:7" ht="12.75" customHeight="1" x14ac:dyDescent="0.25">
      <c r="A35" s="50" t="s">
        <v>36</v>
      </c>
      <c r="B35" s="51">
        <f>E30*0.9825</f>
        <v>5207.4465</v>
      </c>
      <c r="C35" s="52">
        <v>2.4E-2</v>
      </c>
      <c r="D35" s="53">
        <f t="shared" ref="D35:D37" si="4">B35*C35</f>
        <v>124.97871600000001</v>
      </c>
      <c r="E35" s="59"/>
      <c r="F35" s="60"/>
    </row>
    <row r="36" spans="1:7" ht="12.75" customHeight="1" x14ac:dyDescent="0.25">
      <c r="A36" s="50" t="s">
        <v>37</v>
      </c>
      <c r="B36" s="51">
        <f>B35</f>
        <v>5207.4465</v>
      </c>
      <c r="C36" s="52">
        <v>6.8000000000000005E-2</v>
      </c>
      <c r="D36" s="53">
        <f t="shared" si="4"/>
        <v>354.10636200000005</v>
      </c>
      <c r="E36" s="59"/>
      <c r="F36" s="60"/>
    </row>
    <row r="37" spans="1:7" ht="12.75" customHeight="1" x14ac:dyDescent="0.25">
      <c r="A37" s="50" t="s">
        <v>38</v>
      </c>
      <c r="B37" s="51">
        <f>B36</f>
        <v>5207.4465</v>
      </c>
      <c r="C37" s="52">
        <v>5.0000000000000001E-3</v>
      </c>
      <c r="D37" s="53">
        <f t="shared" si="4"/>
        <v>26.037232500000002</v>
      </c>
      <c r="E37" s="59"/>
      <c r="F37" s="60"/>
    </row>
    <row r="38" spans="1:7" ht="12.75" customHeight="1" x14ac:dyDescent="0.25">
      <c r="A38" s="63"/>
      <c r="B38" s="51"/>
      <c r="C38" s="61"/>
      <c r="D38" s="53"/>
      <c r="E38" s="62"/>
      <c r="F38" s="64"/>
    </row>
    <row r="39" spans="1:7" ht="12.75" customHeight="1" x14ac:dyDescent="0.25">
      <c r="A39" s="65" t="s">
        <v>39</v>
      </c>
      <c r="B39" s="66"/>
      <c r="C39" s="57"/>
      <c r="D39" s="57"/>
      <c r="E39" s="59"/>
      <c r="F39" s="67"/>
    </row>
    <row r="40" spans="1:7" ht="12.75" customHeight="1" x14ac:dyDescent="0.25">
      <c r="A40" s="50" t="s">
        <v>40</v>
      </c>
      <c r="B40" s="51">
        <f>B34</f>
        <v>5300.2</v>
      </c>
      <c r="C40" s="52">
        <v>9.4999999999999998E-3</v>
      </c>
      <c r="D40" s="53">
        <f>C40*B40</f>
        <v>50.351900000000001</v>
      </c>
      <c r="E40" s="54"/>
      <c r="F40" s="55"/>
    </row>
    <row r="41" spans="1:7" ht="12.75" customHeight="1" x14ac:dyDescent="0.25">
      <c r="A41" s="65" t="s">
        <v>41</v>
      </c>
      <c r="B41" s="51"/>
      <c r="C41" s="57"/>
      <c r="D41" s="58"/>
      <c r="E41" s="59"/>
      <c r="F41" s="60"/>
      <c r="G41" s="68"/>
    </row>
    <row r="42" spans="1:7" ht="12.75" customHeight="1" x14ac:dyDescent="0.25">
      <c r="A42" s="50" t="s">
        <v>53</v>
      </c>
      <c r="B42" s="51">
        <f>B33</f>
        <v>3311</v>
      </c>
      <c r="C42" s="52">
        <v>3.1E-2</v>
      </c>
      <c r="D42" s="53">
        <f t="shared" ref="D42:D54" si="5">B42*C42</f>
        <v>102.64100000000001</v>
      </c>
      <c r="E42" s="54"/>
      <c r="F42" s="55"/>
      <c r="G42" s="68"/>
    </row>
    <row r="43" spans="1:7" ht="12.75" customHeight="1" x14ac:dyDescent="0.25">
      <c r="A43" s="50" t="s">
        <v>42</v>
      </c>
      <c r="B43" s="51">
        <f>B33</f>
        <v>3311</v>
      </c>
      <c r="C43" s="52">
        <v>8.0000000000000002E-3</v>
      </c>
      <c r="D43" s="53">
        <f t="shared" si="5"/>
        <v>26.488</v>
      </c>
      <c r="E43" s="54"/>
      <c r="F43" s="55"/>
      <c r="G43" s="68"/>
    </row>
    <row r="44" spans="1:7" ht="12.75" customHeight="1" x14ac:dyDescent="0.25">
      <c r="A44" s="50" t="s">
        <v>52</v>
      </c>
      <c r="B44" s="51">
        <f>B34-B33</f>
        <v>1989.1999999999998</v>
      </c>
      <c r="C44" s="52">
        <v>7.8E-2</v>
      </c>
      <c r="D44" s="53">
        <f t="shared" si="5"/>
        <v>155.15759999999997</v>
      </c>
      <c r="E44" s="54"/>
      <c r="F44" s="55"/>
      <c r="G44" s="68"/>
    </row>
    <row r="45" spans="1:7" ht="12.75" customHeight="1" x14ac:dyDescent="0.25">
      <c r="A45" s="50" t="s">
        <v>51</v>
      </c>
      <c r="B45" s="51">
        <f>B44</f>
        <v>1989.1999999999998</v>
      </c>
      <c r="C45" s="52">
        <v>8.9999999999999993E-3</v>
      </c>
      <c r="D45" s="53">
        <f t="shared" si="5"/>
        <v>17.902799999999996</v>
      </c>
      <c r="E45" s="54"/>
      <c r="F45" s="55"/>
      <c r="G45" s="68"/>
    </row>
    <row r="46" spans="1:7" ht="12.75" customHeight="1" x14ac:dyDescent="0.25">
      <c r="A46" s="70"/>
      <c r="B46" s="51">
        <f t="shared" ref="B46:B51" si="6">6800-3311</f>
        <v>3489</v>
      </c>
      <c r="C46" s="52"/>
      <c r="D46" s="53">
        <f t="shared" si="5"/>
        <v>0</v>
      </c>
      <c r="E46" s="71"/>
      <c r="F46" s="55"/>
      <c r="G46" s="68"/>
    </row>
    <row r="47" spans="1:7" ht="12.75" customHeight="1" x14ac:dyDescent="0.25">
      <c r="A47" s="50"/>
      <c r="B47" s="51">
        <f t="shared" si="6"/>
        <v>3489</v>
      </c>
      <c r="C47" s="57"/>
      <c r="D47" s="53">
        <f t="shared" si="5"/>
        <v>0</v>
      </c>
      <c r="E47" s="72"/>
      <c r="F47" s="55"/>
    </row>
    <row r="48" spans="1:7" ht="12.75" customHeight="1" x14ac:dyDescent="0.25">
      <c r="A48" s="65"/>
      <c r="B48" s="51">
        <f t="shared" si="6"/>
        <v>3489</v>
      </c>
      <c r="C48" s="57"/>
      <c r="D48" s="53">
        <f t="shared" si="5"/>
        <v>0</v>
      </c>
      <c r="E48" s="72"/>
      <c r="F48" s="55"/>
    </row>
    <row r="49" spans="1:6" ht="12.75" customHeight="1" x14ac:dyDescent="0.25">
      <c r="A49" s="50"/>
      <c r="B49" s="51">
        <f t="shared" si="6"/>
        <v>3489</v>
      </c>
      <c r="C49" s="57"/>
      <c r="D49" s="53">
        <f t="shared" si="5"/>
        <v>0</v>
      </c>
      <c r="E49" s="72"/>
      <c r="F49" s="55"/>
    </row>
    <row r="50" spans="1:6" ht="12.75" customHeight="1" x14ac:dyDescent="0.25">
      <c r="A50" s="50"/>
      <c r="B50" s="51">
        <f t="shared" si="6"/>
        <v>3489</v>
      </c>
      <c r="C50" s="52"/>
      <c r="D50" s="53">
        <f t="shared" si="5"/>
        <v>0</v>
      </c>
      <c r="E50" s="73"/>
      <c r="F50" s="55"/>
    </row>
    <row r="51" spans="1:6" ht="12.75" customHeight="1" x14ac:dyDescent="0.25">
      <c r="A51" s="50"/>
      <c r="B51" s="51">
        <f t="shared" si="6"/>
        <v>3489</v>
      </c>
      <c r="C51" s="52"/>
      <c r="D51" s="53">
        <f t="shared" si="5"/>
        <v>0</v>
      </c>
      <c r="E51" s="73"/>
      <c r="F51" s="55"/>
    </row>
    <row r="52" spans="1:6" ht="12.75" customHeight="1" x14ac:dyDescent="0.25">
      <c r="A52" s="50" t="s">
        <v>43</v>
      </c>
      <c r="B52" s="51">
        <f>B34</f>
        <v>5300.2</v>
      </c>
      <c r="C52" s="74">
        <v>2.4000000000000001E-4</v>
      </c>
      <c r="D52" s="53">
        <f t="shared" si="5"/>
        <v>1.2720480000000001</v>
      </c>
      <c r="E52" s="74"/>
      <c r="F52" s="55"/>
    </row>
    <row r="53" spans="1:6" ht="12.75" customHeight="1" x14ac:dyDescent="0.25">
      <c r="A53" s="50" t="s">
        <v>44</v>
      </c>
      <c r="B53" s="51">
        <f>B52</f>
        <v>5300.2</v>
      </c>
      <c r="C53" s="74">
        <v>1.2999999999999999E-3</v>
      </c>
      <c r="D53" s="53">
        <f t="shared" si="5"/>
        <v>6.8902599999999996</v>
      </c>
      <c r="E53" s="74"/>
      <c r="F53" s="55"/>
    </row>
    <row r="54" spans="1:6" ht="12.75" customHeight="1" x14ac:dyDescent="0.25">
      <c r="A54" s="50" t="s">
        <v>50</v>
      </c>
      <c r="B54" s="51">
        <f>+B34</f>
        <v>5300.2</v>
      </c>
      <c r="C54" s="83">
        <v>0.03</v>
      </c>
      <c r="D54" s="53">
        <f t="shared" si="5"/>
        <v>159.006</v>
      </c>
      <c r="E54" s="84">
        <v>0.05</v>
      </c>
      <c r="F54" s="75">
        <f>B54*E54</f>
        <v>265.01</v>
      </c>
    </row>
    <row r="55" spans="1:6" ht="12.75" customHeight="1" x14ac:dyDescent="0.25">
      <c r="A55" s="50"/>
      <c r="B55" s="51"/>
      <c r="C55" s="57"/>
      <c r="D55" s="51"/>
      <c r="E55" s="76"/>
      <c r="F55" s="75"/>
    </row>
    <row r="56" spans="1:6" ht="12.75" customHeight="1" x14ac:dyDescent="0.25">
      <c r="A56" s="50"/>
      <c r="B56" s="51"/>
      <c r="C56" s="52"/>
      <c r="D56" s="51"/>
      <c r="E56" s="77"/>
      <c r="F56" s="75"/>
    </row>
    <row r="57" spans="1:6" ht="12.75" customHeight="1" x14ac:dyDescent="0.25">
      <c r="A57" s="50" t="s">
        <v>45</v>
      </c>
      <c r="B57" s="51">
        <f>F54</f>
        <v>265.01</v>
      </c>
      <c r="C57" s="52">
        <v>6.8000000000000005E-2</v>
      </c>
      <c r="D57" s="51">
        <f>C57*B57</f>
        <v>18.020680000000002</v>
      </c>
      <c r="E57" s="72"/>
      <c r="F57" s="72"/>
    </row>
    <row r="58" spans="1:6" ht="12.75" customHeight="1" x14ac:dyDescent="0.25">
      <c r="A58" s="50" t="s">
        <v>46</v>
      </c>
      <c r="B58" s="51">
        <f>B57</f>
        <v>265.01</v>
      </c>
      <c r="C58" s="52">
        <v>2.4E-2</v>
      </c>
      <c r="D58" s="51">
        <f t="shared" ref="D58:D59" si="7">C58*B58</f>
        <v>6.3602400000000001</v>
      </c>
      <c r="E58" s="72"/>
      <c r="F58" s="72"/>
    </row>
    <row r="59" spans="1:6" ht="12.75" customHeight="1" x14ac:dyDescent="0.25">
      <c r="A59" s="50" t="s">
        <v>47</v>
      </c>
      <c r="B59" s="51">
        <f>B58</f>
        <v>265.01</v>
      </c>
      <c r="C59" s="52">
        <v>5.0000000000000001E-3</v>
      </c>
      <c r="D59" s="51">
        <f t="shared" si="7"/>
        <v>1.3250500000000001</v>
      </c>
      <c r="E59" s="72"/>
      <c r="F59" s="72"/>
    </row>
    <row r="60" spans="1:6" ht="12.75" customHeight="1" x14ac:dyDescent="0.25">
      <c r="A60" s="50"/>
      <c r="B60" s="51"/>
      <c r="C60" s="52"/>
      <c r="D60" s="51"/>
      <c r="E60" s="72"/>
      <c r="F60" s="72"/>
    </row>
    <row r="61" spans="1:6" ht="12.75" customHeight="1" x14ac:dyDescent="0.25">
      <c r="A61" s="78" t="s">
        <v>48</v>
      </c>
      <c r="B61" s="79"/>
      <c r="C61" s="65"/>
      <c r="D61" s="69">
        <f>SUM(D33:D60)</f>
        <v>1300.1976885000001</v>
      </c>
      <c r="E61" s="80"/>
      <c r="F61" s="69">
        <f>SUM(F33:F60)</f>
        <v>265.01</v>
      </c>
    </row>
    <row r="62" spans="1:6" ht="12.75" customHeight="1" x14ac:dyDescent="0.25">
      <c r="A62" s="78" t="s">
        <v>49</v>
      </c>
      <c r="B62" s="79"/>
      <c r="C62" s="65"/>
      <c r="D62" s="85">
        <f>E30-D61</f>
        <v>4000.0023114999995</v>
      </c>
      <c r="E62" s="81"/>
      <c r="F62" s="72"/>
    </row>
    <row r="63" spans="1:6" ht="24" customHeight="1" x14ac:dyDescent="0.25">
      <c r="A63" s="82"/>
      <c r="B63" s="82"/>
      <c r="C63" s="82"/>
      <c r="D63" s="82"/>
      <c r="E63" s="82"/>
      <c r="F63" s="82"/>
    </row>
    <row r="64" spans="1:6" x14ac:dyDescent="0.25">
      <c r="A64" s="82"/>
      <c r="B64" s="82"/>
      <c r="C64" s="82"/>
      <c r="D64" s="82"/>
      <c r="E64" s="82"/>
      <c r="F64" s="82"/>
    </row>
    <row r="65" spans="1:6" x14ac:dyDescent="0.25">
      <c r="A65" s="91" t="s">
        <v>63</v>
      </c>
      <c r="B65" s="82"/>
      <c r="C65" s="82"/>
      <c r="D65" s="82"/>
      <c r="E65" s="82"/>
      <c r="F65" s="82"/>
    </row>
    <row r="66" spans="1:6" x14ac:dyDescent="0.25">
      <c r="A66" s="82" t="s">
        <v>57</v>
      </c>
      <c r="B66" s="87">
        <v>5000</v>
      </c>
      <c r="C66" s="82"/>
      <c r="D66" s="82"/>
      <c r="E66" s="82"/>
      <c r="F66" s="82"/>
    </row>
    <row r="67" spans="1:6" ht="22.5" x14ac:dyDescent="0.25">
      <c r="A67" s="82" t="s">
        <v>58</v>
      </c>
      <c r="B67" s="82"/>
      <c r="C67" s="82"/>
      <c r="D67" s="82"/>
      <c r="E67" s="82"/>
      <c r="F67" s="82"/>
    </row>
    <row r="68" spans="1:6" x14ac:dyDescent="0.25">
      <c r="A68" s="82" t="s">
        <v>59</v>
      </c>
      <c r="B68" s="88" t="s">
        <v>60</v>
      </c>
      <c r="C68" s="88"/>
      <c r="D68" s="82"/>
      <c r="E68" s="82"/>
      <c r="F68" s="82"/>
    </row>
    <row r="69" spans="1:6" x14ac:dyDescent="0.25">
      <c r="A69" s="82" t="s">
        <v>61</v>
      </c>
      <c r="B69" s="89">
        <v>2.5000000000000001E-2</v>
      </c>
      <c r="C69" s="82"/>
      <c r="D69" s="82"/>
      <c r="E69" s="82"/>
      <c r="F69" s="82"/>
    </row>
    <row r="70" spans="1:6" x14ac:dyDescent="0.25">
      <c r="A70" s="82" t="s">
        <v>62</v>
      </c>
      <c r="B70" s="90">
        <v>0.05</v>
      </c>
    </row>
    <row r="72" spans="1:6" x14ac:dyDescent="0.25">
      <c r="A72" s="91" t="s">
        <v>65</v>
      </c>
      <c r="B72" s="82"/>
      <c r="C72" s="82"/>
    </row>
    <row r="73" spans="1:6" x14ac:dyDescent="0.25">
      <c r="A73" s="82" t="s">
        <v>57</v>
      </c>
      <c r="B73" s="87">
        <v>5000</v>
      </c>
      <c r="C73" s="82"/>
    </row>
    <row r="74" spans="1:6" ht="22.5" x14ac:dyDescent="0.25">
      <c r="A74" s="82" t="s">
        <v>58</v>
      </c>
      <c r="B74" s="82"/>
      <c r="C74" s="82"/>
    </row>
    <row r="75" spans="1:6" x14ac:dyDescent="0.25">
      <c r="A75" s="82" t="s">
        <v>59</v>
      </c>
      <c r="B75" s="88" t="s">
        <v>64</v>
      </c>
      <c r="C75" s="88"/>
    </row>
    <row r="76" spans="1:6" x14ac:dyDescent="0.25">
      <c r="A76" s="82" t="s">
        <v>61</v>
      </c>
      <c r="B76" s="89">
        <v>2.5000000000000001E-2</v>
      </c>
      <c r="C76" s="82"/>
    </row>
    <row r="77" spans="1:6" x14ac:dyDescent="0.25">
      <c r="A77" s="82" t="s">
        <v>62</v>
      </c>
      <c r="B77" s="90">
        <v>0.05</v>
      </c>
    </row>
    <row r="79" spans="1:6" x14ac:dyDescent="0.25">
      <c r="A79" s="91" t="s">
        <v>66</v>
      </c>
      <c r="B79" s="82"/>
      <c r="C79" s="82"/>
    </row>
    <row r="80" spans="1:6" x14ac:dyDescent="0.25">
      <c r="A80" s="82" t="s">
        <v>57</v>
      </c>
      <c r="B80" s="87">
        <v>5000</v>
      </c>
      <c r="C80" s="82"/>
    </row>
    <row r="81" spans="1:3" ht="22.5" x14ac:dyDescent="0.25">
      <c r="A81" s="82" t="s">
        <v>58</v>
      </c>
      <c r="B81" s="82"/>
      <c r="C81" s="82"/>
    </row>
    <row r="82" spans="1:3" x14ac:dyDescent="0.25">
      <c r="A82" s="82" t="s">
        <v>59</v>
      </c>
      <c r="B82" s="88" t="s">
        <v>67</v>
      </c>
      <c r="C82" s="88"/>
    </row>
    <row r="83" spans="1:3" x14ac:dyDescent="0.25">
      <c r="A83" s="82" t="s">
        <v>61</v>
      </c>
      <c r="B83" s="89">
        <v>2.5000000000000001E-2</v>
      </c>
      <c r="C83" s="82"/>
    </row>
    <row r="84" spans="1:3" x14ac:dyDescent="0.25">
      <c r="A84" s="82" t="s">
        <v>62</v>
      </c>
      <c r="B84" s="90">
        <v>0.05</v>
      </c>
    </row>
  </sheetData>
  <mergeCells count="10">
    <mergeCell ref="F31:F32"/>
    <mergeCell ref="B68:C68"/>
    <mergeCell ref="B75:C75"/>
    <mergeCell ref="B82:C82"/>
    <mergeCell ref="A1:E1"/>
    <mergeCell ref="A31:A32"/>
    <mergeCell ref="B31:B32"/>
    <mergeCell ref="C31:C32"/>
    <mergeCell ref="D31:D32"/>
    <mergeCell ref="E31:E32"/>
  </mergeCells>
  <pageMargins left="0" right="0" top="0" bottom="0" header="0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D0BD-E456-459F-8EA2-37EAF6A5DA74}">
  <dimension ref="A1:C11"/>
  <sheetViews>
    <sheetView workbookViewId="0">
      <selection activeCell="G11" sqref="G11"/>
    </sheetView>
  </sheetViews>
  <sheetFormatPr baseColWidth="10" defaultRowHeight="15" x14ac:dyDescent="0.25"/>
  <cols>
    <col min="1" max="1" width="75.140625" bestFit="1" customWidth="1"/>
    <col min="2" max="2" width="22.42578125" bestFit="1" customWidth="1"/>
    <col min="3" max="3" width="12.85546875" bestFit="1" customWidth="1"/>
  </cols>
  <sheetData>
    <row r="1" spans="1:3" x14ac:dyDescent="0.25">
      <c r="A1" s="91" t="s">
        <v>63</v>
      </c>
      <c r="B1" s="82"/>
      <c r="C1" s="82"/>
    </row>
    <row r="2" spans="1:3" ht="22.5" x14ac:dyDescent="0.25">
      <c r="A2" s="82" t="s">
        <v>57</v>
      </c>
      <c r="B2" s="87">
        <v>5000</v>
      </c>
      <c r="C2" s="82"/>
    </row>
    <row r="3" spans="1:3" ht="56.25" x14ac:dyDescent="0.25">
      <c r="A3" s="82" t="s">
        <v>58</v>
      </c>
      <c r="B3" s="82"/>
      <c r="C3" s="82"/>
    </row>
    <row r="4" spans="1:3" ht="22.5" x14ac:dyDescent="0.25">
      <c r="A4" s="82" t="s">
        <v>59</v>
      </c>
      <c r="B4" s="88" t="s">
        <v>60</v>
      </c>
      <c r="C4" s="88"/>
    </row>
    <row r="5" spans="1:3" ht="45" x14ac:dyDescent="0.25">
      <c r="A5" s="82" t="s">
        <v>61</v>
      </c>
      <c r="B5" s="89">
        <v>2.5000000000000001E-2</v>
      </c>
      <c r="C5" s="82"/>
    </row>
    <row r="6" spans="1:3" ht="45" x14ac:dyDescent="0.25">
      <c r="A6" s="82" t="s">
        <v>62</v>
      </c>
      <c r="B6" s="90">
        <v>0.05</v>
      </c>
      <c r="C6" s="4"/>
    </row>
    <row r="7" spans="1:3" ht="15.75" thickBot="1" x14ac:dyDescent="0.3"/>
    <row r="8" spans="1:3" s="140" customFormat="1" ht="21" customHeight="1" x14ac:dyDescent="0.3">
      <c r="A8" s="137" t="s">
        <v>68</v>
      </c>
      <c r="B8" s="138" t="s">
        <v>69</v>
      </c>
      <c r="C8" s="139">
        <f>ROUND((1.8*1498.47*3/91.25*0.5),2)</f>
        <v>44.34</v>
      </c>
    </row>
    <row r="9" spans="1:3" s="140" customFormat="1" ht="21" customHeight="1" x14ac:dyDescent="0.3">
      <c r="A9" s="141" t="s">
        <v>70</v>
      </c>
      <c r="B9" s="142" t="s">
        <v>91</v>
      </c>
      <c r="C9" s="146">
        <f>44.34*11</f>
        <v>487.74</v>
      </c>
    </row>
    <row r="10" spans="1:3" s="140" customFormat="1" ht="21" customHeight="1" x14ac:dyDescent="0.3">
      <c r="A10" s="141" t="s">
        <v>71</v>
      </c>
      <c r="B10" s="142" t="s">
        <v>92</v>
      </c>
      <c r="C10" s="143">
        <f>+C9*6.7/100</f>
        <v>32.678580000000004</v>
      </c>
    </row>
    <row r="11" spans="1:3" s="140" customFormat="1" ht="21" customHeight="1" thickBot="1" x14ac:dyDescent="0.35">
      <c r="A11" s="144" t="s">
        <v>72</v>
      </c>
      <c r="B11" s="145"/>
      <c r="C11" s="147">
        <f>C9-C10</f>
        <v>455.06142</v>
      </c>
    </row>
  </sheetData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68A1-C4F8-47ED-A939-11323888451D}">
  <dimension ref="A1:H78"/>
  <sheetViews>
    <sheetView topLeftCell="A45" zoomScale="135" zoomScaleNormal="135" workbookViewId="0">
      <selection activeCell="C33" sqref="C33"/>
    </sheetView>
  </sheetViews>
  <sheetFormatPr baseColWidth="10" defaultRowHeight="11.25" x14ac:dyDescent="0.25"/>
  <cols>
    <col min="1" max="1" width="43" style="4" customWidth="1"/>
    <col min="2" max="2" width="16" style="4" customWidth="1"/>
    <col min="3" max="3" width="16.28515625" style="4" bestFit="1" customWidth="1"/>
    <col min="4" max="4" width="17" style="4" bestFit="1" customWidth="1"/>
    <col min="5" max="5" width="18.28515625" style="4" bestFit="1" customWidth="1"/>
    <col min="6" max="6" width="17.5703125" style="4" bestFit="1" customWidth="1"/>
    <col min="7" max="7" width="15.7109375" style="4" customWidth="1"/>
    <col min="8" max="8" width="14.140625" style="4" bestFit="1" customWidth="1"/>
    <col min="9" max="9" width="12.140625" style="4" bestFit="1" customWidth="1"/>
    <col min="10" max="10" width="11.42578125" style="4"/>
    <col min="11" max="11" width="12.42578125" style="4" bestFit="1" customWidth="1"/>
    <col min="12" max="12" width="11.42578125" style="4"/>
    <col min="13" max="13" width="12.7109375" style="4" bestFit="1" customWidth="1"/>
    <col min="14" max="14" width="15.42578125" style="4" bestFit="1" customWidth="1"/>
    <col min="15" max="16384" width="11.42578125" style="4"/>
  </cols>
  <sheetData>
    <row r="1" spans="1:8" ht="21" hidden="1" customHeight="1" x14ac:dyDescent="0.25">
      <c r="A1" s="1" t="s">
        <v>0</v>
      </c>
      <c r="B1" s="2"/>
      <c r="C1" s="3"/>
      <c r="D1" s="3"/>
      <c r="E1" s="3"/>
    </row>
    <row r="2" spans="1:8" ht="21" hidden="1" customHeight="1" x14ac:dyDescent="0.25">
      <c r="A2" s="5"/>
      <c r="B2" s="6"/>
      <c r="C2" s="7"/>
      <c r="D2" s="7"/>
      <c r="E2" s="7"/>
    </row>
    <row r="3" spans="1:8" ht="21" hidden="1" customHeight="1" x14ac:dyDescent="0.25">
      <c r="A3" s="5" t="s">
        <v>1</v>
      </c>
      <c r="B3" s="6"/>
      <c r="C3" s="8">
        <f>5700+950</f>
        <v>6650</v>
      </c>
      <c r="D3" s="7"/>
      <c r="E3" s="7"/>
    </row>
    <row r="4" spans="1:8" ht="21" hidden="1" customHeight="1" x14ac:dyDescent="0.25">
      <c r="A4" s="5" t="s">
        <v>2</v>
      </c>
      <c r="B4" s="6"/>
      <c r="C4" s="9">
        <f>C3/10</f>
        <v>665</v>
      </c>
      <c r="D4" s="7"/>
      <c r="E4" s="10"/>
    </row>
    <row r="5" spans="1:8" ht="21" hidden="1" customHeight="1" x14ac:dyDescent="0.25">
      <c r="A5" s="5"/>
      <c r="B5" s="6"/>
      <c r="C5" s="7"/>
      <c r="D5" s="7"/>
      <c r="E5" s="7"/>
    </row>
    <row r="6" spans="1:8" ht="21" hidden="1" customHeight="1" x14ac:dyDescent="0.25">
      <c r="A6" s="5" t="s">
        <v>3</v>
      </c>
      <c r="B6" s="6" t="s">
        <v>4</v>
      </c>
      <c r="C6" s="11">
        <f>(1900*3)+665</f>
        <v>6365</v>
      </c>
      <c r="D6" s="7"/>
      <c r="E6" s="10"/>
    </row>
    <row r="7" spans="1:8" ht="21" hidden="1" customHeight="1" x14ac:dyDescent="0.25">
      <c r="A7" s="5" t="s">
        <v>5</v>
      </c>
      <c r="B7" s="6"/>
      <c r="C7" s="8">
        <f>+C6/10</f>
        <v>636.5</v>
      </c>
      <c r="D7" s="7"/>
      <c r="E7" s="7"/>
    </row>
    <row r="8" spans="1:8" ht="15" hidden="1" customHeight="1" x14ac:dyDescent="0.25">
      <c r="A8" s="5"/>
      <c r="B8" s="6"/>
      <c r="C8" s="7"/>
      <c r="D8" s="7"/>
      <c r="E8" s="7"/>
    </row>
    <row r="9" spans="1:8" ht="15" hidden="1" customHeight="1" x14ac:dyDescent="0.25">
      <c r="A9" s="12" t="s">
        <v>6</v>
      </c>
      <c r="B9" s="6"/>
      <c r="C9" s="7"/>
      <c r="D9" s="7"/>
      <c r="E9" s="7"/>
    </row>
    <row r="10" spans="1:8" ht="15" hidden="1" customHeight="1" thickBot="1" x14ac:dyDescent="0.3">
      <c r="A10" s="5"/>
      <c r="B10" s="6"/>
      <c r="C10" s="7"/>
      <c r="D10" s="7"/>
      <c r="E10" s="7"/>
    </row>
    <row r="11" spans="1:8" ht="18" hidden="1" customHeight="1" x14ac:dyDescent="0.25">
      <c r="A11" s="13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5" t="s">
        <v>14</v>
      </c>
    </row>
    <row r="12" spans="1:8" ht="18" hidden="1" customHeight="1" x14ac:dyDescent="0.25">
      <c r="A12" s="16" t="s">
        <v>15</v>
      </c>
      <c r="B12" s="17">
        <v>1900</v>
      </c>
      <c r="C12" s="17">
        <f>B12</f>
        <v>1900</v>
      </c>
      <c r="D12" s="17">
        <v>1498.47</v>
      </c>
      <c r="E12" s="18">
        <f>0.2814/0.6*((1.6*D12/C12)-1)</f>
        <v>0.12281678315789479</v>
      </c>
      <c r="F12" s="18">
        <f>ROUND(E12,4)</f>
        <v>0.12280000000000001</v>
      </c>
      <c r="G12" s="17">
        <f>F12*C12</f>
        <v>233.32000000000002</v>
      </c>
      <c r="H12" s="19">
        <f>G12</f>
        <v>233.32000000000002</v>
      </c>
    </row>
    <row r="13" spans="1:8" ht="18" hidden="1" customHeight="1" x14ac:dyDescent="0.25">
      <c r="A13" s="16" t="s">
        <v>16</v>
      </c>
      <c r="B13" s="17">
        <v>1900</v>
      </c>
      <c r="C13" s="17">
        <f>C12+B13</f>
        <v>3800</v>
      </c>
      <c r="D13" s="17">
        <f>D12*2</f>
        <v>2996.94</v>
      </c>
      <c r="E13" s="18">
        <f t="shared" ref="E13:E14" si="0">0.2814/0.6*((1.6*D13/C13)-1)</f>
        <v>0.12281678315789479</v>
      </c>
      <c r="F13" s="18">
        <f t="shared" ref="F13" si="1">ROUND(E13,4)</f>
        <v>0.12280000000000001</v>
      </c>
      <c r="G13" s="17">
        <f t="shared" ref="G13:G14" si="2">F13*C13</f>
        <v>466.64000000000004</v>
      </c>
      <c r="H13" s="19">
        <f>G13-G12</f>
        <v>233.32000000000002</v>
      </c>
    </row>
    <row r="14" spans="1:8" ht="18" hidden="1" customHeight="1" thickBot="1" x14ac:dyDescent="0.3">
      <c r="A14" s="20" t="s">
        <v>17</v>
      </c>
      <c r="B14" s="21">
        <f>+E30</f>
        <v>5000</v>
      </c>
      <c r="C14" s="21">
        <f>C13+B14</f>
        <v>8800</v>
      </c>
      <c r="D14" s="21">
        <f>D12*3</f>
        <v>4495.41</v>
      </c>
      <c r="E14" s="22">
        <f t="shared" si="0"/>
        <v>-8.5664129090909105E-2</v>
      </c>
      <c r="F14" s="22">
        <v>0</v>
      </c>
      <c r="G14" s="21">
        <f t="shared" si="2"/>
        <v>0</v>
      </c>
      <c r="H14" s="23">
        <f>G14-G13</f>
        <v>-466.64000000000004</v>
      </c>
    </row>
    <row r="15" spans="1:8" ht="18" hidden="1" customHeight="1" x14ac:dyDescent="0.25">
      <c r="A15" s="24"/>
      <c r="B15" s="25"/>
      <c r="C15" s="25"/>
      <c r="D15" s="25"/>
      <c r="E15" s="26"/>
      <c r="F15" s="26"/>
      <c r="G15" s="25"/>
      <c r="H15" s="27"/>
    </row>
    <row r="16" spans="1:8" ht="18" hidden="1" customHeight="1" x14ac:dyDescent="0.25">
      <c r="A16" s="28" t="s">
        <v>18</v>
      </c>
      <c r="B16" s="25"/>
      <c r="C16" s="25"/>
      <c r="D16" s="25"/>
      <c r="E16" s="26"/>
      <c r="F16" s="26"/>
      <c r="G16" s="25"/>
      <c r="H16" s="27"/>
    </row>
    <row r="17" spans="1:7" ht="15" hidden="1" x14ac:dyDescent="0.25">
      <c r="A17" s="29"/>
      <c r="B17" s="7"/>
      <c r="C17" s="7"/>
      <c r="D17" s="7"/>
      <c r="E17" s="7"/>
      <c r="F17" s="7"/>
    </row>
    <row r="18" spans="1:7" s="34" customFormat="1" ht="19.5" hidden="1" customHeight="1" x14ac:dyDescent="0.25">
      <c r="A18" s="30" t="s">
        <v>7</v>
      </c>
      <c r="B18" s="31" t="s">
        <v>19</v>
      </c>
      <c r="C18" s="31" t="s">
        <v>9</v>
      </c>
      <c r="D18" s="32" t="s">
        <v>20</v>
      </c>
      <c r="E18" s="32" t="s">
        <v>21</v>
      </c>
      <c r="F18" s="33" t="s">
        <v>22</v>
      </c>
    </row>
    <row r="19" spans="1:7" ht="19.5" hidden="1" customHeight="1" x14ac:dyDescent="0.25">
      <c r="A19" s="16" t="s">
        <v>15</v>
      </c>
      <c r="B19" s="35">
        <v>1900</v>
      </c>
      <c r="C19" s="35">
        <f>B19</f>
        <v>1900</v>
      </c>
      <c r="D19" s="35">
        <v>3311</v>
      </c>
      <c r="E19" s="35">
        <f>3311+353.82</f>
        <v>3664.82</v>
      </c>
      <c r="F19" s="36">
        <v>353.82</v>
      </c>
    </row>
    <row r="20" spans="1:7" ht="19.5" hidden="1" customHeight="1" x14ac:dyDescent="0.25">
      <c r="A20" s="16" t="s">
        <v>16</v>
      </c>
      <c r="B20" s="35">
        <v>1900</v>
      </c>
      <c r="C20" s="35">
        <f>C19+B20</f>
        <v>3800</v>
      </c>
      <c r="D20" s="35">
        <v>6622</v>
      </c>
      <c r="E20" s="35">
        <f>E19*2</f>
        <v>7329.64</v>
      </c>
      <c r="F20" s="36">
        <v>353.82</v>
      </c>
    </row>
    <row r="21" spans="1:7" ht="19.5" hidden="1" customHeight="1" thickBot="1" x14ac:dyDescent="0.3">
      <c r="A21" s="20" t="s">
        <v>17</v>
      </c>
      <c r="B21" s="37">
        <f>B14</f>
        <v>5000</v>
      </c>
      <c r="C21" s="37">
        <f>C20+B21</f>
        <v>8800</v>
      </c>
      <c r="D21" s="37">
        <v>9933</v>
      </c>
      <c r="E21" s="37">
        <f>E19*3</f>
        <v>10994.460000000001</v>
      </c>
      <c r="F21" s="38">
        <v>353.82</v>
      </c>
    </row>
    <row r="22" spans="1:7" ht="15" hidden="1" x14ac:dyDescent="0.25">
      <c r="A22" s="29"/>
      <c r="B22" s="7"/>
      <c r="C22" s="7"/>
      <c r="D22" s="7"/>
      <c r="E22" s="7"/>
      <c r="F22" s="7"/>
    </row>
    <row r="23" spans="1:7" ht="15" hidden="1" x14ac:dyDescent="0.25">
      <c r="A23" s="29"/>
      <c r="B23" s="7"/>
      <c r="C23" s="7"/>
      <c r="D23" s="7"/>
      <c r="E23" s="7"/>
      <c r="F23" s="7"/>
    </row>
    <row r="24" spans="1:7" ht="15" x14ac:dyDescent="0.25">
      <c r="A24" s="29"/>
      <c r="B24" s="7"/>
      <c r="C24" s="7"/>
      <c r="D24" s="7"/>
      <c r="E24" s="7"/>
      <c r="F24" s="7"/>
    </row>
    <row r="25" spans="1:7" ht="15.75" thickBot="1" x14ac:dyDescent="0.3">
      <c r="A25" s="29"/>
      <c r="B25" s="7"/>
      <c r="C25" s="7"/>
      <c r="D25" s="7"/>
      <c r="E25" s="7"/>
      <c r="F25" s="7"/>
    </row>
    <row r="26" spans="1:7" ht="15" x14ac:dyDescent="0.25">
      <c r="A26" s="39" t="s">
        <v>23</v>
      </c>
      <c r="B26" s="7"/>
      <c r="C26" s="7"/>
      <c r="D26" s="7">
        <v>5000</v>
      </c>
      <c r="E26" s="7"/>
      <c r="F26" s="7"/>
    </row>
    <row r="27" spans="1:7" ht="15" x14ac:dyDescent="0.25">
      <c r="A27" s="29" t="s">
        <v>54</v>
      </c>
      <c r="B27" s="7"/>
      <c r="C27" s="7"/>
      <c r="D27" s="7"/>
      <c r="E27" s="7"/>
      <c r="F27" s="7"/>
    </row>
    <row r="28" spans="1:7" ht="15.75" thickBot="1" x14ac:dyDescent="0.3">
      <c r="A28" s="29" t="s">
        <v>55</v>
      </c>
      <c r="B28" s="7"/>
      <c r="C28" s="7"/>
      <c r="D28" s="7"/>
      <c r="E28" s="7"/>
      <c r="F28" s="7"/>
    </row>
    <row r="29" spans="1:7" ht="12.75" customHeight="1" x14ac:dyDescent="0.25">
      <c r="A29" s="4" t="s">
        <v>56</v>
      </c>
      <c r="B29" s="40"/>
      <c r="C29" s="40"/>
      <c r="D29" s="86">
        <v>5000</v>
      </c>
      <c r="E29" s="41"/>
      <c r="F29" s="40"/>
      <c r="G29" s="42"/>
    </row>
    <row r="30" spans="1:7" ht="12.75" customHeight="1" x14ac:dyDescent="0.25">
      <c r="A30" s="44" t="s">
        <v>24</v>
      </c>
      <c r="B30" s="45"/>
      <c r="C30" s="43"/>
      <c r="D30" s="43"/>
      <c r="E30" s="46">
        <v>5000</v>
      </c>
      <c r="F30" s="43"/>
      <c r="G30" s="42"/>
    </row>
    <row r="31" spans="1:7" ht="12.75" customHeight="1" x14ac:dyDescent="0.25">
      <c r="A31" s="47"/>
      <c r="B31" s="48" t="s">
        <v>25</v>
      </c>
      <c r="C31" s="48" t="s">
        <v>26</v>
      </c>
      <c r="D31" s="48" t="s">
        <v>27</v>
      </c>
      <c r="E31" s="49" t="s">
        <v>28</v>
      </c>
      <c r="F31" s="49" t="s">
        <v>29</v>
      </c>
      <c r="G31" s="42" t="s">
        <v>30</v>
      </c>
    </row>
    <row r="32" spans="1:7" ht="12.75" customHeight="1" x14ac:dyDescent="0.25">
      <c r="A32" s="47"/>
      <c r="B32" s="48"/>
      <c r="C32" s="48"/>
      <c r="D32" s="48"/>
      <c r="E32" s="49"/>
      <c r="F32" s="49"/>
      <c r="G32" s="42" t="s">
        <v>31</v>
      </c>
    </row>
    <row r="33" spans="1:7" ht="12.75" customHeight="1" x14ac:dyDescent="0.25">
      <c r="A33" s="50" t="s">
        <v>32</v>
      </c>
      <c r="B33" s="51">
        <f>IF(E30&gt;3311,3311,E30)</f>
        <v>3311</v>
      </c>
      <c r="C33" s="52">
        <f>'[1]v 12 Grille de cotisations'!C21</f>
        <v>6.9000000000000006E-2</v>
      </c>
      <c r="D33" s="53">
        <f t="shared" ref="D33:D37" si="3">B33*C33</f>
        <v>228.45900000000003</v>
      </c>
      <c r="E33" s="54"/>
      <c r="F33" s="55"/>
      <c r="G33" s="42" t="s">
        <v>33</v>
      </c>
    </row>
    <row r="34" spans="1:7" ht="12.75" customHeight="1" x14ac:dyDescent="0.25">
      <c r="A34" s="50" t="s">
        <v>34</v>
      </c>
      <c r="B34" s="51">
        <f>E30</f>
        <v>5000</v>
      </c>
      <c r="C34" s="52">
        <v>4.0000000000000001E-3</v>
      </c>
      <c r="D34" s="53">
        <f t="shared" si="3"/>
        <v>20</v>
      </c>
      <c r="E34" s="54"/>
      <c r="F34" s="55"/>
      <c r="G34" s="56" t="s">
        <v>35</v>
      </c>
    </row>
    <row r="35" spans="1:7" ht="12.75" customHeight="1" x14ac:dyDescent="0.25">
      <c r="A35" s="50" t="s">
        <v>36</v>
      </c>
      <c r="B35" s="51">
        <f>E30*0.9825</f>
        <v>4912.5</v>
      </c>
      <c r="C35" s="52">
        <v>2.4E-2</v>
      </c>
      <c r="D35" s="53">
        <f t="shared" si="3"/>
        <v>117.9</v>
      </c>
      <c r="E35" s="59"/>
      <c r="F35" s="60"/>
    </row>
    <row r="36" spans="1:7" ht="12.75" customHeight="1" x14ac:dyDescent="0.25">
      <c r="A36" s="50" t="s">
        <v>37</v>
      </c>
      <c r="B36" s="51">
        <f>B35</f>
        <v>4912.5</v>
      </c>
      <c r="C36" s="52">
        <v>6.8000000000000005E-2</v>
      </c>
      <c r="D36" s="53">
        <f t="shared" si="3"/>
        <v>334.05</v>
      </c>
      <c r="E36" s="59"/>
      <c r="F36" s="60"/>
    </row>
    <row r="37" spans="1:7" ht="12.75" customHeight="1" x14ac:dyDescent="0.25">
      <c r="A37" s="50" t="s">
        <v>38</v>
      </c>
      <c r="B37" s="51">
        <f>B36</f>
        <v>4912.5</v>
      </c>
      <c r="C37" s="52">
        <v>5.0000000000000001E-3</v>
      </c>
      <c r="D37" s="53">
        <f t="shared" si="3"/>
        <v>24.5625</v>
      </c>
      <c r="E37" s="59"/>
      <c r="F37" s="60"/>
    </row>
    <row r="38" spans="1:7" ht="12.75" customHeight="1" x14ac:dyDescent="0.25">
      <c r="A38" s="63"/>
      <c r="B38" s="51"/>
      <c r="C38" s="61"/>
      <c r="D38" s="53"/>
      <c r="E38" s="62"/>
      <c r="F38" s="64"/>
    </row>
    <row r="39" spans="1:7" ht="12.75" customHeight="1" x14ac:dyDescent="0.25">
      <c r="A39" s="65" t="s">
        <v>39</v>
      </c>
      <c r="B39" s="66"/>
      <c r="C39" s="57"/>
      <c r="D39" s="57"/>
      <c r="E39" s="59"/>
      <c r="F39" s="67"/>
    </row>
    <row r="40" spans="1:7" ht="12.75" customHeight="1" x14ac:dyDescent="0.25">
      <c r="A40" s="50" t="s">
        <v>40</v>
      </c>
      <c r="B40" s="51">
        <f>B34</f>
        <v>5000</v>
      </c>
      <c r="C40" s="52">
        <v>9.4999999999999998E-3</v>
      </c>
      <c r="D40" s="53">
        <f>C40*B40</f>
        <v>47.5</v>
      </c>
      <c r="E40" s="54"/>
      <c r="F40" s="55"/>
    </row>
    <row r="41" spans="1:7" ht="12.75" customHeight="1" x14ac:dyDescent="0.25">
      <c r="A41" s="65" t="s">
        <v>41</v>
      </c>
      <c r="B41" s="51"/>
      <c r="C41" s="57"/>
      <c r="D41" s="58"/>
      <c r="E41" s="59"/>
      <c r="F41" s="60"/>
      <c r="G41" s="68"/>
    </row>
    <row r="42" spans="1:7" ht="12.75" customHeight="1" x14ac:dyDescent="0.25">
      <c r="A42" s="50" t="s">
        <v>53</v>
      </c>
      <c r="B42" s="51">
        <f>B33</f>
        <v>3311</v>
      </c>
      <c r="C42" s="52">
        <v>3.1E-2</v>
      </c>
      <c r="D42" s="53">
        <f t="shared" ref="D42:D48" si="4">B42*C42</f>
        <v>102.64100000000001</v>
      </c>
      <c r="E42" s="54"/>
      <c r="F42" s="55"/>
      <c r="G42" s="68"/>
    </row>
    <row r="43" spans="1:7" ht="12.75" customHeight="1" x14ac:dyDescent="0.25">
      <c r="A43" s="50" t="s">
        <v>42</v>
      </c>
      <c r="B43" s="51">
        <f>B33</f>
        <v>3311</v>
      </c>
      <c r="C43" s="52">
        <v>8.0000000000000002E-3</v>
      </c>
      <c r="D43" s="53">
        <f t="shared" si="4"/>
        <v>26.488</v>
      </c>
      <c r="E43" s="54"/>
      <c r="F43" s="55"/>
      <c r="G43" s="68"/>
    </row>
    <row r="44" spans="1:7" ht="12.75" customHeight="1" x14ac:dyDescent="0.25">
      <c r="A44" s="50" t="s">
        <v>52</v>
      </c>
      <c r="B44" s="51">
        <f>B34-B33</f>
        <v>1689</v>
      </c>
      <c r="C44" s="52">
        <v>7.8E-2</v>
      </c>
      <c r="D44" s="53">
        <f t="shared" si="4"/>
        <v>131.74199999999999</v>
      </c>
      <c r="E44" s="54"/>
      <c r="F44" s="55"/>
      <c r="G44" s="68"/>
    </row>
    <row r="45" spans="1:7" ht="12.75" customHeight="1" x14ac:dyDescent="0.25">
      <c r="A45" s="50" t="s">
        <v>51</v>
      </c>
      <c r="B45" s="51">
        <f>B44</f>
        <v>1689</v>
      </c>
      <c r="C45" s="52">
        <v>8.9999999999999993E-3</v>
      </c>
      <c r="D45" s="53">
        <f t="shared" si="4"/>
        <v>15.200999999999999</v>
      </c>
      <c r="E45" s="54"/>
      <c r="F45" s="55"/>
      <c r="G45" s="68"/>
    </row>
    <row r="46" spans="1:7" ht="12.75" customHeight="1" x14ac:dyDescent="0.25">
      <c r="A46" s="50" t="s">
        <v>43</v>
      </c>
      <c r="B46" s="51">
        <f>B34</f>
        <v>5000</v>
      </c>
      <c r="C46" s="74">
        <v>2.4000000000000001E-4</v>
      </c>
      <c r="D46" s="53">
        <f t="shared" si="4"/>
        <v>1.2</v>
      </c>
      <c r="E46" s="74"/>
      <c r="F46" s="55"/>
    </row>
    <row r="47" spans="1:7" ht="12.75" customHeight="1" x14ac:dyDescent="0.25">
      <c r="A47" s="50" t="s">
        <v>44</v>
      </c>
      <c r="B47" s="51">
        <f>B46</f>
        <v>5000</v>
      </c>
      <c r="C47" s="74">
        <v>1.2999999999999999E-3</v>
      </c>
      <c r="D47" s="53">
        <f t="shared" si="4"/>
        <v>6.5</v>
      </c>
      <c r="E47" s="74"/>
      <c r="F47" s="55"/>
    </row>
    <row r="48" spans="1:7" ht="12.75" customHeight="1" x14ac:dyDescent="0.25">
      <c r="A48" s="50" t="s">
        <v>50</v>
      </c>
      <c r="B48" s="51">
        <f>+B34</f>
        <v>5000</v>
      </c>
      <c r="C48" s="74">
        <v>2.5000000000000001E-2</v>
      </c>
      <c r="D48" s="53">
        <f t="shared" si="4"/>
        <v>125</v>
      </c>
      <c r="E48" s="84">
        <v>0.05</v>
      </c>
      <c r="F48" s="75">
        <f>B48*E48</f>
        <v>250</v>
      </c>
    </row>
    <row r="49" spans="1:6" ht="12.75" customHeight="1" x14ac:dyDescent="0.25">
      <c r="A49" s="50"/>
      <c r="B49" s="51"/>
      <c r="C49" s="57"/>
      <c r="D49" s="51"/>
      <c r="E49" s="76"/>
      <c r="F49" s="75"/>
    </row>
    <row r="50" spans="1:6" ht="12.75" customHeight="1" x14ac:dyDescent="0.25">
      <c r="A50" s="50"/>
      <c r="B50" s="51"/>
      <c r="C50" s="52"/>
      <c r="D50" s="51"/>
      <c r="E50" s="77"/>
      <c r="F50" s="75"/>
    </row>
    <row r="51" spans="1:6" ht="12.75" customHeight="1" x14ac:dyDescent="0.25">
      <c r="A51" s="50" t="s">
        <v>45</v>
      </c>
      <c r="B51" s="51">
        <f>F48</f>
        <v>250</v>
      </c>
      <c r="C51" s="52">
        <v>6.8000000000000005E-2</v>
      </c>
      <c r="D51" s="51">
        <f>C51*B51</f>
        <v>17</v>
      </c>
      <c r="E51" s="72"/>
      <c r="F51" s="72"/>
    </row>
    <row r="52" spans="1:6" ht="12.75" customHeight="1" x14ac:dyDescent="0.25">
      <c r="A52" s="50" t="s">
        <v>46</v>
      </c>
      <c r="B52" s="51">
        <f>B51</f>
        <v>250</v>
      </c>
      <c r="C52" s="52">
        <v>2.4E-2</v>
      </c>
      <c r="D52" s="51">
        <f t="shared" ref="D52:D53" si="5">C52*B52</f>
        <v>6</v>
      </c>
      <c r="E52" s="72"/>
      <c r="F52" s="72"/>
    </row>
    <row r="53" spans="1:6" ht="12.75" customHeight="1" x14ac:dyDescent="0.25">
      <c r="A53" s="50" t="s">
        <v>47</v>
      </c>
      <c r="B53" s="51">
        <f>B52</f>
        <v>250</v>
      </c>
      <c r="C53" s="52">
        <v>5.0000000000000001E-3</v>
      </c>
      <c r="D53" s="51">
        <f t="shared" si="5"/>
        <v>1.25</v>
      </c>
      <c r="E53" s="72"/>
      <c r="F53" s="72"/>
    </row>
    <row r="54" spans="1:6" ht="12.75" customHeight="1" x14ac:dyDescent="0.25">
      <c r="A54" s="50"/>
      <c r="B54" s="51"/>
      <c r="C54" s="52"/>
      <c r="D54" s="51"/>
      <c r="E54" s="72"/>
      <c r="F54" s="72"/>
    </row>
    <row r="55" spans="1:6" ht="12.75" customHeight="1" x14ac:dyDescent="0.25">
      <c r="A55" s="78" t="s">
        <v>48</v>
      </c>
      <c r="B55" s="79"/>
      <c r="C55" s="65"/>
      <c r="D55" s="69">
        <f>SUM(D33:D54)</f>
        <v>1205.4935</v>
      </c>
      <c r="E55" s="80"/>
      <c r="F55" s="69">
        <f>SUM(F33:F54)</f>
        <v>250</v>
      </c>
    </row>
    <row r="56" spans="1:6" ht="12.75" customHeight="1" x14ac:dyDescent="0.25">
      <c r="A56" s="78" t="s">
        <v>49</v>
      </c>
      <c r="B56" s="79"/>
      <c r="C56" s="65"/>
      <c r="D56" s="98">
        <f>E30-D55</f>
        <v>3794.5065</v>
      </c>
      <c r="E56" s="81"/>
      <c r="F56" s="72"/>
    </row>
    <row r="57" spans="1:6" ht="24" customHeight="1" x14ac:dyDescent="0.25">
      <c r="A57" s="82"/>
      <c r="B57" s="82"/>
      <c r="C57" s="82"/>
      <c r="D57" s="82"/>
      <c r="E57" s="82"/>
      <c r="F57" s="82"/>
    </row>
    <row r="58" spans="1:6" x14ac:dyDescent="0.25">
      <c r="A58" s="82"/>
      <c r="B58" s="82"/>
      <c r="C58" s="82"/>
      <c r="D58" s="82"/>
      <c r="E58" s="82"/>
      <c r="F58" s="82"/>
    </row>
    <row r="59" spans="1:6" x14ac:dyDescent="0.25">
      <c r="A59" s="91" t="s">
        <v>63</v>
      </c>
      <c r="B59" s="82"/>
      <c r="C59" s="82"/>
      <c r="D59" s="82"/>
      <c r="E59" s="82"/>
      <c r="F59" s="82"/>
    </row>
    <row r="60" spans="1:6" x14ac:dyDescent="0.25">
      <c r="A60" s="82" t="s">
        <v>57</v>
      </c>
      <c r="B60" s="87">
        <v>5000</v>
      </c>
      <c r="C60" s="82"/>
      <c r="D60" s="82"/>
      <c r="E60" s="82"/>
      <c r="F60" s="82"/>
    </row>
    <row r="61" spans="1:6" ht="22.5" x14ac:dyDescent="0.25">
      <c r="A61" s="82" t="s">
        <v>58</v>
      </c>
      <c r="B61" s="82"/>
      <c r="C61" s="82"/>
      <c r="D61" s="82"/>
      <c r="E61" s="82"/>
      <c r="F61" s="82"/>
    </row>
    <row r="62" spans="1:6" x14ac:dyDescent="0.25">
      <c r="A62" s="82" t="s">
        <v>59</v>
      </c>
      <c r="B62" s="88" t="s">
        <v>60</v>
      </c>
      <c r="C62" s="88"/>
      <c r="D62" s="82"/>
      <c r="E62" s="82"/>
      <c r="F62" s="82"/>
    </row>
    <row r="63" spans="1:6" x14ac:dyDescent="0.25">
      <c r="A63" s="82" t="s">
        <v>61</v>
      </c>
      <c r="B63" s="89">
        <v>2.5000000000000001E-2</v>
      </c>
      <c r="C63" s="82"/>
      <c r="D63" s="82"/>
      <c r="E63" s="82"/>
      <c r="F63" s="82"/>
    </row>
    <row r="64" spans="1:6" x14ac:dyDescent="0.25">
      <c r="A64" s="82" t="s">
        <v>62</v>
      </c>
      <c r="B64" s="90">
        <v>0.05</v>
      </c>
    </row>
    <row r="66" spans="1:3" x14ac:dyDescent="0.25">
      <c r="A66" s="91" t="s">
        <v>65</v>
      </c>
      <c r="B66" s="82"/>
      <c r="C66" s="82"/>
    </row>
    <row r="67" spans="1:3" x14ac:dyDescent="0.25">
      <c r="A67" s="82" t="s">
        <v>57</v>
      </c>
      <c r="B67" s="87">
        <v>5000</v>
      </c>
      <c r="C67" s="82"/>
    </row>
    <row r="68" spans="1:3" ht="22.5" x14ac:dyDescent="0.25">
      <c r="A68" s="82" t="s">
        <v>58</v>
      </c>
      <c r="B68" s="82"/>
      <c r="C68" s="82"/>
    </row>
    <row r="69" spans="1:3" x14ac:dyDescent="0.25">
      <c r="A69" s="82" t="s">
        <v>59</v>
      </c>
      <c r="B69" s="88" t="s">
        <v>64</v>
      </c>
      <c r="C69" s="88"/>
    </row>
    <row r="70" spans="1:3" x14ac:dyDescent="0.25">
      <c r="A70" s="82" t="s">
        <v>61</v>
      </c>
      <c r="B70" s="89">
        <v>2.5000000000000001E-2</v>
      </c>
      <c r="C70" s="82"/>
    </row>
    <row r="71" spans="1:3" x14ac:dyDescent="0.25">
      <c r="A71" s="82" t="s">
        <v>62</v>
      </c>
      <c r="B71" s="90">
        <v>0.05</v>
      </c>
    </row>
    <row r="73" spans="1:3" x14ac:dyDescent="0.25">
      <c r="A73" s="91" t="s">
        <v>66</v>
      </c>
      <c r="B73" s="82"/>
      <c r="C73" s="82"/>
    </row>
    <row r="74" spans="1:3" x14ac:dyDescent="0.25">
      <c r="A74" s="82" t="s">
        <v>57</v>
      </c>
      <c r="B74" s="87">
        <v>5000</v>
      </c>
      <c r="C74" s="82"/>
    </row>
    <row r="75" spans="1:3" ht="22.5" x14ac:dyDescent="0.25">
      <c r="A75" s="82" t="s">
        <v>58</v>
      </c>
      <c r="B75" s="82"/>
      <c r="C75" s="82"/>
    </row>
    <row r="76" spans="1:3" x14ac:dyDescent="0.25">
      <c r="A76" s="82" t="s">
        <v>59</v>
      </c>
      <c r="B76" s="88" t="s">
        <v>67</v>
      </c>
      <c r="C76" s="88"/>
    </row>
    <row r="77" spans="1:3" x14ac:dyDescent="0.25">
      <c r="A77" s="82" t="s">
        <v>61</v>
      </c>
      <c r="B77" s="89">
        <v>2.5000000000000001E-2</v>
      </c>
      <c r="C77" s="82"/>
    </row>
    <row r="78" spans="1:3" x14ac:dyDescent="0.25">
      <c r="A78" s="82" t="s">
        <v>62</v>
      </c>
      <c r="B78" s="90">
        <v>0.05</v>
      </c>
    </row>
  </sheetData>
  <mergeCells count="10">
    <mergeCell ref="F31:F32"/>
    <mergeCell ref="B62:C62"/>
    <mergeCell ref="B69:C69"/>
    <mergeCell ref="B76:C76"/>
    <mergeCell ref="A1:E1"/>
    <mergeCell ref="A31:A32"/>
    <mergeCell ref="B31:B32"/>
    <mergeCell ref="C31:C32"/>
    <mergeCell ref="D31:D32"/>
    <mergeCell ref="E31:E32"/>
  </mergeCells>
  <pageMargins left="0" right="0" top="0" bottom="0" header="0" footer="0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1B8E-26EE-42BE-B310-94B0490EA548}">
  <dimension ref="A2:I81"/>
  <sheetViews>
    <sheetView topLeftCell="A58" workbookViewId="0">
      <selection activeCell="D81" sqref="D81"/>
    </sheetView>
  </sheetViews>
  <sheetFormatPr baseColWidth="10" defaultRowHeight="15" x14ac:dyDescent="0.25"/>
  <cols>
    <col min="1" max="1" width="35.85546875" bestFit="1" customWidth="1"/>
    <col min="2" max="2" width="12.140625" bestFit="1" customWidth="1"/>
    <col min="4" max="4" width="13.7109375" bestFit="1" customWidth="1"/>
    <col min="5" max="5" width="16.42578125" bestFit="1" customWidth="1"/>
    <col min="6" max="6" width="11.7109375" bestFit="1" customWidth="1"/>
    <col min="8" max="8" width="23.5703125" bestFit="1" customWidth="1"/>
  </cols>
  <sheetData>
    <row r="2" spans="1:6" x14ac:dyDescent="0.25">
      <c r="A2" t="s">
        <v>73</v>
      </c>
      <c r="D2" s="93">
        <f>'SALAIRE HABITUEL'!D56</f>
        <v>3794.5065</v>
      </c>
    </row>
    <row r="3" spans="1:6" x14ac:dyDescent="0.25">
      <c r="A3" t="s">
        <v>74</v>
      </c>
      <c r="D3" s="93">
        <f>IJSS!C9</f>
        <v>487.74</v>
      </c>
    </row>
    <row r="4" spans="1:6" x14ac:dyDescent="0.25">
      <c r="A4" t="s">
        <v>75</v>
      </c>
      <c r="D4" s="93">
        <f>+D2-D3</f>
        <v>3306.7664999999997</v>
      </c>
    </row>
    <row r="6" spans="1:6" x14ac:dyDescent="0.25">
      <c r="A6" s="99" t="s">
        <v>76</v>
      </c>
    </row>
    <row r="8" spans="1:6" ht="15.75" thickBot="1" x14ac:dyDescent="0.3"/>
    <row r="9" spans="1:6" x14ac:dyDescent="0.25">
      <c r="A9" s="4"/>
      <c r="B9" s="40"/>
      <c r="C9" s="40"/>
      <c r="D9" s="86"/>
      <c r="E9" s="41"/>
      <c r="F9" s="40"/>
    </row>
    <row r="10" spans="1:6" x14ac:dyDescent="0.25">
      <c r="A10" s="44" t="s">
        <v>24</v>
      </c>
      <c r="B10" s="45"/>
      <c r="C10" s="43"/>
      <c r="D10" s="43"/>
      <c r="E10" s="46">
        <v>4368.8771136408486</v>
      </c>
      <c r="F10" s="43"/>
    </row>
    <row r="11" spans="1:6" x14ac:dyDescent="0.25">
      <c r="A11" s="47"/>
      <c r="B11" s="48" t="s">
        <v>25</v>
      </c>
      <c r="C11" s="48" t="s">
        <v>26</v>
      </c>
      <c r="D11" s="48" t="s">
        <v>27</v>
      </c>
      <c r="E11" s="49" t="s">
        <v>28</v>
      </c>
      <c r="F11" s="49" t="s">
        <v>29</v>
      </c>
    </row>
    <row r="12" spans="1:6" x14ac:dyDescent="0.25">
      <c r="A12" s="47"/>
      <c r="B12" s="48"/>
      <c r="C12" s="48"/>
      <c r="D12" s="48"/>
      <c r="E12" s="49"/>
      <c r="F12" s="49"/>
    </row>
    <row r="13" spans="1:6" x14ac:dyDescent="0.25">
      <c r="A13" s="50" t="s">
        <v>32</v>
      </c>
      <c r="B13" s="51">
        <f>IF(E10&gt;3311,3311,E10)</f>
        <v>3311</v>
      </c>
      <c r="C13" s="52">
        <v>6.9000000000000006E-2</v>
      </c>
      <c r="D13" s="53">
        <f t="shared" ref="D13:D17" si="0">B13*C13</f>
        <v>228.45900000000003</v>
      </c>
      <c r="E13" s="54"/>
      <c r="F13" s="55"/>
    </row>
    <row r="14" spans="1:6" x14ac:dyDescent="0.25">
      <c r="A14" s="50" t="s">
        <v>34</v>
      </c>
      <c r="B14" s="51">
        <f>E10</f>
        <v>4368.8771136408486</v>
      </c>
      <c r="C14" s="52">
        <v>4.0000000000000001E-3</v>
      </c>
      <c r="D14" s="53">
        <f t="shared" si="0"/>
        <v>17.475508454563396</v>
      </c>
      <c r="E14" s="54"/>
      <c r="F14" s="55"/>
    </row>
    <row r="15" spans="1:6" x14ac:dyDescent="0.25">
      <c r="A15" s="50" t="s">
        <v>36</v>
      </c>
      <c r="B15" s="51">
        <f>E10*0.9825</f>
        <v>4292.4217641521336</v>
      </c>
      <c r="C15" s="52">
        <v>2.4E-2</v>
      </c>
      <c r="D15" s="53">
        <f t="shared" si="0"/>
        <v>103.01812233965121</v>
      </c>
      <c r="E15" s="59"/>
      <c r="F15" s="60"/>
    </row>
    <row r="16" spans="1:6" x14ac:dyDescent="0.25">
      <c r="A16" s="50" t="s">
        <v>37</v>
      </c>
      <c r="B16" s="51">
        <f>B15</f>
        <v>4292.4217641521336</v>
      </c>
      <c r="C16" s="52">
        <v>6.8000000000000005E-2</v>
      </c>
      <c r="D16" s="53">
        <f t="shared" si="0"/>
        <v>291.8846799623451</v>
      </c>
      <c r="E16" s="59"/>
      <c r="F16" s="60"/>
    </row>
    <row r="17" spans="1:9" x14ac:dyDescent="0.25">
      <c r="A17" s="50" t="s">
        <v>38</v>
      </c>
      <c r="B17" s="51">
        <f>B16</f>
        <v>4292.4217641521336</v>
      </c>
      <c r="C17" s="52">
        <v>5.0000000000000001E-3</v>
      </c>
      <c r="D17" s="53">
        <f t="shared" si="0"/>
        <v>21.462108820760669</v>
      </c>
      <c r="E17" s="59"/>
      <c r="F17" s="60"/>
    </row>
    <row r="18" spans="1:9" x14ac:dyDescent="0.25">
      <c r="A18" s="63"/>
      <c r="B18" s="51"/>
      <c r="C18" s="61"/>
      <c r="D18" s="53"/>
      <c r="E18" s="62"/>
      <c r="F18" s="64"/>
    </row>
    <row r="19" spans="1:9" x14ac:dyDescent="0.25">
      <c r="A19" s="65" t="s">
        <v>39</v>
      </c>
      <c r="B19" s="66"/>
      <c r="C19" s="57"/>
      <c r="D19" s="57"/>
      <c r="E19" s="59"/>
      <c r="F19" s="67"/>
    </row>
    <row r="20" spans="1:9" x14ac:dyDescent="0.25">
      <c r="A20" s="50" t="s">
        <v>40</v>
      </c>
      <c r="B20" s="51">
        <f>B14</f>
        <v>4368.8771136408486</v>
      </c>
      <c r="C20" s="52">
        <v>9.4999999999999998E-3</v>
      </c>
      <c r="D20" s="53">
        <f>C20*B20</f>
        <v>41.504332579588059</v>
      </c>
      <c r="E20" s="54"/>
      <c r="F20" s="55"/>
    </row>
    <row r="21" spans="1:9" x14ac:dyDescent="0.25">
      <c r="A21" s="65" t="s">
        <v>41</v>
      </c>
      <c r="B21" s="51"/>
      <c r="C21" s="57"/>
      <c r="D21" s="58"/>
      <c r="E21" s="59"/>
      <c r="F21" s="60"/>
    </row>
    <row r="22" spans="1:9" x14ac:dyDescent="0.25">
      <c r="A22" s="50" t="s">
        <v>53</v>
      </c>
      <c r="B22" s="51">
        <f>B13</f>
        <v>3311</v>
      </c>
      <c r="C22" s="52">
        <v>3.1E-2</v>
      </c>
      <c r="D22" s="53">
        <f t="shared" ref="D22:D28" si="1">B22*C22</f>
        <v>102.64100000000001</v>
      </c>
      <c r="E22" s="54"/>
      <c r="F22" s="55"/>
      <c r="I22" s="92">
        <v>3306.77</v>
      </c>
    </row>
    <row r="23" spans="1:9" x14ac:dyDescent="0.25">
      <c r="A23" s="50" t="s">
        <v>42</v>
      </c>
      <c r="B23" s="51">
        <f>B13</f>
        <v>3311</v>
      </c>
      <c r="C23" s="52">
        <v>8.0000000000000002E-3</v>
      </c>
      <c r="D23" s="53">
        <f t="shared" si="1"/>
        <v>26.488</v>
      </c>
      <c r="E23" s="54"/>
      <c r="F23" s="55"/>
    </row>
    <row r="24" spans="1:9" x14ac:dyDescent="0.25">
      <c r="A24" s="50" t="s">
        <v>52</v>
      </c>
      <c r="B24" s="51">
        <f>B14-B13</f>
        <v>1057.8771136408486</v>
      </c>
      <c r="C24" s="52">
        <v>7.8E-2</v>
      </c>
      <c r="D24" s="53">
        <f t="shared" si="1"/>
        <v>82.51441486398619</v>
      </c>
      <c r="E24" s="54"/>
      <c r="F24" s="55"/>
    </row>
    <row r="25" spans="1:9" x14ac:dyDescent="0.25">
      <c r="A25" s="50" t="s">
        <v>51</v>
      </c>
      <c r="B25" s="51">
        <f>B24</f>
        <v>1057.8771136408486</v>
      </c>
      <c r="C25" s="52">
        <v>8.9999999999999993E-3</v>
      </c>
      <c r="D25" s="53">
        <f t="shared" si="1"/>
        <v>9.5208940227676369</v>
      </c>
      <c r="E25" s="54"/>
      <c r="F25" s="55"/>
    </row>
    <row r="26" spans="1:9" x14ac:dyDescent="0.25">
      <c r="A26" s="50" t="s">
        <v>43</v>
      </c>
      <c r="B26" s="51">
        <f>B14</f>
        <v>4368.8771136408486</v>
      </c>
      <c r="C26" s="74">
        <v>2.4000000000000001E-4</v>
      </c>
      <c r="D26" s="53">
        <f t="shared" si="1"/>
        <v>1.0485305072738036</v>
      </c>
      <c r="E26" s="74"/>
      <c r="F26" s="55"/>
    </row>
    <row r="27" spans="1:9" x14ac:dyDescent="0.25">
      <c r="A27" s="50" t="s">
        <v>44</v>
      </c>
      <c r="B27" s="51">
        <f>B26</f>
        <v>4368.8771136408486</v>
      </c>
      <c r="C27" s="74">
        <v>1.2999999999999999E-3</v>
      </c>
      <c r="D27" s="53">
        <f t="shared" si="1"/>
        <v>5.6795402477331027</v>
      </c>
      <c r="E27" s="74"/>
      <c r="F27" s="55"/>
    </row>
    <row r="28" spans="1:9" x14ac:dyDescent="0.25">
      <c r="A28" s="50" t="s">
        <v>50</v>
      </c>
      <c r="B28" s="51">
        <f>+B14</f>
        <v>4368.8771136408486</v>
      </c>
      <c r="C28" s="74">
        <v>2.5000000000000001E-2</v>
      </c>
      <c r="D28" s="53">
        <f t="shared" si="1"/>
        <v>109.22192784102123</v>
      </c>
      <c r="E28" s="84">
        <v>0.05</v>
      </c>
      <c r="F28" s="75">
        <f>B28*E28</f>
        <v>218.44385568204245</v>
      </c>
    </row>
    <row r="29" spans="1:9" x14ac:dyDescent="0.25">
      <c r="A29" s="50"/>
      <c r="B29" s="51"/>
      <c r="C29" s="57"/>
      <c r="D29" s="51"/>
      <c r="E29" s="76"/>
      <c r="F29" s="75"/>
    </row>
    <row r="30" spans="1:9" x14ac:dyDescent="0.25">
      <c r="A30" s="50"/>
      <c r="B30" s="51"/>
      <c r="C30" s="52"/>
      <c r="D30" s="51"/>
      <c r="E30" s="77"/>
      <c r="F30" s="75"/>
    </row>
    <row r="31" spans="1:9" x14ac:dyDescent="0.25">
      <c r="A31" s="50" t="s">
        <v>45</v>
      </c>
      <c r="B31" s="51">
        <f>F28</f>
        <v>218.44385568204245</v>
      </c>
      <c r="C31" s="52">
        <v>6.8000000000000005E-2</v>
      </c>
      <c r="D31" s="51">
        <f>C31*B31</f>
        <v>14.854182186378887</v>
      </c>
      <c r="E31" s="72"/>
      <c r="F31" s="72"/>
    </row>
    <row r="32" spans="1:9" x14ac:dyDescent="0.25">
      <c r="A32" s="50" t="s">
        <v>46</v>
      </c>
      <c r="B32" s="51">
        <f>B31</f>
        <v>218.44385568204245</v>
      </c>
      <c r="C32" s="52">
        <v>2.4E-2</v>
      </c>
      <c r="D32" s="51">
        <f t="shared" ref="D32:D33" si="2">C32*B32</f>
        <v>5.2426525363690191</v>
      </c>
      <c r="E32" s="72"/>
      <c r="F32" s="72"/>
    </row>
    <row r="33" spans="1:9" x14ac:dyDescent="0.25">
      <c r="A33" s="50" t="s">
        <v>47</v>
      </c>
      <c r="B33" s="51">
        <f>B32</f>
        <v>218.44385568204245</v>
      </c>
      <c r="C33" s="52">
        <v>5.0000000000000001E-3</v>
      </c>
      <c r="D33" s="51">
        <f t="shared" si="2"/>
        <v>1.0922192784102123</v>
      </c>
      <c r="E33" s="72"/>
      <c r="F33" s="72"/>
    </row>
    <row r="34" spans="1:9" x14ac:dyDescent="0.25">
      <c r="A34" s="50"/>
      <c r="B34" s="51"/>
      <c r="C34" s="52"/>
      <c r="D34" s="51"/>
      <c r="E34" s="72"/>
      <c r="F34" s="72"/>
    </row>
    <row r="35" spans="1:9" x14ac:dyDescent="0.25">
      <c r="A35" s="78" t="s">
        <v>48</v>
      </c>
      <c r="B35" s="79"/>
      <c r="C35" s="65"/>
      <c r="D35" s="69">
        <f>SUM(D13:D34)</f>
        <v>1062.1071136408486</v>
      </c>
      <c r="E35" s="80"/>
      <c r="F35" s="69">
        <f>SUM(F13:F34)</f>
        <v>218.44385568204245</v>
      </c>
    </row>
    <row r="36" spans="1:9" x14ac:dyDescent="0.25">
      <c r="A36" s="78" t="s">
        <v>49</v>
      </c>
      <c r="B36" s="79"/>
      <c r="C36" s="65"/>
      <c r="D36" s="98">
        <f>E10-D35</f>
        <v>3306.77</v>
      </c>
      <c r="E36" s="81"/>
      <c r="F36" s="72"/>
    </row>
    <row r="37" spans="1:9" x14ac:dyDescent="0.25">
      <c r="A37" s="101"/>
      <c r="B37" s="102"/>
      <c r="C37" s="103"/>
      <c r="D37" s="103"/>
      <c r="E37" s="103"/>
      <c r="F37" s="103"/>
    </row>
    <row r="38" spans="1:9" x14ac:dyDescent="0.25">
      <c r="A38" s="101"/>
      <c r="B38" s="102"/>
      <c r="C38" s="103"/>
      <c r="D38" s="103"/>
      <c r="E38" s="103"/>
      <c r="F38" s="103"/>
    </row>
    <row r="39" spans="1:9" x14ac:dyDescent="0.25">
      <c r="A39" s="101"/>
      <c r="B39" s="102"/>
      <c r="C39" s="103"/>
      <c r="D39" s="103"/>
      <c r="E39" s="103"/>
      <c r="F39" s="103"/>
    </row>
    <row r="40" spans="1:9" ht="18.75" x14ac:dyDescent="0.3">
      <c r="A40" s="100" t="s">
        <v>77</v>
      </c>
      <c r="B40" s="102"/>
      <c r="C40" s="103"/>
      <c r="D40" s="103"/>
      <c r="E40" s="103"/>
      <c r="F40" s="103"/>
    </row>
    <row r="41" spans="1:9" x14ac:dyDescent="0.25">
      <c r="A41" s="101"/>
      <c r="B41" s="102"/>
      <c r="C41" s="103"/>
      <c r="D41" s="103"/>
      <c r="E41" s="103"/>
      <c r="F41" s="103"/>
    </row>
    <row r="42" spans="1:9" ht="15.75" thickBot="1" x14ac:dyDescent="0.3"/>
    <row r="43" spans="1:9" ht="15.75" x14ac:dyDescent="0.25">
      <c r="A43" s="105" t="s">
        <v>23</v>
      </c>
      <c r="B43" s="106"/>
      <c r="C43" s="106"/>
      <c r="D43" s="107">
        <v>5000</v>
      </c>
      <c r="H43">
        <f>5000-2500-487.74-4368.88</f>
        <v>-2356.62</v>
      </c>
    </row>
    <row r="44" spans="1:9" ht="15.75" x14ac:dyDescent="0.25">
      <c r="A44" s="108" t="s">
        <v>78</v>
      </c>
      <c r="B44" s="109">
        <v>70</v>
      </c>
      <c r="C44" s="110">
        <f>D43/140</f>
        <v>35.714285714285715</v>
      </c>
      <c r="D44" s="111">
        <f>-C44*B44</f>
        <v>-2500</v>
      </c>
    </row>
    <row r="45" spans="1:9" ht="15.75" x14ac:dyDescent="0.25">
      <c r="A45" s="108" t="s">
        <v>79</v>
      </c>
      <c r="B45" s="109"/>
      <c r="C45" s="109"/>
      <c r="D45" s="111">
        <f>-IJSS!C9</f>
        <v>-487.74</v>
      </c>
    </row>
    <row r="46" spans="1:9" ht="15.75" x14ac:dyDescent="0.25">
      <c r="A46" s="108" t="s">
        <v>80</v>
      </c>
      <c r="B46" s="109"/>
      <c r="C46" s="109"/>
      <c r="D46" s="111">
        <v>2356.62</v>
      </c>
      <c r="I46">
        <f>5000-2500-532.08-4015.88</f>
        <v>-2047.96</v>
      </c>
    </row>
    <row r="47" spans="1:9" ht="16.5" thickBot="1" x14ac:dyDescent="0.3">
      <c r="A47" s="112" t="s">
        <v>81</v>
      </c>
      <c r="B47" s="113"/>
      <c r="C47" s="113"/>
      <c r="D47" s="114">
        <f>SUM(D43:D46)</f>
        <v>4368.88</v>
      </c>
    </row>
    <row r="48" spans="1:9" x14ac:dyDescent="0.25">
      <c r="A48" s="4"/>
      <c r="B48" s="43"/>
      <c r="C48" s="43"/>
      <c r="D48" s="104"/>
      <c r="E48" s="41"/>
      <c r="F48" s="40"/>
    </row>
    <row r="49" spans="1:9" x14ac:dyDescent="0.25">
      <c r="A49" s="44" t="s">
        <v>24</v>
      </c>
      <c r="B49" s="45"/>
      <c r="C49" s="43"/>
      <c r="D49" s="43"/>
      <c r="E49" s="46">
        <v>4368.88</v>
      </c>
      <c r="F49" s="43"/>
    </row>
    <row r="50" spans="1:9" x14ac:dyDescent="0.25">
      <c r="A50" s="47"/>
      <c r="B50" s="48" t="s">
        <v>25</v>
      </c>
      <c r="C50" s="48" t="s">
        <v>26</v>
      </c>
      <c r="D50" s="48" t="s">
        <v>27</v>
      </c>
      <c r="E50" s="49" t="s">
        <v>28</v>
      </c>
      <c r="F50" s="49" t="s">
        <v>29</v>
      </c>
    </row>
    <row r="51" spans="1:9" x14ac:dyDescent="0.25">
      <c r="A51" s="47"/>
      <c r="B51" s="48"/>
      <c r="C51" s="48"/>
      <c r="D51" s="48"/>
      <c r="E51" s="49"/>
      <c r="F51" s="49"/>
    </row>
    <row r="52" spans="1:9" x14ac:dyDescent="0.25">
      <c r="A52" s="50" t="s">
        <v>32</v>
      </c>
      <c r="B52" s="51">
        <f>IF(E49&gt;3311,3311,E49)</f>
        <v>3311</v>
      </c>
      <c r="C52" s="52">
        <v>6.9000000000000006E-2</v>
      </c>
      <c r="D52" s="53">
        <f t="shared" ref="D52:D56" si="3">B52*C52</f>
        <v>228.45900000000003</v>
      </c>
      <c r="E52" s="54"/>
      <c r="F52" s="55"/>
    </row>
    <row r="53" spans="1:9" x14ac:dyDescent="0.25">
      <c r="A53" s="50" t="s">
        <v>34</v>
      </c>
      <c r="B53" s="51">
        <f>E49</f>
        <v>4368.88</v>
      </c>
      <c r="C53" s="52">
        <v>4.0000000000000001E-3</v>
      </c>
      <c r="D53" s="53">
        <f t="shared" si="3"/>
        <v>17.475519999999999</v>
      </c>
      <c r="E53" s="54"/>
      <c r="F53" s="55"/>
    </row>
    <row r="54" spans="1:9" x14ac:dyDescent="0.25">
      <c r="A54" s="50" t="s">
        <v>36</v>
      </c>
      <c r="B54" s="51">
        <f>E49*0.9825</f>
        <v>4292.4246000000003</v>
      </c>
      <c r="C54" s="52">
        <v>2.4E-2</v>
      </c>
      <c r="D54" s="53">
        <f t="shared" si="3"/>
        <v>103.01819040000001</v>
      </c>
      <c r="E54" s="59"/>
      <c r="F54" s="60"/>
    </row>
    <row r="55" spans="1:9" x14ac:dyDescent="0.25">
      <c r="A55" s="50" t="s">
        <v>37</v>
      </c>
      <c r="B55" s="51">
        <f>B54</f>
        <v>4292.4246000000003</v>
      </c>
      <c r="C55" s="52">
        <v>6.8000000000000005E-2</v>
      </c>
      <c r="D55" s="53">
        <f t="shared" si="3"/>
        <v>291.88487280000004</v>
      </c>
      <c r="E55" s="59"/>
      <c r="F55" s="60"/>
    </row>
    <row r="56" spans="1:9" x14ac:dyDescent="0.25">
      <c r="A56" s="50" t="s">
        <v>38</v>
      </c>
      <c r="B56" s="51">
        <f>B55</f>
        <v>4292.4246000000003</v>
      </c>
      <c r="C56" s="52">
        <v>5.0000000000000001E-3</v>
      </c>
      <c r="D56" s="53">
        <f t="shared" si="3"/>
        <v>21.462123000000002</v>
      </c>
      <c r="E56" s="59"/>
      <c r="F56" s="60"/>
    </row>
    <row r="57" spans="1:9" x14ac:dyDescent="0.25">
      <c r="A57" s="63"/>
      <c r="B57" s="51"/>
      <c r="C57" s="61"/>
      <c r="D57" s="53"/>
      <c r="E57" s="62"/>
      <c r="F57" s="64"/>
    </row>
    <row r="58" spans="1:9" x14ac:dyDescent="0.25">
      <c r="A58" s="65" t="s">
        <v>39</v>
      </c>
      <c r="B58" s="66"/>
      <c r="C58" s="57"/>
      <c r="D58" s="57"/>
      <c r="E58" s="59"/>
      <c r="F58" s="67"/>
    </row>
    <row r="59" spans="1:9" x14ac:dyDescent="0.25">
      <c r="A59" s="50" t="s">
        <v>40</v>
      </c>
      <c r="B59" s="51">
        <f>B53</f>
        <v>4368.88</v>
      </c>
      <c r="C59" s="52">
        <v>9.4999999999999998E-3</v>
      </c>
      <c r="D59" s="53">
        <f>C59*B59</f>
        <v>41.504359999999998</v>
      </c>
      <c r="E59" s="54"/>
      <c r="F59" s="55"/>
    </row>
    <row r="60" spans="1:9" x14ac:dyDescent="0.25">
      <c r="A60" s="65" t="s">
        <v>41</v>
      </c>
      <c r="B60" s="51"/>
      <c r="C60" s="57"/>
      <c r="D60" s="58"/>
      <c r="E60" s="59"/>
      <c r="F60" s="60"/>
    </row>
    <row r="61" spans="1:9" x14ac:dyDescent="0.25">
      <c r="A61" s="50" t="s">
        <v>53</v>
      </c>
      <c r="B61" s="51">
        <f>B52</f>
        <v>3311</v>
      </c>
      <c r="C61" s="52">
        <v>3.1E-2</v>
      </c>
      <c r="D61" s="53">
        <f t="shared" ref="D61:D67" si="4">B61*C61</f>
        <v>102.64100000000001</v>
      </c>
      <c r="E61" s="54"/>
      <c r="F61" s="55"/>
      <c r="I61" s="92">
        <v>3262.4265</v>
      </c>
    </row>
    <row r="62" spans="1:9" x14ac:dyDescent="0.25">
      <c r="A62" s="50" t="s">
        <v>42</v>
      </c>
      <c r="B62" s="51">
        <f>B52</f>
        <v>3311</v>
      </c>
      <c r="C62" s="52">
        <v>8.0000000000000002E-3</v>
      </c>
      <c r="D62" s="53">
        <f t="shared" si="4"/>
        <v>26.488</v>
      </c>
      <c r="E62" s="54"/>
      <c r="F62" s="55"/>
    </row>
    <row r="63" spans="1:9" x14ac:dyDescent="0.25">
      <c r="A63" s="50" t="s">
        <v>52</v>
      </c>
      <c r="B63" s="51">
        <f>B53-B52</f>
        <v>1057.8800000000001</v>
      </c>
      <c r="C63" s="52">
        <v>7.8E-2</v>
      </c>
      <c r="D63" s="53">
        <f t="shared" si="4"/>
        <v>82.514640000000014</v>
      </c>
      <c r="E63" s="54"/>
      <c r="F63" s="55"/>
    </row>
    <row r="64" spans="1:9" x14ac:dyDescent="0.25">
      <c r="A64" s="50" t="s">
        <v>51</v>
      </c>
      <c r="B64" s="51">
        <f>B63</f>
        <v>1057.8800000000001</v>
      </c>
      <c r="C64" s="52">
        <v>8.9999999999999993E-3</v>
      </c>
      <c r="D64" s="53">
        <f t="shared" si="4"/>
        <v>9.5209200000000003</v>
      </c>
      <c r="E64" s="54"/>
      <c r="F64" s="55"/>
    </row>
    <row r="65" spans="1:6" x14ac:dyDescent="0.25">
      <c r="A65" s="50" t="s">
        <v>43</v>
      </c>
      <c r="B65" s="51">
        <f>B53</f>
        <v>4368.88</v>
      </c>
      <c r="C65" s="74">
        <v>2.4000000000000001E-4</v>
      </c>
      <c r="D65" s="53">
        <f t="shared" si="4"/>
        <v>1.0485312</v>
      </c>
      <c r="E65" s="74"/>
      <c r="F65" s="55"/>
    </row>
    <row r="66" spans="1:6" x14ac:dyDescent="0.25">
      <c r="A66" s="50" t="s">
        <v>44</v>
      </c>
      <c r="B66" s="51">
        <f>B65</f>
        <v>4368.88</v>
      </c>
      <c r="C66" s="74">
        <v>1.2999999999999999E-3</v>
      </c>
      <c r="D66" s="53">
        <f t="shared" si="4"/>
        <v>5.6795439999999999</v>
      </c>
      <c r="E66" s="74"/>
      <c r="F66" s="55"/>
    </row>
    <row r="67" spans="1:6" x14ac:dyDescent="0.25">
      <c r="A67" s="50" t="s">
        <v>50</v>
      </c>
      <c r="B67" s="51">
        <f>+B53</f>
        <v>4368.88</v>
      </c>
      <c r="C67" s="74">
        <v>2.5000000000000001E-2</v>
      </c>
      <c r="D67" s="53">
        <f t="shared" si="4"/>
        <v>109.22200000000001</v>
      </c>
      <c r="E67" s="84">
        <v>0.05</v>
      </c>
      <c r="F67" s="75">
        <f>B67*E67</f>
        <v>218.44400000000002</v>
      </c>
    </row>
    <row r="68" spans="1:6" x14ac:dyDescent="0.25">
      <c r="A68" s="50"/>
      <c r="B68" s="51"/>
      <c r="C68" s="57"/>
      <c r="D68" s="51"/>
      <c r="E68" s="76"/>
      <c r="F68" s="75"/>
    </row>
    <row r="69" spans="1:6" x14ac:dyDescent="0.25">
      <c r="A69" s="50"/>
      <c r="B69" s="51"/>
      <c r="C69" s="52"/>
      <c r="D69" s="51"/>
      <c r="E69" s="77"/>
      <c r="F69" s="75"/>
    </row>
    <row r="70" spans="1:6" x14ac:dyDescent="0.25">
      <c r="A70" s="50" t="s">
        <v>45</v>
      </c>
      <c r="B70" s="51">
        <f>F67</f>
        <v>218.44400000000002</v>
      </c>
      <c r="C70" s="52">
        <v>6.8000000000000005E-2</v>
      </c>
      <c r="D70" s="51">
        <f>C70*B70</f>
        <v>14.854192000000003</v>
      </c>
      <c r="E70" s="72"/>
      <c r="F70" s="72"/>
    </row>
    <row r="71" spans="1:6" x14ac:dyDescent="0.25">
      <c r="A71" s="50" t="s">
        <v>46</v>
      </c>
      <c r="B71" s="51">
        <f>B70</f>
        <v>218.44400000000002</v>
      </c>
      <c r="C71" s="52">
        <v>2.4E-2</v>
      </c>
      <c r="D71" s="51">
        <f t="shared" ref="D71:D72" si="5">C71*B71</f>
        <v>5.2426560000000002</v>
      </c>
      <c r="E71" s="72"/>
      <c r="F71" s="72"/>
    </row>
    <row r="72" spans="1:6" x14ac:dyDescent="0.25">
      <c r="A72" s="50" t="s">
        <v>47</v>
      </c>
      <c r="B72" s="51">
        <f>B71</f>
        <v>218.44400000000002</v>
      </c>
      <c r="C72" s="52">
        <v>5.0000000000000001E-3</v>
      </c>
      <c r="D72" s="51">
        <f t="shared" si="5"/>
        <v>1.0922200000000002</v>
      </c>
      <c r="E72" s="72"/>
      <c r="F72" s="72"/>
    </row>
    <row r="73" spans="1:6" x14ac:dyDescent="0.25">
      <c r="A73" s="50"/>
      <c r="B73" s="51"/>
      <c r="C73" s="52"/>
      <c r="D73" s="51"/>
      <c r="E73" s="72"/>
      <c r="F73" s="72"/>
    </row>
    <row r="74" spans="1:6" x14ac:dyDescent="0.25">
      <c r="A74" s="78" t="s">
        <v>48</v>
      </c>
      <c r="B74" s="79"/>
      <c r="C74" s="65"/>
      <c r="D74" s="69">
        <f>SUM(D52:D73)</f>
        <v>1062.1077693999998</v>
      </c>
      <c r="E74" s="80"/>
      <c r="F74" s="69">
        <f>SUM(F52:F73)</f>
        <v>218.44400000000002</v>
      </c>
    </row>
    <row r="75" spans="1:6" ht="15.75" thickBot="1" x14ac:dyDescent="0.3">
      <c r="A75" s="115" t="s">
        <v>83</v>
      </c>
      <c r="B75" s="116"/>
      <c r="C75" s="117"/>
      <c r="D75" s="118">
        <f>E49-D74</f>
        <v>3306.7722306000005</v>
      </c>
      <c r="E75" s="81"/>
      <c r="F75" s="72"/>
    </row>
    <row r="76" spans="1:6" x14ac:dyDescent="0.25">
      <c r="A76" s="119" t="s">
        <v>82</v>
      </c>
      <c r="B76" s="120"/>
      <c r="C76" s="120"/>
      <c r="D76" s="121">
        <f>IJSS!C11</f>
        <v>455.06142</v>
      </c>
    </row>
    <row r="77" spans="1:6" ht="15.75" thickBot="1" x14ac:dyDescent="0.3">
      <c r="A77" s="122" t="s">
        <v>49</v>
      </c>
      <c r="B77" s="123"/>
      <c r="C77" s="123"/>
      <c r="D77" s="124">
        <f>D76+D75</f>
        <v>3761.8336506000005</v>
      </c>
    </row>
    <row r="78" spans="1:6" ht="15.75" thickBot="1" x14ac:dyDescent="0.3"/>
    <row r="79" spans="1:6" x14ac:dyDescent="0.25">
      <c r="A79" s="125" t="s">
        <v>73</v>
      </c>
      <c r="B79" s="94"/>
      <c r="C79" s="94"/>
      <c r="D79" s="126">
        <f>'SALAIRE HABITUEL'!D56</f>
        <v>3794.5065</v>
      </c>
    </row>
    <row r="80" spans="1:6" x14ac:dyDescent="0.25">
      <c r="A80" s="127" t="s">
        <v>84</v>
      </c>
      <c r="B80" s="95"/>
      <c r="C80" s="95"/>
      <c r="D80" s="128">
        <f>+D79-D77</f>
        <v>32.67284939999945</v>
      </c>
    </row>
    <row r="81" spans="1:4" ht="15.75" thickBot="1" x14ac:dyDescent="0.3">
      <c r="A81" s="129" t="s">
        <v>71</v>
      </c>
      <c r="B81" s="96"/>
      <c r="C81" s="96"/>
      <c r="D81" s="97">
        <f>IJSS!C10</f>
        <v>32.678580000000004</v>
      </c>
    </row>
  </sheetData>
  <mergeCells count="12">
    <mergeCell ref="A50:A51"/>
    <mergeCell ref="B50:B51"/>
    <mergeCell ref="C50:C51"/>
    <mergeCell ref="D50:D51"/>
    <mergeCell ref="E50:E51"/>
    <mergeCell ref="F50:F51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C77C-2419-4094-9635-08DC31C5FA1E}">
  <dimension ref="A2:J87"/>
  <sheetViews>
    <sheetView topLeftCell="A70" workbookViewId="0">
      <selection activeCell="D87" sqref="D87"/>
    </sheetView>
  </sheetViews>
  <sheetFormatPr baseColWidth="10" defaultRowHeight="15" x14ac:dyDescent="0.25"/>
  <cols>
    <col min="1" max="1" width="35.85546875" bestFit="1" customWidth="1"/>
    <col min="2" max="2" width="15.85546875" bestFit="1" customWidth="1"/>
    <col min="3" max="3" width="11.85546875" bestFit="1" customWidth="1"/>
    <col min="4" max="5" width="13.7109375" bestFit="1" customWidth="1"/>
    <col min="6" max="6" width="11.7109375" bestFit="1" customWidth="1"/>
    <col min="8" max="8" width="23.5703125" bestFit="1" customWidth="1"/>
    <col min="9" max="9" width="16.140625" customWidth="1"/>
  </cols>
  <sheetData>
    <row r="2" spans="1:9" x14ac:dyDescent="0.25">
      <c r="A2" t="s">
        <v>73</v>
      </c>
      <c r="D2" s="93">
        <f>'SALAIRE HABITUEL'!D56</f>
        <v>3794.5065</v>
      </c>
    </row>
    <row r="3" spans="1:9" x14ac:dyDescent="0.25">
      <c r="A3" t="s">
        <v>74</v>
      </c>
      <c r="D3" s="93">
        <f>IJSS!C9</f>
        <v>487.74</v>
      </c>
    </row>
    <row r="4" spans="1:9" x14ac:dyDescent="0.25">
      <c r="A4" t="s">
        <v>93</v>
      </c>
      <c r="D4" s="93">
        <f>+D2-D3</f>
        <v>3306.7664999999997</v>
      </c>
    </row>
    <row r="5" spans="1:9" x14ac:dyDescent="0.25">
      <c r="D5" s="93"/>
    </row>
    <row r="6" spans="1:9" x14ac:dyDescent="0.25">
      <c r="A6" s="101" t="s">
        <v>94</v>
      </c>
      <c r="B6" s="102"/>
      <c r="C6" s="103"/>
      <c r="D6" s="130"/>
    </row>
    <row r="7" spans="1:9" x14ac:dyDescent="0.25">
      <c r="A7" s="101" t="s">
        <v>95</v>
      </c>
      <c r="B7" s="149" t="s">
        <v>96</v>
      </c>
      <c r="D7" s="149">
        <f>D2/28*3</f>
        <v>406.55426785714292</v>
      </c>
    </row>
    <row r="8" spans="1:9" x14ac:dyDescent="0.25">
      <c r="A8" s="101" t="s">
        <v>97</v>
      </c>
      <c r="B8" s="102"/>
      <c r="C8" s="103"/>
      <c r="D8" s="130">
        <f>D4-D7</f>
        <v>2900.2122321428569</v>
      </c>
    </row>
    <row r="9" spans="1:9" x14ac:dyDescent="0.25">
      <c r="D9" s="93"/>
    </row>
    <row r="10" spans="1:9" x14ac:dyDescent="0.25">
      <c r="I10" s="148"/>
    </row>
    <row r="11" spans="1:9" x14ac:dyDescent="0.25">
      <c r="A11" s="99" t="s">
        <v>76</v>
      </c>
    </row>
    <row r="13" spans="1:9" ht="15.75" thickBot="1" x14ac:dyDescent="0.3"/>
    <row r="14" spans="1:9" x14ac:dyDescent="0.25">
      <c r="A14" s="4"/>
      <c r="B14" s="40"/>
      <c r="C14" s="40"/>
      <c r="D14" s="86"/>
      <c r="E14" s="41"/>
      <c r="F14" s="40"/>
    </row>
    <row r="15" spans="1:9" x14ac:dyDescent="0.25">
      <c r="A15" s="44" t="s">
        <v>24</v>
      </c>
      <c r="B15" s="45"/>
      <c r="C15" s="43"/>
      <c r="D15" s="43"/>
      <c r="E15" s="46">
        <v>3842.7952627271347</v>
      </c>
      <c r="F15" s="43"/>
    </row>
    <row r="16" spans="1:9" x14ac:dyDescent="0.25">
      <c r="A16" s="47"/>
      <c r="B16" s="48" t="s">
        <v>25</v>
      </c>
      <c r="C16" s="48" t="s">
        <v>26</v>
      </c>
      <c r="D16" s="48" t="s">
        <v>27</v>
      </c>
      <c r="E16" s="49" t="s">
        <v>28</v>
      </c>
      <c r="F16" s="49" t="s">
        <v>29</v>
      </c>
    </row>
    <row r="17" spans="1:9" x14ac:dyDescent="0.25">
      <c r="A17" s="47"/>
      <c r="B17" s="48"/>
      <c r="C17" s="48"/>
      <c r="D17" s="48"/>
      <c r="E17" s="49"/>
      <c r="F17" s="49"/>
    </row>
    <row r="18" spans="1:9" x14ac:dyDescent="0.25">
      <c r="A18" s="50" t="s">
        <v>32</v>
      </c>
      <c r="B18" s="51">
        <f>IF(E15&gt;3311,3311,E15)</f>
        <v>3311</v>
      </c>
      <c r="C18" s="52">
        <v>6.9000000000000006E-2</v>
      </c>
      <c r="D18" s="53">
        <f t="shared" ref="D18:D22" si="0">B18*C18</f>
        <v>228.45900000000003</v>
      </c>
      <c r="E18" s="54"/>
      <c r="F18" s="55"/>
    </row>
    <row r="19" spans="1:9" x14ac:dyDescent="0.25">
      <c r="A19" s="50" t="s">
        <v>34</v>
      </c>
      <c r="B19" s="51">
        <f>E15</f>
        <v>3842.7952627271347</v>
      </c>
      <c r="C19" s="52">
        <v>4.0000000000000001E-3</v>
      </c>
      <c r="D19" s="53">
        <f t="shared" si="0"/>
        <v>15.37118105090854</v>
      </c>
      <c r="E19" s="54"/>
      <c r="F19" s="55"/>
    </row>
    <row r="20" spans="1:9" x14ac:dyDescent="0.25">
      <c r="A20" s="50" t="s">
        <v>36</v>
      </c>
      <c r="B20" s="51">
        <f>E15*0.9825</f>
        <v>3775.5463456294101</v>
      </c>
      <c r="C20" s="52">
        <v>2.4E-2</v>
      </c>
      <c r="D20" s="53">
        <f t="shared" si="0"/>
        <v>90.61311229510585</v>
      </c>
      <c r="E20" s="59"/>
      <c r="F20" s="60"/>
    </row>
    <row r="21" spans="1:9" x14ac:dyDescent="0.25">
      <c r="A21" s="50" t="s">
        <v>37</v>
      </c>
      <c r="B21" s="51">
        <f>B20</f>
        <v>3775.5463456294101</v>
      </c>
      <c r="C21" s="52">
        <v>6.8000000000000005E-2</v>
      </c>
      <c r="D21" s="53">
        <f t="shared" si="0"/>
        <v>256.73715150279992</v>
      </c>
      <c r="E21" s="59"/>
      <c r="F21" s="60"/>
    </row>
    <row r="22" spans="1:9" x14ac:dyDescent="0.25">
      <c r="A22" s="50" t="s">
        <v>38</v>
      </c>
      <c r="B22" s="51">
        <f>B21</f>
        <v>3775.5463456294101</v>
      </c>
      <c r="C22" s="52">
        <v>5.0000000000000001E-3</v>
      </c>
      <c r="D22" s="53">
        <f t="shared" si="0"/>
        <v>18.877731728147051</v>
      </c>
      <c r="E22" s="59"/>
      <c r="F22" s="60"/>
    </row>
    <row r="23" spans="1:9" x14ac:dyDescent="0.25">
      <c r="A23" s="63"/>
      <c r="B23" s="51"/>
      <c r="C23" s="61"/>
      <c r="D23" s="53"/>
      <c r="E23" s="62"/>
      <c r="F23" s="64"/>
      <c r="H23">
        <v>2900.21</v>
      </c>
    </row>
    <row r="24" spans="1:9" x14ac:dyDescent="0.25">
      <c r="A24" s="65" t="s">
        <v>39</v>
      </c>
      <c r="B24" s="66"/>
      <c r="C24" s="57"/>
      <c r="D24" s="57"/>
      <c r="E24" s="59"/>
      <c r="F24" s="67"/>
    </row>
    <row r="25" spans="1:9" x14ac:dyDescent="0.25">
      <c r="A25" s="50" t="s">
        <v>40</v>
      </c>
      <c r="B25" s="51">
        <f>B19</f>
        <v>3842.7952627271347</v>
      </c>
      <c r="C25" s="52">
        <v>9.4999999999999998E-3</v>
      </c>
      <c r="D25" s="53">
        <f>C25*B25</f>
        <v>36.506554995907777</v>
      </c>
      <c r="E25" s="54"/>
      <c r="F25" s="55"/>
    </row>
    <row r="26" spans="1:9" x14ac:dyDescent="0.25">
      <c r="A26" s="65" t="s">
        <v>41</v>
      </c>
      <c r="B26" s="51"/>
      <c r="C26" s="57"/>
      <c r="D26" s="58"/>
      <c r="E26" s="59"/>
      <c r="F26" s="60"/>
    </row>
    <row r="27" spans="1:9" x14ac:dyDescent="0.25">
      <c r="A27" s="50" t="s">
        <v>53</v>
      </c>
      <c r="B27" s="51">
        <f>B18</f>
        <v>3311</v>
      </c>
      <c r="C27" s="52">
        <v>3.1E-2</v>
      </c>
      <c r="D27" s="53">
        <f t="shared" ref="D27:D33" si="1">B27*C27</f>
        <v>102.64100000000001</v>
      </c>
      <c r="E27" s="54"/>
      <c r="F27" s="55"/>
      <c r="I27" s="92"/>
    </row>
    <row r="28" spans="1:9" x14ac:dyDescent="0.25">
      <c r="A28" s="50" t="s">
        <v>42</v>
      </c>
      <c r="B28" s="51">
        <f>B18</f>
        <v>3311</v>
      </c>
      <c r="C28" s="52">
        <v>8.0000000000000002E-3</v>
      </c>
      <c r="D28" s="53">
        <f t="shared" si="1"/>
        <v>26.488</v>
      </c>
      <c r="E28" s="54"/>
      <c r="F28" s="55"/>
    </row>
    <row r="29" spans="1:9" x14ac:dyDescent="0.25">
      <c r="A29" s="50" t="s">
        <v>52</v>
      </c>
      <c r="B29" s="51">
        <f>B19-B18</f>
        <v>531.79526272713474</v>
      </c>
      <c r="C29" s="52">
        <v>7.8E-2</v>
      </c>
      <c r="D29" s="53">
        <f t="shared" si="1"/>
        <v>41.480030492716509</v>
      </c>
      <c r="E29" s="54"/>
      <c r="F29" s="55"/>
    </row>
    <row r="30" spans="1:9" x14ac:dyDescent="0.25">
      <c r="A30" s="50" t="s">
        <v>51</v>
      </c>
      <c r="B30" s="51">
        <f>B29</f>
        <v>531.79526272713474</v>
      </c>
      <c r="C30" s="52">
        <v>8.9999999999999993E-3</v>
      </c>
      <c r="D30" s="53">
        <f t="shared" si="1"/>
        <v>4.7861573645442119</v>
      </c>
      <c r="E30" s="54"/>
      <c r="F30" s="55"/>
    </row>
    <row r="31" spans="1:9" x14ac:dyDescent="0.25">
      <c r="A31" s="50" t="s">
        <v>43</v>
      </c>
      <c r="B31" s="51">
        <f>B19</f>
        <v>3842.7952627271347</v>
      </c>
      <c r="C31" s="74">
        <v>2.4000000000000001E-4</v>
      </c>
      <c r="D31" s="53">
        <f t="shared" si="1"/>
        <v>0.92227086305451234</v>
      </c>
      <c r="E31" s="74"/>
      <c r="F31" s="55"/>
    </row>
    <row r="32" spans="1:9" x14ac:dyDescent="0.25">
      <c r="A32" s="50" t="s">
        <v>44</v>
      </c>
      <c r="B32" s="51">
        <f>B31</f>
        <v>3842.7952627271347</v>
      </c>
      <c r="C32" s="74">
        <v>1.2999999999999999E-3</v>
      </c>
      <c r="D32" s="53">
        <f t="shared" si="1"/>
        <v>4.995633841545275</v>
      </c>
      <c r="E32" s="74"/>
      <c r="F32" s="55"/>
    </row>
    <row r="33" spans="1:7" x14ac:dyDescent="0.25">
      <c r="A33" s="50" t="s">
        <v>50</v>
      </c>
      <c r="B33" s="51">
        <f>+B19</f>
        <v>3842.7952627271347</v>
      </c>
      <c r="C33" s="74">
        <v>2.5000000000000001E-2</v>
      </c>
      <c r="D33" s="53">
        <f t="shared" si="1"/>
        <v>96.069881568178374</v>
      </c>
      <c r="E33" s="84">
        <v>0.05</v>
      </c>
      <c r="F33" s="75">
        <f>B33*E33</f>
        <v>192.13976313635675</v>
      </c>
    </row>
    <row r="34" spans="1:7" x14ac:dyDescent="0.25">
      <c r="A34" s="50"/>
      <c r="B34" s="51"/>
      <c r="C34" s="57"/>
      <c r="D34" s="51"/>
      <c r="E34" s="76"/>
      <c r="F34" s="75"/>
    </row>
    <row r="35" spans="1:7" x14ac:dyDescent="0.25">
      <c r="A35" s="50"/>
      <c r="B35" s="51"/>
      <c r="C35" s="52"/>
      <c r="D35" s="51"/>
      <c r="E35" s="77"/>
      <c r="F35" s="75"/>
    </row>
    <row r="36" spans="1:7" x14ac:dyDescent="0.25">
      <c r="A36" s="50" t="s">
        <v>45</v>
      </c>
      <c r="B36" s="51">
        <f>F33</f>
        <v>192.13976313635675</v>
      </c>
      <c r="C36" s="52">
        <v>6.8000000000000005E-2</v>
      </c>
      <c r="D36" s="51">
        <f>C36*B36</f>
        <v>13.065503893272259</v>
      </c>
      <c r="E36" s="72"/>
      <c r="F36" s="72"/>
    </row>
    <row r="37" spans="1:7" x14ac:dyDescent="0.25">
      <c r="A37" s="50" t="s">
        <v>46</v>
      </c>
      <c r="B37" s="51">
        <f>B36</f>
        <v>192.13976313635675</v>
      </c>
      <c r="C37" s="52">
        <v>2.4E-2</v>
      </c>
      <c r="D37" s="51">
        <f t="shared" ref="D37:D38" si="2">C37*B37</f>
        <v>4.6113543152725622</v>
      </c>
      <c r="E37" s="72"/>
      <c r="F37" s="72"/>
    </row>
    <row r="38" spans="1:7" x14ac:dyDescent="0.25">
      <c r="A38" s="50" t="s">
        <v>47</v>
      </c>
      <c r="B38" s="51">
        <f>B37</f>
        <v>192.13976313635675</v>
      </c>
      <c r="C38" s="52">
        <v>5.0000000000000001E-3</v>
      </c>
      <c r="D38" s="51">
        <f t="shared" si="2"/>
        <v>0.96069881568178372</v>
      </c>
      <c r="E38" s="72"/>
      <c r="F38" s="72"/>
    </row>
    <row r="39" spans="1:7" x14ac:dyDescent="0.25">
      <c r="A39" s="50"/>
      <c r="B39" s="51"/>
      <c r="C39" s="52"/>
      <c r="D39" s="51"/>
      <c r="E39" s="72"/>
      <c r="F39" s="72"/>
    </row>
    <row r="40" spans="1:7" x14ac:dyDescent="0.25">
      <c r="A40" s="78" t="s">
        <v>48</v>
      </c>
      <c r="B40" s="79"/>
      <c r="C40" s="65"/>
      <c r="D40" s="69">
        <f>SUM(D18:D39)</f>
        <v>942.58526272713493</v>
      </c>
      <c r="E40" s="80"/>
      <c r="F40" s="69">
        <f>SUM(F18:F39)</f>
        <v>192.13976313635675</v>
      </c>
    </row>
    <row r="41" spans="1:7" x14ac:dyDescent="0.25">
      <c r="A41" s="78" t="s">
        <v>49</v>
      </c>
      <c r="B41" s="79"/>
      <c r="C41" s="65"/>
      <c r="D41" s="98">
        <f>E15-D40</f>
        <v>2900.21</v>
      </c>
      <c r="E41" s="81"/>
      <c r="F41" s="72"/>
    </row>
    <row r="42" spans="1:7" x14ac:dyDescent="0.25">
      <c r="A42" s="101"/>
      <c r="B42" s="102"/>
      <c r="C42" s="103"/>
      <c r="D42" s="103"/>
      <c r="E42" s="103"/>
      <c r="F42" s="103"/>
      <c r="G42" s="103"/>
    </row>
    <row r="43" spans="1:7" x14ac:dyDescent="0.25">
      <c r="E43" s="103"/>
      <c r="F43" s="103"/>
    </row>
    <row r="44" spans="1:7" ht="18.75" x14ac:dyDescent="0.3">
      <c r="A44" s="100" t="s">
        <v>77</v>
      </c>
      <c r="B44" s="102"/>
      <c r="C44" s="103"/>
      <c r="D44" s="103"/>
      <c r="E44" s="103"/>
      <c r="F44" s="103"/>
    </row>
    <row r="45" spans="1:7" x14ac:dyDescent="0.25">
      <c r="A45" s="101"/>
      <c r="B45" s="102"/>
      <c r="C45" s="103"/>
      <c r="D45" s="103"/>
      <c r="E45" s="103"/>
      <c r="F45" s="103"/>
    </row>
    <row r="46" spans="1:7" ht="15.75" thickBot="1" x14ac:dyDescent="0.3"/>
    <row r="47" spans="1:7" ht="15.75" x14ac:dyDescent="0.25">
      <c r="A47" s="105" t="s">
        <v>23</v>
      </c>
      <c r="B47" s="106"/>
      <c r="C47" s="106"/>
      <c r="D47" s="107">
        <v>5000</v>
      </c>
    </row>
    <row r="48" spans="1:7" ht="15.75" x14ac:dyDescent="0.25">
      <c r="A48" s="108" t="s">
        <v>78</v>
      </c>
      <c r="B48" s="109">
        <v>70</v>
      </c>
      <c r="C48" s="110">
        <f>D47/140</f>
        <v>35.714285714285715</v>
      </c>
      <c r="D48" s="111">
        <f>-C48*B48</f>
        <v>-2500</v>
      </c>
    </row>
    <row r="49" spans="1:10" ht="15.75" x14ac:dyDescent="0.25">
      <c r="A49" s="108" t="s">
        <v>79</v>
      </c>
      <c r="B49" s="109"/>
      <c r="C49" s="109"/>
      <c r="D49" s="111">
        <f>-IJSS!C9</f>
        <v>-487.74</v>
      </c>
    </row>
    <row r="50" spans="1:10" ht="15.75" x14ac:dyDescent="0.25">
      <c r="A50" s="108" t="s">
        <v>80</v>
      </c>
      <c r="B50" s="109"/>
      <c r="C50" s="109"/>
      <c r="D50" s="111">
        <v>1830.55</v>
      </c>
      <c r="H50" t="s">
        <v>98</v>
      </c>
      <c r="I50">
        <f>5000-2500-487.74-3842.81</f>
        <v>-1830.55</v>
      </c>
    </row>
    <row r="51" spans="1:10" ht="16.5" thickBot="1" x14ac:dyDescent="0.3">
      <c r="A51" s="112" t="s">
        <v>81</v>
      </c>
      <c r="B51" s="113"/>
      <c r="C51" s="113"/>
      <c r="D51" s="114">
        <f>SUM(D47:D50)</f>
        <v>3842.81</v>
      </c>
    </row>
    <row r="52" spans="1:10" ht="22.5" x14ac:dyDescent="0.25">
      <c r="A52" s="4"/>
      <c r="B52" s="43"/>
      <c r="C52" s="43"/>
      <c r="D52" s="104"/>
      <c r="E52" s="41"/>
      <c r="F52" s="40"/>
      <c r="H52" s="91" t="s">
        <v>65</v>
      </c>
      <c r="I52" s="82" t="s">
        <v>85</v>
      </c>
      <c r="J52" s="82"/>
    </row>
    <row r="53" spans="1:10" x14ac:dyDescent="0.25">
      <c r="A53" s="44" t="s">
        <v>24</v>
      </c>
      <c r="B53" s="45"/>
      <c r="C53" s="43"/>
      <c r="D53" s="43"/>
      <c r="E53" s="46">
        <f>D51</f>
        <v>3842.81</v>
      </c>
      <c r="F53" s="43"/>
      <c r="H53" s="82"/>
      <c r="I53" s="87"/>
      <c r="J53" s="82"/>
    </row>
    <row r="54" spans="1:10" x14ac:dyDescent="0.25">
      <c r="A54" s="47"/>
      <c r="B54" s="48" t="s">
        <v>25</v>
      </c>
      <c r="C54" s="48" t="s">
        <v>26</v>
      </c>
      <c r="D54" s="48" t="s">
        <v>27</v>
      </c>
      <c r="E54" s="49" t="s">
        <v>28</v>
      </c>
      <c r="F54" s="49" t="s">
        <v>29</v>
      </c>
      <c r="H54" s="82"/>
      <c r="I54" s="82"/>
      <c r="J54" s="82"/>
    </row>
    <row r="55" spans="1:10" x14ac:dyDescent="0.25">
      <c r="A55" s="47"/>
      <c r="B55" s="48"/>
      <c r="C55" s="48"/>
      <c r="D55" s="48"/>
      <c r="E55" s="49"/>
      <c r="F55" s="49"/>
      <c r="H55" s="82"/>
      <c r="I55" s="88"/>
      <c r="J55" s="88"/>
    </row>
    <row r="56" spans="1:10" x14ac:dyDescent="0.25">
      <c r="A56" s="50" t="s">
        <v>32</v>
      </c>
      <c r="B56" s="51">
        <f>IF(E53&gt;3311,3311,E53)</f>
        <v>3311</v>
      </c>
      <c r="C56" s="52">
        <v>6.9000000000000006E-2</v>
      </c>
      <c r="D56" s="53">
        <f t="shared" ref="D56:D60" si="3">B56*C56</f>
        <v>228.45900000000003</v>
      </c>
      <c r="E56" s="54"/>
      <c r="F56" s="55"/>
      <c r="H56" s="82"/>
      <c r="I56" s="89">
        <f>C56+C57+(9.7/100*0.9825)+C63+C65+C66+C69+C70+C71+(5/100*9.7/100)</f>
        <v>0.24819250000000001</v>
      </c>
      <c r="J56" s="82"/>
    </row>
    <row r="57" spans="1:10" x14ac:dyDescent="0.25">
      <c r="A57" s="50" t="s">
        <v>34</v>
      </c>
      <c r="B57" s="51">
        <f>E53</f>
        <v>3842.81</v>
      </c>
      <c r="C57" s="52">
        <v>4.0000000000000001E-3</v>
      </c>
      <c r="D57" s="53">
        <f t="shared" si="3"/>
        <v>15.37124</v>
      </c>
      <c r="E57" s="54"/>
      <c r="F57" s="55"/>
      <c r="H57" s="82">
        <v>3842.8</v>
      </c>
      <c r="I57" s="89">
        <f>C67+C68+C57+(9.7/100*0.9825)+C63+C69+C70+C71+(5/100*9.7/100)</f>
        <v>0.22719249999999996</v>
      </c>
      <c r="J57" s="4"/>
    </row>
    <row r="58" spans="1:10" x14ac:dyDescent="0.25">
      <c r="A58" s="50" t="s">
        <v>36</v>
      </c>
      <c r="B58" s="51">
        <f>E53*0.9825</f>
        <v>3775.560825</v>
      </c>
      <c r="C58" s="52">
        <v>2.4E-2</v>
      </c>
      <c r="D58" s="53">
        <f t="shared" si="3"/>
        <v>90.613459800000001</v>
      </c>
      <c r="E58" s="59"/>
      <c r="F58" s="60"/>
    </row>
    <row r="59" spans="1:10" x14ac:dyDescent="0.25">
      <c r="A59" s="50" t="s">
        <v>37</v>
      </c>
      <c r="B59" s="51">
        <f>B58</f>
        <v>3775.560825</v>
      </c>
      <c r="C59" s="52">
        <v>6.8000000000000005E-2</v>
      </c>
      <c r="D59" s="53">
        <f t="shared" si="3"/>
        <v>256.73813610000002</v>
      </c>
      <c r="E59" s="59"/>
      <c r="F59" s="60"/>
    </row>
    <row r="60" spans="1:10" x14ac:dyDescent="0.25">
      <c r="A60" s="50" t="s">
        <v>38</v>
      </c>
      <c r="B60" s="51">
        <f>B59</f>
        <v>3775.560825</v>
      </c>
      <c r="C60" s="52">
        <v>5.0000000000000001E-3</v>
      </c>
      <c r="D60" s="53">
        <f t="shared" si="3"/>
        <v>18.877804125000001</v>
      </c>
      <c r="E60" s="59"/>
      <c r="F60" s="60"/>
      <c r="I60" t="b">
        <f>'PREMIER CAS'!H16=3306.7</f>
        <v>0</v>
      </c>
    </row>
    <row r="61" spans="1:10" x14ac:dyDescent="0.25">
      <c r="A61" s="63"/>
      <c r="B61" s="51"/>
      <c r="C61" s="61"/>
      <c r="D61" s="53"/>
      <c r="E61" s="62"/>
      <c r="F61" s="64"/>
    </row>
    <row r="62" spans="1:10" x14ac:dyDescent="0.25">
      <c r="A62" s="65" t="s">
        <v>39</v>
      </c>
      <c r="B62" s="66"/>
      <c r="C62" s="57"/>
      <c r="D62" s="57"/>
      <c r="E62" s="59"/>
      <c r="F62" s="67"/>
    </row>
    <row r="63" spans="1:10" x14ac:dyDescent="0.25">
      <c r="A63" s="50" t="s">
        <v>40</v>
      </c>
      <c r="B63" s="51">
        <f>B57</f>
        <v>3842.81</v>
      </c>
      <c r="C63" s="52">
        <v>9.4999999999999998E-3</v>
      </c>
      <c r="D63" s="53">
        <f>C63*B63</f>
        <v>36.506695000000001</v>
      </c>
      <c r="E63" s="54"/>
      <c r="F63" s="55"/>
    </row>
    <row r="64" spans="1:10" x14ac:dyDescent="0.25">
      <c r="A64" s="65" t="s">
        <v>41</v>
      </c>
      <c r="B64" s="51"/>
      <c r="C64" s="57"/>
      <c r="D64" s="58"/>
      <c r="E64" s="59"/>
      <c r="F64" s="60"/>
    </row>
    <row r="65" spans="1:9" x14ac:dyDescent="0.25">
      <c r="A65" s="50" t="s">
        <v>53</v>
      </c>
      <c r="B65" s="51">
        <f>B56</f>
        <v>3311</v>
      </c>
      <c r="C65" s="52">
        <v>3.1E-2</v>
      </c>
      <c r="D65" s="53">
        <f t="shared" ref="D65:D71" si="4">B65*C65</f>
        <v>102.64100000000001</v>
      </c>
      <c r="E65" s="54"/>
      <c r="F65" s="55"/>
      <c r="I65" s="92">
        <v>3262.4265</v>
      </c>
    </row>
    <row r="66" spans="1:9" x14ac:dyDescent="0.25">
      <c r="A66" s="50" t="s">
        <v>42</v>
      </c>
      <c r="B66" s="51">
        <f>B56</f>
        <v>3311</v>
      </c>
      <c r="C66" s="52">
        <v>8.0000000000000002E-3</v>
      </c>
      <c r="D66" s="53">
        <f t="shared" si="4"/>
        <v>26.488</v>
      </c>
      <c r="E66" s="54"/>
      <c r="F66" s="55"/>
    </row>
    <row r="67" spans="1:9" x14ac:dyDescent="0.25">
      <c r="A67" s="50" t="s">
        <v>52</v>
      </c>
      <c r="B67" s="51">
        <f>B57-B56</f>
        <v>531.80999999999995</v>
      </c>
      <c r="C67" s="52">
        <v>7.8E-2</v>
      </c>
      <c r="D67" s="53">
        <f t="shared" si="4"/>
        <v>41.481179999999995</v>
      </c>
      <c r="E67" s="54"/>
      <c r="F67" s="55"/>
    </row>
    <row r="68" spans="1:9" x14ac:dyDescent="0.25">
      <c r="A68" s="50" t="s">
        <v>51</v>
      </c>
      <c r="B68" s="51">
        <f>B67</f>
        <v>531.80999999999995</v>
      </c>
      <c r="C68" s="52">
        <v>8.9999999999999993E-3</v>
      </c>
      <c r="D68" s="53">
        <f t="shared" si="4"/>
        <v>4.7862899999999993</v>
      </c>
      <c r="E68" s="54"/>
      <c r="F68" s="55"/>
    </row>
    <row r="69" spans="1:9" x14ac:dyDescent="0.25">
      <c r="A69" s="50" t="s">
        <v>43</v>
      </c>
      <c r="B69" s="51">
        <f>B57</f>
        <v>3842.81</v>
      </c>
      <c r="C69" s="74">
        <v>2.4000000000000001E-4</v>
      </c>
      <c r="D69" s="53">
        <f t="shared" si="4"/>
        <v>0.92227440000000005</v>
      </c>
      <c r="E69" s="74"/>
      <c r="F69" s="55"/>
    </row>
    <row r="70" spans="1:9" x14ac:dyDescent="0.25">
      <c r="A70" s="50" t="s">
        <v>44</v>
      </c>
      <c r="B70" s="51">
        <f>B69</f>
        <v>3842.81</v>
      </c>
      <c r="C70" s="74">
        <v>1.2999999999999999E-3</v>
      </c>
      <c r="D70" s="53">
        <f t="shared" si="4"/>
        <v>4.9956529999999999</v>
      </c>
      <c r="E70" s="74"/>
      <c r="F70" s="55"/>
    </row>
    <row r="71" spans="1:9" x14ac:dyDescent="0.25">
      <c r="A71" s="50" t="s">
        <v>50</v>
      </c>
      <c r="B71" s="51">
        <f>+B57</f>
        <v>3842.81</v>
      </c>
      <c r="C71" s="74">
        <v>2.5000000000000001E-2</v>
      </c>
      <c r="D71" s="53">
        <f t="shared" si="4"/>
        <v>96.070250000000001</v>
      </c>
      <c r="E71" s="84">
        <v>0.05</v>
      </c>
      <c r="F71" s="75">
        <f>B71*E71</f>
        <v>192.1405</v>
      </c>
    </row>
    <row r="72" spans="1:9" x14ac:dyDescent="0.25">
      <c r="A72" s="50"/>
      <c r="B72" s="51"/>
      <c r="C72" s="57"/>
      <c r="D72" s="51"/>
      <c r="E72" s="76"/>
      <c r="F72" s="75"/>
    </row>
    <row r="73" spans="1:9" x14ac:dyDescent="0.25">
      <c r="A73" s="50"/>
      <c r="B73" s="51"/>
      <c r="C73" s="52"/>
      <c r="D73" s="51"/>
      <c r="E73" s="77"/>
      <c r="F73" s="75"/>
    </row>
    <row r="74" spans="1:9" x14ac:dyDescent="0.25">
      <c r="A74" s="50" t="s">
        <v>45</v>
      </c>
      <c r="B74" s="51">
        <f>F71</f>
        <v>192.1405</v>
      </c>
      <c r="C74" s="52">
        <v>6.8000000000000005E-2</v>
      </c>
      <c r="D74" s="51">
        <f>C74*B74</f>
        <v>13.065554000000001</v>
      </c>
      <c r="E74" s="72"/>
      <c r="F74" s="72"/>
    </row>
    <row r="75" spans="1:9" x14ac:dyDescent="0.25">
      <c r="A75" s="50" t="s">
        <v>46</v>
      </c>
      <c r="B75" s="51">
        <f>B74</f>
        <v>192.1405</v>
      </c>
      <c r="C75" s="52">
        <v>2.4E-2</v>
      </c>
      <c r="D75" s="51">
        <f t="shared" ref="D75:D76" si="5">C75*B75</f>
        <v>4.6113720000000002</v>
      </c>
      <c r="E75" s="72"/>
      <c r="F75" s="72"/>
    </row>
    <row r="76" spans="1:9" x14ac:dyDescent="0.25">
      <c r="A76" s="50" t="s">
        <v>47</v>
      </c>
      <c r="B76" s="51">
        <f>B75</f>
        <v>192.1405</v>
      </c>
      <c r="C76" s="52">
        <v>5.0000000000000001E-3</v>
      </c>
      <c r="D76" s="51">
        <f t="shared" si="5"/>
        <v>0.96070250000000001</v>
      </c>
      <c r="E76" s="72"/>
      <c r="F76" s="72"/>
    </row>
    <row r="77" spans="1:9" x14ac:dyDescent="0.25">
      <c r="A77" s="50"/>
      <c r="B77" s="51"/>
      <c r="C77" s="52"/>
      <c r="D77" s="51"/>
      <c r="E77" s="72"/>
      <c r="F77" s="72"/>
    </row>
    <row r="78" spans="1:9" x14ac:dyDescent="0.25">
      <c r="A78" s="78" t="s">
        <v>48</v>
      </c>
      <c r="B78" s="79"/>
      <c r="C78" s="65"/>
      <c r="D78" s="69">
        <f>SUM(D56:D77)</f>
        <v>942.58861092500001</v>
      </c>
      <c r="E78" s="80"/>
      <c r="F78" s="69">
        <f>SUM(F56:F77)</f>
        <v>192.1405</v>
      </c>
    </row>
    <row r="79" spans="1:9" ht="15.75" thickBot="1" x14ac:dyDescent="0.3">
      <c r="A79" s="115" t="s">
        <v>83</v>
      </c>
      <c r="B79" s="116"/>
      <c r="C79" s="117"/>
      <c r="D79" s="118">
        <f>E53-D78</f>
        <v>2900.2213890749999</v>
      </c>
      <c r="E79" s="81"/>
      <c r="F79" s="72"/>
    </row>
    <row r="80" spans="1:9" x14ac:dyDescent="0.25">
      <c r="A80" s="119" t="s">
        <v>82</v>
      </c>
      <c r="B80" s="120"/>
      <c r="C80" s="120"/>
      <c r="D80" s="121">
        <f>IJSS!C11</f>
        <v>455.06142</v>
      </c>
    </row>
    <row r="81" spans="1:4" ht="15.75" thickBot="1" x14ac:dyDescent="0.3">
      <c r="A81" s="122" t="s">
        <v>49</v>
      </c>
      <c r="B81" s="123"/>
      <c r="C81" s="123"/>
      <c r="D81" s="124">
        <f>D80+D79</f>
        <v>3355.2828090749999</v>
      </c>
    </row>
    <row r="82" spans="1:4" ht="15.75" thickBot="1" x14ac:dyDescent="0.3"/>
    <row r="83" spans="1:4" x14ac:dyDescent="0.25">
      <c r="A83" s="125" t="s">
        <v>73</v>
      </c>
      <c r="B83" s="94"/>
      <c r="C83" s="94"/>
      <c r="D83" s="126">
        <f>'SALAIRE HABITUEL'!D56</f>
        <v>3794.5065</v>
      </c>
    </row>
    <row r="84" spans="1:4" x14ac:dyDescent="0.25">
      <c r="A84" s="127" t="s">
        <v>84</v>
      </c>
      <c r="B84" s="95"/>
      <c r="C84" s="95"/>
      <c r="D84" s="132">
        <f>+D83-D81</f>
        <v>439.22369092500003</v>
      </c>
    </row>
    <row r="85" spans="1:4" x14ac:dyDescent="0.25">
      <c r="A85" s="127" t="s">
        <v>71</v>
      </c>
      <c r="B85" s="95"/>
      <c r="C85" s="95"/>
      <c r="D85" s="128">
        <f>IJSS!C10</f>
        <v>32.678580000000004</v>
      </c>
    </row>
    <row r="86" spans="1:4" x14ac:dyDescent="0.25">
      <c r="A86" s="127" t="s">
        <v>88</v>
      </c>
      <c r="B86" s="95"/>
      <c r="C86" s="95"/>
      <c r="D86" s="128">
        <f>+D7</f>
        <v>406.55426785714292</v>
      </c>
    </row>
    <row r="87" spans="1:4" ht="15.75" thickBot="1" x14ac:dyDescent="0.3">
      <c r="A87" s="129" t="s">
        <v>89</v>
      </c>
      <c r="B87" s="96"/>
      <c r="C87" s="96"/>
      <c r="D87" s="133">
        <f>SUM(D85:D86)</f>
        <v>439.23284785714293</v>
      </c>
    </row>
  </sheetData>
  <mergeCells count="13">
    <mergeCell ref="I55:J55"/>
    <mergeCell ref="A54:A55"/>
    <mergeCell ref="B54:B55"/>
    <mergeCell ref="C54:C55"/>
    <mergeCell ref="D54:D55"/>
    <mergeCell ref="E54:E55"/>
    <mergeCell ref="F54:F55"/>
    <mergeCell ref="A16:A17"/>
    <mergeCell ref="B16:B17"/>
    <mergeCell ref="C16:C17"/>
    <mergeCell ref="D16:D17"/>
    <mergeCell ref="E16:E17"/>
    <mergeCell ref="F16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1C53-1F03-4CB1-A066-A53E418587FB}">
  <dimension ref="A2:J84"/>
  <sheetViews>
    <sheetView tabSelected="1" topLeftCell="A46" workbookViewId="0">
      <selection activeCell="A48" sqref="A48:XFD52"/>
    </sheetView>
  </sheetViews>
  <sheetFormatPr baseColWidth="10" defaultRowHeight="15" x14ac:dyDescent="0.25"/>
  <cols>
    <col min="1" max="1" width="35.85546875" bestFit="1" customWidth="1"/>
    <col min="2" max="2" width="21.85546875" bestFit="1" customWidth="1"/>
    <col min="3" max="3" width="11.85546875" bestFit="1" customWidth="1"/>
    <col min="4" max="5" width="13.7109375" bestFit="1" customWidth="1"/>
    <col min="6" max="6" width="11.7109375" bestFit="1" customWidth="1"/>
    <col min="8" max="8" width="23.5703125" bestFit="1" customWidth="1"/>
    <col min="9" max="9" width="16.140625" customWidth="1"/>
  </cols>
  <sheetData>
    <row r="2" spans="1:6" x14ac:dyDescent="0.25">
      <c r="A2" t="s">
        <v>73</v>
      </c>
      <c r="D2" s="93">
        <f>'SALAIRE HABITUEL'!D56</f>
        <v>3794.5065</v>
      </c>
    </row>
    <row r="3" spans="1:6" x14ac:dyDescent="0.25">
      <c r="A3" t="s">
        <v>74</v>
      </c>
      <c r="D3" s="93">
        <f>IJSS!C9</f>
        <v>487.74</v>
      </c>
    </row>
    <row r="4" spans="1:6" x14ac:dyDescent="0.25">
      <c r="A4" t="s">
        <v>75</v>
      </c>
      <c r="D4" s="93">
        <f>+D2-D3</f>
        <v>3306.7664999999997</v>
      </c>
    </row>
    <row r="5" spans="1:6" x14ac:dyDescent="0.25">
      <c r="D5" s="93"/>
    </row>
    <row r="6" spans="1:6" x14ac:dyDescent="0.25">
      <c r="A6" s="101" t="s">
        <v>99</v>
      </c>
      <c r="B6" s="102"/>
      <c r="C6" s="103"/>
      <c r="D6" s="130">
        <f>D4</f>
        <v>3306.7664999999997</v>
      </c>
    </row>
    <row r="7" spans="1:6" x14ac:dyDescent="0.25">
      <c r="A7" s="101" t="s">
        <v>86</v>
      </c>
      <c r="B7" s="102" t="s">
        <v>100</v>
      </c>
      <c r="D7" s="131">
        <f>3794.51/28*3</f>
        <v>406.55464285714288</v>
      </c>
    </row>
    <row r="8" spans="1:6" x14ac:dyDescent="0.25">
      <c r="A8" s="101" t="s">
        <v>90</v>
      </c>
      <c r="B8" s="102" t="s">
        <v>101</v>
      </c>
      <c r="D8" s="131">
        <f>3794.51/28*11*0.1</f>
        <v>149.07003571428572</v>
      </c>
    </row>
    <row r="9" spans="1:6" x14ac:dyDescent="0.25">
      <c r="A9" s="101" t="s">
        <v>87</v>
      </c>
      <c r="B9" s="102"/>
      <c r="C9" s="103"/>
      <c r="D9" s="130">
        <f>D6-D7-D8</f>
        <v>2751.1418214285713</v>
      </c>
    </row>
    <row r="10" spans="1:6" x14ac:dyDescent="0.25">
      <c r="D10" s="93"/>
    </row>
    <row r="12" spans="1:6" x14ac:dyDescent="0.25">
      <c r="A12" s="99" t="s">
        <v>76</v>
      </c>
    </row>
    <row r="14" spans="1:6" ht="15.75" thickBot="1" x14ac:dyDescent="0.3"/>
    <row r="15" spans="1:6" x14ac:dyDescent="0.25">
      <c r="A15" s="4"/>
      <c r="B15" s="40"/>
      <c r="C15" s="40"/>
      <c r="D15" s="86"/>
      <c r="E15" s="41"/>
      <c r="F15" s="40"/>
    </row>
    <row r="16" spans="1:6" x14ac:dyDescent="0.25">
      <c r="A16" s="44" t="s">
        <v>24</v>
      </c>
      <c r="B16" s="45"/>
      <c r="C16" s="43"/>
      <c r="D16" s="43"/>
      <c r="E16" s="46">
        <v>3649.9011720253748</v>
      </c>
      <c r="F16" s="43"/>
    </row>
    <row r="17" spans="1:9" x14ac:dyDescent="0.25">
      <c r="A17" s="47"/>
      <c r="B17" s="48" t="s">
        <v>25</v>
      </c>
      <c r="C17" s="48" t="s">
        <v>26</v>
      </c>
      <c r="D17" s="48" t="s">
        <v>27</v>
      </c>
      <c r="E17" s="49" t="s">
        <v>28</v>
      </c>
      <c r="F17" s="49" t="s">
        <v>29</v>
      </c>
    </row>
    <row r="18" spans="1:9" x14ac:dyDescent="0.25">
      <c r="A18" s="47"/>
      <c r="B18" s="48"/>
      <c r="C18" s="48"/>
      <c r="D18" s="48"/>
      <c r="E18" s="49"/>
      <c r="F18" s="49"/>
    </row>
    <row r="19" spans="1:9" x14ac:dyDescent="0.25">
      <c r="A19" s="50" t="s">
        <v>32</v>
      </c>
      <c r="B19" s="51">
        <f>IF(E16&gt;3311,3311,E16)</f>
        <v>3311</v>
      </c>
      <c r="C19" s="52">
        <v>6.9000000000000006E-2</v>
      </c>
      <c r="D19" s="53">
        <f t="shared" ref="D19:D23" si="0">B19*C19</f>
        <v>228.45900000000003</v>
      </c>
      <c r="E19" s="54"/>
      <c r="F19" s="55"/>
    </row>
    <row r="20" spans="1:9" x14ac:dyDescent="0.25">
      <c r="A20" s="50" t="s">
        <v>34</v>
      </c>
      <c r="B20" s="51">
        <f>E16</f>
        <v>3649.9011720253748</v>
      </c>
      <c r="C20" s="52">
        <v>4.0000000000000001E-3</v>
      </c>
      <c r="D20" s="53">
        <f t="shared" si="0"/>
        <v>14.599604688101499</v>
      </c>
      <c r="E20" s="54"/>
      <c r="F20" s="55"/>
    </row>
    <row r="21" spans="1:9" x14ac:dyDescent="0.25">
      <c r="A21" s="50" t="s">
        <v>36</v>
      </c>
      <c r="B21" s="51">
        <f>E16*0.9825</f>
        <v>3586.0279015149308</v>
      </c>
      <c r="C21" s="52">
        <v>2.4E-2</v>
      </c>
      <c r="D21" s="53">
        <f t="shared" si="0"/>
        <v>86.064669636358346</v>
      </c>
      <c r="E21" s="59"/>
      <c r="F21" s="60"/>
    </row>
    <row r="22" spans="1:9" x14ac:dyDescent="0.25">
      <c r="A22" s="50" t="s">
        <v>37</v>
      </c>
      <c r="B22" s="51">
        <f>B21</f>
        <v>3586.0279015149308</v>
      </c>
      <c r="C22" s="52">
        <v>6.8000000000000005E-2</v>
      </c>
      <c r="D22" s="53">
        <f t="shared" si="0"/>
        <v>243.84989730301533</v>
      </c>
      <c r="E22" s="59"/>
      <c r="F22" s="60"/>
      <c r="H22">
        <v>2751.14</v>
      </c>
    </row>
    <row r="23" spans="1:9" x14ac:dyDescent="0.25">
      <c r="A23" s="50" t="s">
        <v>38</v>
      </c>
      <c r="B23" s="51">
        <f>B22</f>
        <v>3586.0279015149308</v>
      </c>
      <c r="C23" s="52">
        <v>5.0000000000000001E-3</v>
      </c>
      <c r="D23" s="53">
        <f t="shared" si="0"/>
        <v>17.930139507574655</v>
      </c>
      <c r="E23" s="59"/>
      <c r="F23" s="60"/>
    </row>
    <row r="24" spans="1:9" x14ac:dyDescent="0.25">
      <c r="A24" s="63"/>
      <c r="B24" s="51"/>
      <c r="C24" s="61"/>
      <c r="D24" s="53"/>
      <c r="E24" s="62"/>
      <c r="F24" s="64"/>
    </row>
    <row r="25" spans="1:9" x14ac:dyDescent="0.25">
      <c r="A25" s="65" t="s">
        <v>39</v>
      </c>
      <c r="B25" s="66"/>
      <c r="C25" s="57"/>
      <c r="D25" s="57"/>
      <c r="E25" s="59"/>
      <c r="F25" s="67"/>
    </row>
    <row r="26" spans="1:9" x14ac:dyDescent="0.25">
      <c r="A26" s="50" t="s">
        <v>40</v>
      </c>
      <c r="B26" s="51">
        <f>B20</f>
        <v>3649.9011720253748</v>
      </c>
      <c r="C26" s="52">
        <v>9.4999999999999998E-3</v>
      </c>
      <c r="D26" s="53">
        <f>C26*B26</f>
        <v>34.674061134241057</v>
      </c>
      <c r="E26" s="54"/>
      <c r="F26" s="55"/>
    </row>
    <row r="27" spans="1:9" x14ac:dyDescent="0.25">
      <c r="A27" s="65" t="s">
        <v>41</v>
      </c>
      <c r="B27" s="51"/>
      <c r="C27" s="57"/>
      <c r="D27" s="58"/>
      <c r="E27" s="59"/>
      <c r="F27" s="60"/>
    </row>
    <row r="28" spans="1:9" x14ac:dyDescent="0.25">
      <c r="A28" s="50" t="s">
        <v>53</v>
      </c>
      <c r="B28" s="51">
        <f>B19</f>
        <v>3311</v>
      </c>
      <c r="C28" s="52">
        <v>3.1E-2</v>
      </c>
      <c r="D28" s="53">
        <f t="shared" ref="D28:D34" si="1">B28*C28</f>
        <v>102.64100000000001</v>
      </c>
      <c r="E28" s="54"/>
      <c r="F28" s="55"/>
      <c r="I28" s="92">
        <v>2877.9258214285715</v>
      </c>
    </row>
    <row r="29" spans="1:9" x14ac:dyDescent="0.25">
      <c r="A29" s="50" t="s">
        <v>42</v>
      </c>
      <c r="B29" s="51">
        <f>B19</f>
        <v>3311</v>
      </c>
      <c r="C29" s="52">
        <v>8.0000000000000002E-3</v>
      </c>
      <c r="D29" s="53">
        <f t="shared" si="1"/>
        <v>26.488</v>
      </c>
      <c r="E29" s="54"/>
      <c r="F29" s="55"/>
    </row>
    <row r="30" spans="1:9" x14ac:dyDescent="0.25">
      <c r="A30" s="50" t="s">
        <v>52</v>
      </c>
      <c r="B30" s="51">
        <f>B20-B19</f>
        <v>338.90117202537476</v>
      </c>
      <c r="C30" s="52">
        <v>7.8E-2</v>
      </c>
      <c r="D30" s="53">
        <f t="shared" si="1"/>
        <v>26.434291417979232</v>
      </c>
      <c r="E30" s="54"/>
      <c r="F30" s="55"/>
    </row>
    <row r="31" spans="1:9" x14ac:dyDescent="0.25">
      <c r="A31" s="50" t="s">
        <v>51</v>
      </c>
      <c r="B31" s="51">
        <f>B30</f>
        <v>338.90117202537476</v>
      </c>
      <c r="C31" s="52">
        <v>8.9999999999999993E-3</v>
      </c>
      <c r="D31" s="53">
        <f t="shared" si="1"/>
        <v>3.0501105482283726</v>
      </c>
      <c r="E31" s="54"/>
      <c r="F31" s="55"/>
    </row>
    <row r="32" spans="1:9" x14ac:dyDescent="0.25">
      <c r="A32" s="50" t="s">
        <v>43</v>
      </c>
      <c r="B32" s="51">
        <f>B20</f>
        <v>3649.9011720253748</v>
      </c>
      <c r="C32" s="74">
        <v>2.4000000000000001E-4</v>
      </c>
      <c r="D32" s="53">
        <f t="shared" si="1"/>
        <v>0.87597628128608995</v>
      </c>
      <c r="E32" s="74"/>
      <c r="F32" s="55"/>
    </row>
    <row r="33" spans="1:10" x14ac:dyDescent="0.25">
      <c r="A33" s="50" t="s">
        <v>44</v>
      </c>
      <c r="B33" s="51">
        <f>B32</f>
        <v>3649.9011720253748</v>
      </c>
      <c r="C33" s="74">
        <v>1.2999999999999999E-3</v>
      </c>
      <c r="D33" s="53">
        <f t="shared" si="1"/>
        <v>4.7448715236329866</v>
      </c>
      <c r="E33" s="74"/>
      <c r="F33" s="55"/>
    </row>
    <row r="34" spans="1:10" x14ac:dyDescent="0.25">
      <c r="A34" s="50" t="s">
        <v>50</v>
      </c>
      <c r="B34" s="51">
        <f>+B20</f>
        <v>3649.9011720253748</v>
      </c>
      <c r="C34" s="74">
        <v>2.5000000000000001E-2</v>
      </c>
      <c r="D34" s="53">
        <f t="shared" si="1"/>
        <v>91.247529300634369</v>
      </c>
      <c r="E34" s="84">
        <v>0.05</v>
      </c>
      <c r="F34" s="75">
        <f>B34*E34</f>
        <v>182.49505860126874</v>
      </c>
    </row>
    <row r="35" spans="1:10" x14ac:dyDescent="0.25">
      <c r="A35" s="50"/>
      <c r="B35" s="51"/>
      <c r="C35" s="57"/>
      <c r="D35" s="51"/>
      <c r="E35" s="76"/>
      <c r="F35" s="75"/>
    </row>
    <row r="36" spans="1:10" x14ac:dyDescent="0.25">
      <c r="A36" s="50"/>
      <c r="B36" s="51"/>
      <c r="C36" s="52"/>
      <c r="D36" s="51"/>
      <c r="E36" s="77"/>
      <c r="F36" s="75"/>
    </row>
    <row r="37" spans="1:10" x14ac:dyDescent="0.25">
      <c r="A37" s="50" t="s">
        <v>45</v>
      </c>
      <c r="B37" s="51">
        <f>F34</f>
        <v>182.49505860126874</v>
      </c>
      <c r="C37" s="52">
        <v>6.8000000000000005E-2</v>
      </c>
      <c r="D37" s="51">
        <f>C37*B37</f>
        <v>12.409663984886276</v>
      </c>
      <c r="E37" s="72"/>
      <c r="F37" s="72"/>
    </row>
    <row r="38" spans="1:10" x14ac:dyDescent="0.25">
      <c r="A38" s="50" t="s">
        <v>46</v>
      </c>
      <c r="B38" s="51">
        <f>B37</f>
        <v>182.49505860126874</v>
      </c>
      <c r="C38" s="52">
        <v>2.4E-2</v>
      </c>
      <c r="D38" s="51">
        <f t="shared" ref="D38:D39" si="2">C38*B38</f>
        <v>4.3798814064304494</v>
      </c>
      <c r="E38" s="72"/>
      <c r="F38" s="72"/>
    </row>
    <row r="39" spans="1:10" x14ac:dyDescent="0.25">
      <c r="A39" s="50" t="s">
        <v>47</v>
      </c>
      <c r="B39" s="51">
        <f>B38</f>
        <v>182.49505860126874</v>
      </c>
      <c r="C39" s="52">
        <v>5.0000000000000001E-3</v>
      </c>
      <c r="D39" s="51">
        <f t="shared" si="2"/>
        <v>0.91247529300634367</v>
      </c>
      <c r="E39" s="72"/>
      <c r="F39" s="72"/>
    </row>
    <row r="40" spans="1:10" x14ac:dyDescent="0.25">
      <c r="A40" s="50"/>
      <c r="B40" s="51"/>
      <c r="C40" s="52"/>
      <c r="D40" s="51"/>
      <c r="E40" s="72"/>
      <c r="F40" s="72"/>
    </row>
    <row r="41" spans="1:10" x14ac:dyDescent="0.25">
      <c r="A41" s="78" t="s">
        <v>48</v>
      </c>
      <c r="B41" s="79"/>
      <c r="C41" s="65"/>
      <c r="D41" s="69">
        <f>SUM(D19:D40)</f>
        <v>898.76117202537489</v>
      </c>
      <c r="E41" s="80"/>
      <c r="F41" s="69">
        <f>SUM(F19:F40)</f>
        <v>182.49505860126874</v>
      </c>
    </row>
    <row r="42" spans="1:10" x14ac:dyDescent="0.25">
      <c r="A42" s="78" t="s">
        <v>49</v>
      </c>
      <c r="B42" s="79"/>
      <c r="C42" s="65"/>
      <c r="D42" s="98">
        <f>E16-D41</f>
        <v>2751.14</v>
      </c>
      <c r="E42" s="81"/>
      <c r="F42" s="72"/>
    </row>
    <row r="43" spans="1:10" x14ac:dyDescent="0.25">
      <c r="A43" s="101"/>
      <c r="B43" s="102"/>
      <c r="C43" s="103"/>
      <c r="D43" s="103"/>
      <c r="E43" s="103"/>
      <c r="F43" s="103"/>
      <c r="G43" s="103"/>
    </row>
    <row r="44" spans="1:10" x14ac:dyDescent="0.25">
      <c r="E44" s="103"/>
      <c r="F44" s="103"/>
    </row>
    <row r="45" spans="1:10" ht="18.75" x14ac:dyDescent="0.3">
      <c r="A45" s="100" t="s">
        <v>77</v>
      </c>
      <c r="B45" s="102"/>
      <c r="C45" s="103"/>
      <c r="D45" s="103"/>
      <c r="E45" s="103"/>
      <c r="F45" s="103"/>
    </row>
    <row r="46" spans="1:10" x14ac:dyDescent="0.25">
      <c r="A46" s="101"/>
      <c r="B46" s="102"/>
      <c r="C46" s="103"/>
      <c r="D46" s="103"/>
      <c r="E46" s="103"/>
      <c r="F46" s="103"/>
    </row>
    <row r="47" spans="1:10" ht="15.75" thickBot="1" x14ac:dyDescent="0.3"/>
    <row r="48" spans="1:10" x14ac:dyDescent="0.25">
      <c r="A48" s="4"/>
      <c r="B48" s="43"/>
      <c r="C48" s="43"/>
      <c r="D48" s="104"/>
      <c r="E48" s="41"/>
      <c r="F48" s="40"/>
      <c r="H48" s="91" t="s">
        <v>65</v>
      </c>
      <c r="I48" s="82" t="s">
        <v>85</v>
      </c>
      <c r="J48" s="82"/>
    </row>
    <row r="49" spans="1:10" x14ac:dyDescent="0.25">
      <c r="A49" s="44" t="s">
        <v>24</v>
      </c>
      <c r="B49" s="45"/>
      <c r="C49" s="43"/>
      <c r="D49" s="43"/>
      <c r="E49" s="46">
        <f>E16</f>
        <v>3649.9011720253748</v>
      </c>
      <c r="F49" s="43"/>
      <c r="H49" s="82"/>
      <c r="I49" s="87"/>
      <c r="J49" s="82"/>
    </row>
    <row r="50" spans="1:10" x14ac:dyDescent="0.25">
      <c r="A50" s="47"/>
      <c r="B50" s="48" t="s">
        <v>25</v>
      </c>
      <c r="C50" s="48" t="s">
        <v>26</v>
      </c>
      <c r="D50" s="48" t="s">
        <v>27</v>
      </c>
      <c r="E50" s="49" t="s">
        <v>28</v>
      </c>
      <c r="F50" s="49" t="s">
        <v>29</v>
      </c>
      <c r="H50" s="82"/>
      <c r="I50" s="82"/>
      <c r="J50" s="82"/>
    </row>
    <row r="51" spans="1:10" x14ac:dyDescent="0.25">
      <c r="A51" s="47"/>
      <c r="B51" s="48"/>
      <c r="C51" s="48"/>
      <c r="D51" s="48"/>
      <c r="E51" s="49"/>
      <c r="F51" s="49"/>
      <c r="H51" s="82"/>
      <c r="I51" s="88"/>
      <c r="J51" s="88"/>
    </row>
    <row r="52" spans="1:10" x14ac:dyDescent="0.25">
      <c r="A52" s="50" t="s">
        <v>32</v>
      </c>
      <c r="B52" s="51">
        <f>IF(E49&gt;3311,3311,E49)</f>
        <v>3311</v>
      </c>
      <c r="C52" s="52">
        <v>6.9000000000000006E-2</v>
      </c>
      <c r="D52" s="53">
        <f t="shared" ref="D52:D56" si="3">B52*C52</f>
        <v>228.45900000000003</v>
      </c>
      <c r="E52" s="54"/>
      <c r="F52" s="55"/>
      <c r="H52" s="82"/>
      <c r="I52" s="89"/>
      <c r="J52" s="82"/>
    </row>
    <row r="53" spans="1:10" x14ac:dyDescent="0.25">
      <c r="A53" s="50" t="s">
        <v>34</v>
      </c>
      <c r="B53" s="51">
        <f>E49</f>
        <v>3649.9011720253748</v>
      </c>
      <c r="C53" s="52">
        <v>4.0000000000000001E-3</v>
      </c>
      <c r="D53" s="53">
        <f t="shared" si="3"/>
        <v>14.599604688101499</v>
      </c>
      <c r="E53" s="54"/>
      <c r="F53" s="55"/>
      <c r="H53" s="82"/>
      <c r="I53" s="90"/>
      <c r="J53" s="4"/>
    </row>
    <row r="54" spans="1:10" x14ac:dyDescent="0.25">
      <c r="A54" s="50" t="s">
        <v>36</v>
      </c>
      <c r="B54" s="51">
        <f>E49*0.9825</f>
        <v>3586.0279015149308</v>
      </c>
      <c r="C54" s="52">
        <v>2.4E-2</v>
      </c>
      <c r="D54" s="53">
        <f t="shared" si="3"/>
        <v>86.064669636358346</v>
      </c>
      <c r="E54" s="59"/>
      <c r="F54" s="60"/>
    </row>
    <row r="55" spans="1:10" x14ac:dyDescent="0.25">
      <c r="A55" s="50" t="s">
        <v>37</v>
      </c>
      <c r="B55" s="51">
        <f>B54</f>
        <v>3586.0279015149308</v>
      </c>
      <c r="C55" s="52">
        <v>6.8000000000000005E-2</v>
      </c>
      <c r="D55" s="53">
        <f t="shared" si="3"/>
        <v>243.84989730301533</v>
      </c>
      <c r="E55" s="59"/>
      <c r="F55" s="60"/>
    </row>
    <row r="56" spans="1:10" x14ac:dyDescent="0.25">
      <c r="A56" s="50" t="s">
        <v>38</v>
      </c>
      <c r="B56" s="51">
        <f>B55</f>
        <v>3586.0279015149308</v>
      </c>
      <c r="C56" s="52">
        <v>5.0000000000000001E-3</v>
      </c>
      <c r="D56" s="53">
        <f t="shared" si="3"/>
        <v>17.930139507574655</v>
      </c>
      <c r="E56" s="59"/>
      <c r="F56" s="60"/>
    </row>
    <row r="57" spans="1:10" x14ac:dyDescent="0.25">
      <c r="A57" s="63"/>
      <c r="B57" s="51"/>
      <c r="C57" s="61"/>
      <c r="D57" s="53"/>
      <c r="E57" s="62"/>
      <c r="F57" s="64"/>
    </row>
    <row r="58" spans="1:10" x14ac:dyDescent="0.25">
      <c r="A58" s="65" t="s">
        <v>39</v>
      </c>
      <c r="B58" s="66"/>
      <c r="C58" s="57"/>
      <c r="D58" s="57"/>
      <c r="E58" s="59"/>
      <c r="F58" s="67"/>
    </row>
    <row r="59" spans="1:10" x14ac:dyDescent="0.25">
      <c r="A59" s="50" t="s">
        <v>40</v>
      </c>
      <c r="B59" s="51">
        <f>B53</f>
        <v>3649.9011720253748</v>
      </c>
      <c r="C59" s="52">
        <v>9.4999999999999998E-3</v>
      </c>
      <c r="D59" s="53">
        <f>C59*B59</f>
        <v>34.674061134241057</v>
      </c>
      <c r="E59" s="54"/>
      <c r="F59" s="55"/>
    </row>
    <row r="60" spans="1:10" x14ac:dyDescent="0.25">
      <c r="A60" s="65" t="s">
        <v>41</v>
      </c>
      <c r="B60" s="51"/>
      <c r="C60" s="57"/>
      <c r="D60" s="58"/>
      <c r="E60" s="59"/>
      <c r="F60" s="60"/>
    </row>
    <row r="61" spans="1:10" x14ac:dyDescent="0.25">
      <c r="A61" s="50" t="s">
        <v>53</v>
      </c>
      <c r="B61" s="51">
        <f>B52</f>
        <v>3311</v>
      </c>
      <c r="C61" s="52">
        <v>3.1E-2</v>
      </c>
      <c r="D61" s="53">
        <f t="shared" ref="D61:D67" si="4">B61*C61</f>
        <v>102.64100000000001</v>
      </c>
      <c r="E61" s="54"/>
      <c r="F61" s="55"/>
      <c r="I61" s="92">
        <v>3262.4265</v>
      </c>
    </row>
    <row r="62" spans="1:10" x14ac:dyDescent="0.25">
      <c r="A62" s="50" t="s">
        <v>42</v>
      </c>
      <c r="B62" s="51">
        <f>B52</f>
        <v>3311</v>
      </c>
      <c r="C62" s="52">
        <v>8.0000000000000002E-3</v>
      </c>
      <c r="D62" s="53">
        <f t="shared" si="4"/>
        <v>26.488</v>
      </c>
      <c r="E62" s="54"/>
      <c r="F62" s="55"/>
    </row>
    <row r="63" spans="1:10" x14ac:dyDescent="0.25">
      <c r="A63" s="50" t="s">
        <v>52</v>
      </c>
      <c r="B63" s="51">
        <f>B53-B52</f>
        <v>338.90117202537476</v>
      </c>
      <c r="C63" s="52">
        <v>7.8E-2</v>
      </c>
      <c r="D63" s="53">
        <f t="shared" si="4"/>
        <v>26.434291417979232</v>
      </c>
      <c r="E63" s="54"/>
      <c r="F63" s="55"/>
    </row>
    <row r="64" spans="1:10" x14ac:dyDescent="0.25">
      <c r="A64" s="50" t="s">
        <v>51</v>
      </c>
      <c r="B64" s="51">
        <f>B63</f>
        <v>338.90117202537476</v>
      </c>
      <c r="C64" s="52">
        <v>8.9999999999999993E-3</v>
      </c>
      <c r="D64" s="53">
        <f t="shared" si="4"/>
        <v>3.0501105482283726</v>
      </c>
      <c r="E64" s="54"/>
      <c r="F64" s="55"/>
    </row>
    <row r="65" spans="1:6" x14ac:dyDescent="0.25">
      <c r="A65" s="50" t="s">
        <v>43</v>
      </c>
      <c r="B65" s="51">
        <f>B53</f>
        <v>3649.9011720253748</v>
      </c>
      <c r="C65" s="74">
        <v>2.4000000000000001E-4</v>
      </c>
      <c r="D65" s="53">
        <f t="shared" si="4"/>
        <v>0.87597628128608995</v>
      </c>
      <c r="E65" s="74"/>
      <c r="F65" s="55"/>
    </row>
    <row r="66" spans="1:6" x14ac:dyDescent="0.25">
      <c r="A66" s="50" t="s">
        <v>44</v>
      </c>
      <c r="B66" s="51">
        <f>B65</f>
        <v>3649.9011720253748</v>
      </c>
      <c r="C66" s="74">
        <v>1.2999999999999999E-3</v>
      </c>
      <c r="D66" s="53">
        <f t="shared" si="4"/>
        <v>4.7448715236329866</v>
      </c>
      <c r="E66" s="74"/>
      <c r="F66" s="55"/>
    </row>
    <row r="67" spans="1:6" x14ac:dyDescent="0.25">
      <c r="A67" s="50" t="s">
        <v>50</v>
      </c>
      <c r="B67" s="51">
        <f>+B53</f>
        <v>3649.9011720253748</v>
      </c>
      <c r="C67" s="74">
        <v>2.5000000000000001E-2</v>
      </c>
      <c r="D67" s="53">
        <f t="shared" si="4"/>
        <v>91.247529300634369</v>
      </c>
      <c r="E67" s="84">
        <v>0.05</v>
      </c>
      <c r="F67" s="75">
        <f>B67*E67</f>
        <v>182.49505860126874</v>
      </c>
    </row>
    <row r="68" spans="1:6" x14ac:dyDescent="0.25">
      <c r="A68" s="50"/>
      <c r="B68" s="51"/>
      <c r="C68" s="57"/>
      <c r="D68" s="51"/>
      <c r="E68" s="76"/>
      <c r="F68" s="75"/>
    </row>
    <row r="69" spans="1:6" x14ac:dyDescent="0.25">
      <c r="A69" s="50"/>
      <c r="B69" s="51"/>
      <c r="C69" s="52"/>
      <c r="D69" s="51"/>
      <c r="E69" s="77"/>
      <c r="F69" s="75"/>
    </row>
    <row r="70" spans="1:6" x14ac:dyDescent="0.25">
      <c r="A70" s="50" t="s">
        <v>45</v>
      </c>
      <c r="B70" s="51">
        <f>F67</f>
        <v>182.49505860126874</v>
      </c>
      <c r="C70" s="52">
        <v>6.8000000000000005E-2</v>
      </c>
      <c r="D70" s="51">
        <f>C70*B70</f>
        <v>12.409663984886276</v>
      </c>
      <c r="E70" s="72"/>
      <c r="F70" s="72"/>
    </row>
    <row r="71" spans="1:6" x14ac:dyDescent="0.25">
      <c r="A71" s="50" t="s">
        <v>46</v>
      </c>
      <c r="B71" s="51">
        <f>B70</f>
        <v>182.49505860126874</v>
      </c>
      <c r="C71" s="52">
        <v>2.4E-2</v>
      </c>
      <c r="D71" s="51">
        <f t="shared" ref="D71:D72" si="5">C71*B71</f>
        <v>4.3798814064304494</v>
      </c>
      <c r="E71" s="72"/>
      <c r="F71" s="72"/>
    </row>
    <row r="72" spans="1:6" x14ac:dyDescent="0.25">
      <c r="A72" s="50" t="s">
        <v>47</v>
      </c>
      <c r="B72" s="51">
        <f>B71</f>
        <v>182.49505860126874</v>
      </c>
      <c r="C72" s="52">
        <v>5.0000000000000001E-3</v>
      </c>
      <c r="D72" s="51">
        <f t="shared" si="5"/>
        <v>0.91247529300634367</v>
      </c>
      <c r="E72" s="72"/>
      <c r="F72" s="72"/>
    </row>
    <row r="73" spans="1:6" x14ac:dyDescent="0.25">
      <c r="A73" s="50"/>
      <c r="B73" s="51"/>
      <c r="C73" s="52"/>
      <c r="D73" s="51"/>
      <c r="E73" s="72"/>
      <c r="F73" s="72"/>
    </row>
    <row r="74" spans="1:6" x14ac:dyDescent="0.25">
      <c r="A74" s="78" t="s">
        <v>48</v>
      </c>
      <c r="B74" s="79"/>
      <c r="C74" s="65"/>
      <c r="D74" s="69">
        <f>SUM(D52:D73)</f>
        <v>898.76117202537489</v>
      </c>
      <c r="E74" s="80"/>
      <c r="F74" s="69">
        <f>SUM(F52:F73)</f>
        <v>182.49505860126874</v>
      </c>
    </row>
    <row r="75" spans="1:6" ht="15.75" thickBot="1" x14ac:dyDescent="0.3">
      <c r="A75" s="115" t="s">
        <v>83</v>
      </c>
      <c r="B75" s="116"/>
      <c r="C75" s="117"/>
      <c r="D75" s="118">
        <f>E49-D74</f>
        <v>2751.14</v>
      </c>
      <c r="E75" s="81"/>
      <c r="F75" s="72"/>
    </row>
    <row r="76" spans="1:6" x14ac:dyDescent="0.25">
      <c r="A76" s="119" t="s">
        <v>82</v>
      </c>
      <c r="B76" s="120"/>
      <c r="C76" s="120"/>
      <c r="D76" s="121">
        <f>IJSS!C11</f>
        <v>455.06142</v>
      </c>
    </row>
    <row r="77" spans="1:6" ht="15.75" thickBot="1" x14ac:dyDescent="0.3">
      <c r="A77" s="122" t="s">
        <v>49</v>
      </c>
      <c r="B77" s="123"/>
      <c r="C77" s="123"/>
      <c r="D77" s="124">
        <f>D76+D75</f>
        <v>3206.2014199999999</v>
      </c>
    </row>
    <row r="78" spans="1:6" ht="15.75" thickBot="1" x14ac:dyDescent="0.3"/>
    <row r="79" spans="1:6" x14ac:dyDescent="0.25">
      <c r="A79" s="125" t="s">
        <v>73</v>
      </c>
      <c r="B79" s="94"/>
      <c r="C79" s="94"/>
      <c r="D79" s="126">
        <f>'SALAIRE HABITUEL'!D56</f>
        <v>3794.5065</v>
      </c>
    </row>
    <row r="80" spans="1:6" x14ac:dyDescent="0.25">
      <c r="A80" s="127" t="s">
        <v>84</v>
      </c>
      <c r="B80" s="95"/>
      <c r="C80" s="95"/>
      <c r="D80" s="132">
        <f>+D79-D77</f>
        <v>588.30508000000009</v>
      </c>
    </row>
    <row r="81" spans="1:4" x14ac:dyDescent="0.25">
      <c r="A81" s="127" t="s">
        <v>71</v>
      </c>
      <c r="B81" s="95"/>
      <c r="C81" s="95"/>
      <c r="D81" s="128">
        <f>IJSS!C10</f>
        <v>32.678580000000004</v>
      </c>
    </row>
    <row r="82" spans="1:4" x14ac:dyDescent="0.25">
      <c r="A82" s="127" t="s">
        <v>88</v>
      </c>
      <c r="B82" s="95"/>
      <c r="C82" s="95"/>
      <c r="D82" s="128">
        <f>+D7</f>
        <v>406.55464285714288</v>
      </c>
    </row>
    <row r="83" spans="1:4" x14ac:dyDescent="0.25">
      <c r="A83" s="136">
        <v>0.1</v>
      </c>
      <c r="B83" s="134"/>
      <c r="C83" s="134"/>
      <c r="D83" s="135">
        <f>D8</f>
        <v>149.07003571428572</v>
      </c>
    </row>
    <row r="84" spans="1:4" ht="15.75" thickBot="1" x14ac:dyDescent="0.3">
      <c r="A84" s="129" t="s">
        <v>89</v>
      </c>
      <c r="B84" s="96"/>
      <c r="C84" s="96"/>
      <c r="D84" s="133">
        <f>SUM(D81:D83)</f>
        <v>588.30325857142861</v>
      </c>
    </row>
  </sheetData>
  <mergeCells count="13">
    <mergeCell ref="I51:J51"/>
    <mergeCell ref="A50:A51"/>
    <mergeCell ref="B50:B51"/>
    <mergeCell ref="C50:C51"/>
    <mergeCell ref="D50:D51"/>
    <mergeCell ref="E50:E51"/>
    <mergeCell ref="F50:F51"/>
    <mergeCell ref="A17:A18"/>
    <mergeCell ref="B17:B18"/>
    <mergeCell ref="C17:C18"/>
    <mergeCell ref="D17:D18"/>
    <mergeCell ref="E17:E18"/>
    <mergeCell ref="F17:F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6A9-8EA1-4023-9C91-7E7462693321}">
  <dimension ref="C1:E17"/>
  <sheetViews>
    <sheetView workbookViewId="0">
      <selection activeCell="E9" sqref="E9"/>
    </sheetView>
  </sheetViews>
  <sheetFormatPr baseColWidth="10" defaultRowHeight="18.75" x14ac:dyDescent="0.25"/>
  <cols>
    <col min="1" max="2" width="25" style="150" customWidth="1"/>
    <col min="3" max="3" width="38.85546875" style="150" bestFit="1" customWidth="1"/>
    <col min="4" max="4" width="25.85546875" style="150" bestFit="1" customWidth="1"/>
    <col min="5" max="5" width="34.85546875" style="150" customWidth="1"/>
    <col min="6" max="16384" width="11.42578125" style="150"/>
  </cols>
  <sheetData>
    <row r="1" spans="3:5" ht="25.5" customHeight="1" x14ac:dyDescent="0.25">
      <c r="C1" s="165" t="s">
        <v>115</v>
      </c>
      <c r="D1" s="165"/>
      <c r="E1" s="165"/>
    </row>
    <row r="2" spans="3:5" ht="25.5" customHeight="1" thickBot="1" x14ac:dyDescent="0.3">
      <c r="C2" s="151"/>
      <c r="D2" s="151"/>
      <c r="E2" s="151"/>
    </row>
    <row r="3" spans="3:5" ht="25.5" customHeight="1" x14ac:dyDescent="0.25">
      <c r="C3" s="152" t="s">
        <v>103</v>
      </c>
      <c r="D3" s="153"/>
      <c r="E3" s="154">
        <v>205636.36363636368</v>
      </c>
    </row>
    <row r="4" spans="3:5" ht="25.5" customHeight="1" x14ac:dyDescent="0.25">
      <c r="C4" s="155"/>
      <c r="D4" s="156"/>
      <c r="E4" s="157"/>
    </row>
    <row r="5" spans="3:5" ht="25.5" customHeight="1" x14ac:dyDescent="0.25">
      <c r="C5" s="158" t="s">
        <v>105</v>
      </c>
      <c r="D5" s="156"/>
      <c r="E5" s="159">
        <v>0.22</v>
      </c>
    </row>
    <row r="6" spans="3:5" ht="25.5" customHeight="1" x14ac:dyDescent="0.25">
      <c r="C6" s="160" t="s">
        <v>104</v>
      </c>
      <c r="D6" s="156"/>
      <c r="E6" s="157">
        <f>E3*E5</f>
        <v>45240.000000000007</v>
      </c>
    </row>
    <row r="7" spans="3:5" ht="25.5" customHeight="1" x14ac:dyDescent="0.25">
      <c r="C7" s="160" t="s">
        <v>106</v>
      </c>
      <c r="D7" s="156"/>
      <c r="E7" s="157">
        <v>1600</v>
      </c>
    </row>
    <row r="8" spans="3:5" ht="25.5" customHeight="1" x14ac:dyDescent="0.25">
      <c r="C8" s="160" t="s">
        <v>107</v>
      </c>
      <c r="D8" s="156" t="s">
        <v>108</v>
      </c>
      <c r="E8" s="161">
        <f>+E7*12</f>
        <v>19200</v>
      </c>
    </row>
    <row r="9" spans="3:5" ht="25.5" customHeight="1" x14ac:dyDescent="0.25">
      <c r="C9" s="160" t="s">
        <v>109</v>
      </c>
      <c r="D9" s="156"/>
      <c r="E9" s="159">
        <v>0.45</v>
      </c>
    </row>
    <row r="10" spans="3:5" ht="25.5" customHeight="1" x14ac:dyDescent="0.25">
      <c r="C10" s="160" t="s">
        <v>110</v>
      </c>
      <c r="D10" s="156"/>
      <c r="E10" s="161">
        <f>E8*E9</f>
        <v>8640</v>
      </c>
    </row>
    <row r="11" spans="3:5" ht="25.5" customHeight="1" x14ac:dyDescent="0.25">
      <c r="C11" s="160"/>
      <c r="D11" s="156"/>
      <c r="E11" s="157"/>
    </row>
    <row r="12" spans="3:5" ht="25.5" customHeight="1" x14ac:dyDescent="0.25">
      <c r="C12" s="160" t="s">
        <v>111</v>
      </c>
      <c r="D12" s="156"/>
      <c r="E12" s="157">
        <v>1450</v>
      </c>
    </row>
    <row r="13" spans="3:5" ht="25.5" customHeight="1" x14ac:dyDescent="0.25">
      <c r="C13" s="160" t="s">
        <v>112</v>
      </c>
      <c r="D13" s="156"/>
      <c r="E13" s="161">
        <f>E12*12</f>
        <v>17400</v>
      </c>
    </row>
    <row r="14" spans="3:5" ht="25.5" customHeight="1" x14ac:dyDescent="0.25">
      <c r="C14" s="160"/>
      <c r="D14" s="156"/>
      <c r="E14" s="157"/>
    </row>
    <row r="15" spans="3:5" ht="25.5" customHeight="1" x14ac:dyDescent="0.25">
      <c r="C15" s="155" t="s">
        <v>113</v>
      </c>
      <c r="D15" s="156"/>
      <c r="E15" s="161">
        <f>E13+E10+E8</f>
        <v>45240</v>
      </c>
    </row>
    <row r="16" spans="3:5" ht="25.5" customHeight="1" x14ac:dyDescent="0.25">
      <c r="C16" s="160"/>
      <c r="D16" s="156"/>
      <c r="E16" s="157"/>
    </row>
    <row r="17" spans="3:5" ht="25.5" customHeight="1" thickBot="1" x14ac:dyDescent="0.3">
      <c r="C17" s="162" t="s">
        <v>114</v>
      </c>
      <c r="D17" s="163"/>
      <c r="E17" s="164">
        <f>E6-E15</f>
        <v>0</v>
      </c>
    </row>
  </sheetData>
  <mergeCells count="1">
    <mergeCell ref="C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9772-66E5-4902-AFFE-6B703E3A5CFA}">
  <dimension ref="B2:K89"/>
  <sheetViews>
    <sheetView workbookViewId="0">
      <selection activeCell="I8" sqref="I8"/>
    </sheetView>
  </sheetViews>
  <sheetFormatPr baseColWidth="10" defaultRowHeight="15" x14ac:dyDescent="0.25"/>
  <cols>
    <col min="1" max="1" width="28.5703125" customWidth="1"/>
    <col min="2" max="2" width="35.85546875" bestFit="1" customWidth="1"/>
    <col min="3" max="3" width="21.85546875" bestFit="1" customWidth="1"/>
    <col min="4" max="4" width="11.85546875" bestFit="1" customWidth="1"/>
    <col min="5" max="6" width="13.7109375" bestFit="1" customWidth="1"/>
    <col min="7" max="7" width="11.7109375" bestFit="1" customWidth="1"/>
    <col min="9" max="9" width="23.5703125" bestFit="1" customWidth="1"/>
    <col min="10" max="10" width="16.140625" customWidth="1"/>
  </cols>
  <sheetData>
    <row r="2" spans="2:7" x14ac:dyDescent="0.25">
      <c r="B2" t="s">
        <v>73</v>
      </c>
      <c r="E2" s="93">
        <f>'SALAIRE HABITUEL'!D56</f>
        <v>3794.5065</v>
      </c>
    </row>
    <row r="3" spans="2:7" x14ac:dyDescent="0.25">
      <c r="B3" t="s">
        <v>74</v>
      </c>
      <c r="E3" s="93">
        <f>IJSS!C9</f>
        <v>487.74</v>
      </c>
    </row>
    <row r="4" spans="2:7" x14ac:dyDescent="0.25">
      <c r="B4" t="s">
        <v>75</v>
      </c>
      <c r="E4" s="93">
        <f>+E2-E3</f>
        <v>3306.7664999999997</v>
      </c>
    </row>
    <row r="5" spans="2:7" x14ac:dyDescent="0.25">
      <c r="E5" s="93"/>
    </row>
    <row r="6" spans="2:7" x14ac:dyDescent="0.25">
      <c r="B6" s="101" t="s">
        <v>99</v>
      </c>
      <c r="C6" s="102"/>
      <c r="D6" s="103"/>
      <c r="E6" s="130">
        <f>E4</f>
        <v>3306.7664999999997</v>
      </c>
    </row>
    <row r="7" spans="2:7" x14ac:dyDescent="0.25">
      <c r="B7" s="101" t="s">
        <v>86</v>
      </c>
      <c r="C7" s="102" t="s">
        <v>100</v>
      </c>
      <c r="E7" s="131">
        <f>3794.51/28*3</f>
        <v>406.55464285714288</v>
      </c>
    </row>
    <row r="8" spans="2:7" x14ac:dyDescent="0.25">
      <c r="B8" s="101" t="s">
        <v>90</v>
      </c>
      <c r="C8" s="102" t="s">
        <v>101</v>
      </c>
      <c r="E8" s="131">
        <f>3794.51/28*11*0.1</f>
        <v>149.07003571428572</v>
      </c>
    </row>
    <row r="9" spans="2:7" x14ac:dyDescent="0.25">
      <c r="B9" s="101" t="s">
        <v>87</v>
      </c>
      <c r="C9" s="102"/>
      <c r="D9" s="103"/>
      <c r="E9" s="130">
        <f>E6-E7-E8</f>
        <v>2751.1418214285713</v>
      </c>
    </row>
    <row r="10" spans="2:7" x14ac:dyDescent="0.25">
      <c r="E10" s="93"/>
    </row>
    <row r="12" spans="2:7" x14ac:dyDescent="0.25">
      <c r="B12" s="99" t="s">
        <v>76</v>
      </c>
    </row>
    <row r="14" spans="2:7" ht="15.75" thickBot="1" x14ac:dyDescent="0.3"/>
    <row r="15" spans="2:7" x14ac:dyDescent="0.25">
      <c r="B15" s="4"/>
      <c r="C15" s="40"/>
      <c r="D15" s="40"/>
      <c r="E15" s="86"/>
      <c r="F15" s="41"/>
      <c r="G15" s="40"/>
    </row>
    <row r="16" spans="2:7" x14ac:dyDescent="0.25">
      <c r="B16" s="44" t="s">
        <v>24</v>
      </c>
      <c r="C16" s="45"/>
      <c r="D16" s="43"/>
      <c r="E16" s="43"/>
      <c r="F16" s="46">
        <v>3649.9011720253748</v>
      </c>
      <c r="G16" s="43"/>
    </row>
    <row r="17" spans="2:10" x14ac:dyDescent="0.25">
      <c r="B17" s="47"/>
      <c r="C17" s="48" t="s">
        <v>25</v>
      </c>
      <c r="D17" s="48" t="s">
        <v>26</v>
      </c>
      <c r="E17" s="48" t="s">
        <v>27</v>
      </c>
      <c r="F17" s="49" t="s">
        <v>28</v>
      </c>
      <c r="G17" s="49" t="s">
        <v>29</v>
      </c>
    </row>
    <row r="18" spans="2:10" x14ac:dyDescent="0.25">
      <c r="B18" s="47"/>
      <c r="C18" s="48"/>
      <c r="D18" s="48"/>
      <c r="E18" s="48"/>
      <c r="F18" s="49"/>
      <c r="G18" s="49"/>
    </row>
    <row r="19" spans="2:10" x14ac:dyDescent="0.25">
      <c r="B19" s="50" t="s">
        <v>32</v>
      </c>
      <c r="C19" s="51">
        <f>IF(F16&gt;3311,3311,F16)</f>
        <v>3311</v>
      </c>
      <c r="D19" s="52">
        <v>6.9000000000000006E-2</v>
      </c>
      <c r="E19" s="53">
        <f t="shared" ref="E19:E23" si="0">C19*D19</f>
        <v>228.45900000000003</v>
      </c>
      <c r="F19" s="54"/>
      <c r="G19" s="55"/>
    </row>
    <row r="20" spans="2:10" x14ac:dyDescent="0.25">
      <c r="B20" s="50" t="s">
        <v>34</v>
      </c>
      <c r="C20" s="51">
        <f>F16</f>
        <v>3649.9011720253748</v>
      </c>
      <c r="D20" s="52">
        <v>4.0000000000000001E-3</v>
      </c>
      <c r="E20" s="53">
        <f t="shared" si="0"/>
        <v>14.599604688101499</v>
      </c>
      <c r="F20" s="54"/>
      <c r="G20" s="55"/>
    </row>
    <row r="21" spans="2:10" x14ac:dyDescent="0.25">
      <c r="B21" s="50" t="s">
        <v>36</v>
      </c>
      <c r="C21" s="51">
        <f>F16*0.9825</f>
        <v>3586.0279015149308</v>
      </c>
      <c r="D21" s="52">
        <v>2.4E-2</v>
      </c>
      <c r="E21" s="53">
        <f t="shared" si="0"/>
        <v>86.064669636358346</v>
      </c>
      <c r="F21" s="59"/>
      <c r="G21" s="60"/>
    </row>
    <row r="22" spans="2:10" x14ac:dyDescent="0.25">
      <c r="B22" s="50" t="s">
        <v>37</v>
      </c>
      <c r="C22" s="51">
        <f>C21</f>
        <v>3586.0279015149308</v>
      </c>
      <c r="D22" s="52">
        <v>6.8000000000000005E-2</v>
      </c>
      <c r="E22" s="53">
        <f t="shared" si="0"/>
        <v>243.84989730301533</v>
      </c>
      <c r="F22" s="59"/>
      <c r="G22" s="60"/>
      <c r="I22">
        <v>2751.14</v>
      </c>
    </row>
    <row r="23" spans="2:10" x14ac:dyDescent="0.25">
      <c r="B23" s="50" t="s">
        <v>38</v>
      </c>
      <c r="C23" s="51">
        <f>C22</f>
        <v>3586.0279015149308</v>
      </c>
      <c r="D23" s="52">
        <v>5.0000000000000001E-3</v>
      </c>
      <c r="E23" s="53">
        <f t="shared" si="0"/>
        <v>17.930139507574655</v>
      </c>
      <c r="F23" s="59"/>
      <c r="G23" s="60"/>
    </row>
    <row r="24" spans="2:10" x14ac:dyDescent="0.25">
      <c r="B24" s="63"/>
      <c r="C24" s="51"/>
      <c r="D24" s="61"/>
      <c r="E24" s="53"/>
      <c r="F24" s="62"/>
      <c r="G24" s="64"/>
    </row>
    <row r="25" spans="2:10" x14ac:dyDescent="0.25">
      <c r="B25" s="65" t="s">
        <v>39</v>
      </c>
      <c r="C25" s="66"/>
      <c r="D25" s="57"/>
      <c r="E25" s="57"/>
      <c r="F25" s="59"/>
      <c r="G25" s="67"/>
    </row>
    <row r="26" spans="2:10" x14ac:dyDescent="0.25">
      <c r="B26" s="50" t="s">
        <v>40</v>
      </c>
      <c r="C26" s="51">
        <f>C20</f>
        <v>3649.9011720253748</v>
      </c>
      <c r="D26" s="52">
        <v>9.4999999999999998E-3</v>
      </c>
      <c r="E26" s="53">
        <f>D26*C26</f>
        <v>34.674061134241057</v>
      </c>
      <c r="F26" s="54"/>
      <c r="G26" s="55"/>
    </row>
    <row r="27" spans="2:10" x14ac:dyDescent="0.25">
      <c r="B27" s="65" t="s">
        <v>41</v>
      </c>
      <c r="C27" s="51"/>
      <c r="D27" s="57"/>
      <c r="E27" s="58"/>
      <c r="F27" s="59"/>
      <c r="G27" s="60"/>
    </row>
    <row r="28" spans="2:10" x14ac:dyDescent="0.25">
      <c r="B28" s="50" t="s">
        <v>53</v>
      </c>
      <c r="C28" s="51">
        <f>C19</f>
        <v>3311</v>
      </c>
      <c r="D28" s="52">
        <v>3.1E-2</v>
      </c>
      <c r="E28" s="53">
        <f t="shared" ref="E28:E34" si="1">C28*D28</f>
        <v>102.64100000000001</v>
      </c>
      <c r="F28" s="54"/>
      <c r="G28" s="55"/>
      <c r="J28" s="92">
        <v>2877.9258214285715</v>
      </c>
    </row>
    <row r="29" spans="2:10" x14ac:dyDescent="0.25">
      <c r="B29" s="50" t="s">
        <v>42</v>
      </c>
      <c r="C29" s="51">
        <f>C19</f>
        <v>3311</v>
      </c>
      <c r="D29" s="52">
        <v>8.0000000000000002E-3</v>
      </c>
      <c r="E29" s="53">
        <f t="shared" si="1"/>
        <v>26.488</v>
      </c>
      <c r="F29" s="54"/>
      <c r="G29" s="55"/>
    </row>
    <row r="30" spans="2:10" x14ac:dyDescent="0.25">
      <c r="B30" s="50" t="s">
        <v>52</v>
      </c>
      <c r="C30" s="51">
        <f>C20-C19</f>
        <v>338.90117202537476</v>
      </c>
      <c r="D30" s="52">
        <v>7.8E-2</v>
      </c>
      <c r="E30" s="53">
        <f t="shared" si="1"/>
        <v>26.434291417979232</v>
      </c>
      <c r="F30" s="54"/>
      <c r="G30" s="55"/>
    </row>
    <row r="31" spans="2:10" x14ac:dyDescent="0.25">
      <c r="B31" s="50" t="s">
        <v>51</v>
      </c>
      <c r="C31" s="51">
        <f>C30</f>
        <v>338.90117202537476</v>
      </c>
      <c r="D31" s="52">
        <v>8.9999999999999993E-3</v>
      </c>
      <c r="E31" s="53">
        <f t="shared" si="1"/>
        <v>3.0501105482283726</v>
      </c>
      <c r="F31" s="54"/>
      <c r="G31" s="55"/>
    </row>
    <row r="32" spans="2:10" x14ac:dyDescent="0.25">
      <c r="B32" s="50" t="s">
        <v>43</v>
      </c>
      <c r="C32" s="51">
        <f>C20</f>
        <v>3649.9011720253748</v>
      </c>
      <c r="D32" s="74">
        <v>2.4000000000000001E-4</v>
      </c>
      <c r="E32" s="53">
        <f t="shared" si="1"/>
        <v>0.87597628128608995</v>
      </c>
      <c r="F32" s="74"/>
      <c r="G32" s="55"/>
    </row>
    <row r="33" spans="2:8" x14ac:dyDescent="0.25">
      <c r="B33" s="50" t="s">
        <v>44</v>
      </c>
      <c r="C33" s="51">
        <f>C32</f>
        <v>3649.9011720253748</v>
      </c>
      <c r="D33" s="74">
        <v>1.2999999999999999E-3</v>
      </c>
      <c r="E33" s="53">
        <f t="shared" si="1"/>
        <v>4.7448715236329866</v>
      </c>
      <c r="F33" s="74"/>
      <c r="G33" s="55"/>
    </row>
    <row r="34" spans="2:8" x14ac:dyDescent="0.25">
      <c r="B34" s="50" t="s">
        <v>50</v>
      </c>
      <c r="C34" s="51">
        <f>+C20</f>
        <v>3649.9011720253748</v>
      </c>
      <c r="D34" s="74">
        <v>2.5000000000000001E-2</v>
      </c>
      <c r="E34" s="53">
        <f t="shared" si="1"/>
        <v>91.247529300634369</v>
      </c>
      <c r="F34" s="84">
        <v>0.05</v>
      </c>
      <c r="G34" s="75">
        <f>C34*F34</f>
        <v>182.49505860126874</v>
      </c>
    </row>
    <row r="35" spans="2:8" x14ac:dyDescent="0.25">
      <c r="B35" s="50"/>
      <c r="C35" s="51"/>
      <c r="D35" s="57"/>
      <c r="E35" s="51"/>
      <c r="F35" s="76"/>
      <c r="G35" s="75"/>
    </row>
    <row r="36" spans="2:8" x14ac:dyDescent="0.25">
      <c r="B36" s="50"/>
      <c r="C36" s="51"/>
      <c r="D36" s="52"/>
      <c r="E36" s="51"/>
      <c r="F36" s="77"/>
      <c r="G36" s="75"/>
    </row>
    <row r="37" spans="2:8" x14ac:dyDescent="0.25">
      <c r="B37" s="50" t="s">
        <v>45</v>
      </c>
      <c r="C37" s="51">
        <f>G34</f>
        <v>182.49505860126874</v>
      </c>
      <c r="D37" s="52">
        <v>6.8000000000000005E-2</v>
      </c>
      <c r="E37" s="51">
        <f>D37*C37</f>
        <v>12.409663984886276</v>
      </c>
      <c r="F37" s="72"/>
      <c r="G37" s="72"/>
    </row>
    <row r="38" spans="2:8" x14ac:dyDescent="0.25">
      <c r="B38" s="50" t="s">
        <v>46</v>
      </c>
      <c r="C38" s="51">
        <f>C37</f>
        <v>182.49505860126874</v>
      </c>
      <c r="D38" s="52">
        <v>2.4E-2</v>
      </c>
      <c r="E38" s="51">
        <f t="shared" ref="E38:E39" si="2">D38*C38</f>
        <v>4.3798814064304494</v>
      </c>
      <c r="F38" s="72"/>
      <c r="G38" s="72"/>
    </row>
    <row r="39" spans="2:8" x14ac:dyDescent="0.25">
      <c r="B39" s="50" t="s">
        <v>47</v>
      </c>
      <c r="C39" s="51">
        <f>C38</f>
        <v>182.49505860126874</v>
      </c>
      <c r="D39" s="52">
        <v>5.0000000000000001E-3</v>
      </c>
      <c r="E39" s="51">
        <f t="shared" si="2"/>
        <v>0.91247529300634367</v>
      </c>
      <c r="F39" s="72"/>
      <c r="G39" s="72"/>
    </row>
    <row r="40" spans="2:8" x14ac:dyDescent="0.25">
      <c r="B40" s="50"/>
      <c r="C40" s="51"/>
      <c r="D40" s="52"/>
      <c r="E40" s="51"/>
      <c r="F40" s="72"/>
      <c r="G40" s="72"/>
    </row>
    <row r="41" spans="2:8" x14ac:dyDescent="0.25">
      <c r="B41" s="78" t="s">
        <v>48</v>
      </c>
      <c r="C41" s="79"/>
      <c r="D41" s="65"/>
      <c r="E41" s="69">
        <f>SUM(E19:E40)</f>
        <v>898.76117202537489</v>
      </c>
      <c r="F41" s="80"/>
      <c r="G41" s="69">
        <f>SUM(G19:G40)</f>
        <v>182.49505860126874</v>
      </c>
    </row>
    <row r="42" spans="2:8" x14ac:dyDescent="0.25">
      <c r="B42" s="78" t="s">
        <v>49</v>
      </c>
      <c r="C42" s="79"/>
      <c r="D42" s="65"/>
      <c r="E42" s="98">
        <f>F16-E41</f>
        <v>2751.14</v>
      </c>
      <c r="F42" s="81"/>
      <c r="G42" s="72"/>
    </row>
    <row r="43" spans="2:8" x14ac:dyDescent="0.25">
      <c r="B43" s="101"/>
      <c r="C43" s="102"/>
      <c r="D43" s="103"/>
      <c r="E43" s="103"/>
      <c r="F43" s="103"/>
      <c r="G43" s="103"/>
      <c r="H43" s="103"/>
    </row>
    <row r="44" spans="2:8" x14ac:dyDescent="0.25">
      <c r="F44" s="103"/>
      <c r="G44" s="103"/>
    </row>
    <row r="45" spans="2:8" ht="18.75" x14ac:dyDescent="0.3">
      <c r="B45" s="100" t="s">
        <v>77</v>
      </c>
      <c r="C45" s="102"/>
      <c r="D45" s="103"/>
      <c r="E45" s="103"/>
      <c r="F45" s="103"/>
      <c r="G45" s="103"/>
    </row>
    <row r="46" spans="2:8" x14ac:dyDescent="0.25">
      <c r="B46" s="101"/>
      <c r="C46" s="102"/>
      <c r="D46" s="103"/>
      <c r="E46" s="103"/>
      <c r="F46" s="103"/>
      <c r="G46" s="103"/>
    </row>
    <row r="47" spans="2:8" ht="15.75" thickBot="1" x14ac:dyDescent="0.3"/>
    <row r="48" spans="2:8" ht="15.75" x14ac:dyDescent="0.25">
      <c r="B48" s="105" t="s">
        <v>23</v>
      </c>
      <c r="C48" s="106"/>
      <c r="D48" s="106"/>
      <c r="E48" s="107">
        <v>5000</v>
      </c>
    </row>
    <row r="49" spans="2:11" ht="15.75" x14ac:dyDescent="0.25">
      <c r="B49" s="108" t="s">
        <v>78</v>
      </c>
      <c r="C49" s="109">
        <v>70</v>
      </c>
      <c r="D49" s="110">
        <f>E48/140</f>
        <v>35.714285714285715</v>
      </c>
      <c r="E49" s="111">
        <f>-D49*C49</f>
        <v>-2500</v>
      </c>
    </row>
    <row r="50" spans="2:11" ht="15.75" x14ac:dyDescent="0.25">
      <c r="B50" s="108" t="s">
        <v>79</v>
      </c>
      <c r="C50" s="109"/>
      <c r="D50" s="109"/>
      <c r="E50" s="111">
        <f>-IJSS!C9</f>
        <v>-487.74</v>
      </c>
    </row>
    <row r="51" spans="2:11" ht="15.75" x14ac:dyDescent="0.25">
      <c r="B51" s="108" t="s">
        <v>80</v>
      </c>
      <c r="C51" s="109"/>
      <c r="D51" s="109"/>
      <c r="E51" s="111">
        <v>1637.64</v>
      </c>
      <c r="I51" t="s">
        <v>102</v>
      </c>
      <c r="J51">
        <f>5000-2500-487.74-3649.9</f>
        <v>-1637.64</v>
      </c>
    </row>
    <row r="52" spans="2:11" ht="16.5" thickBot="1" x14ac:dyDescent="0.3">
      <c r="B52" s="112" t="s">
        <v>81</v>
      </c>
      <c r="C52" s="113"/>
      <c r="D52" s="113"/>
      <c r="E52" s="114">
        <f>SUM(E48:E51)</f>
        <v>3649.9</v>
      </c>
    </row>
    <row r="53" spans="2:11" x14ac:dyDescent="0.25">
      <c r="B53" s="4"/>
      <c r="C53" s="43"/>
      <c r="D53" s="43"/>
      <c r="E53" s="104"/>
      <c r="F53" s="41"/>
      <c r="G53" s="40"/>
      <c r="I53" s="91" t="s">
        <v>65</v>
      </c>
      <c r="J53" s="82" t="s">
        <v>85</v>
      </c>
      <c r="K53" s="82"/>
    </row>
    <row r="54" spans="2:11" x14ac:dyDescent="0.25">
      <c r="B54" s="44" t="s">
        <v>24</v>
      </c>
      <c r="C54" s="45"/>
      <c r="D54" s="43"/>
      <c r="E54" s="43"/>
      <c r="F54" s="46">
        <f>F16</f>
        <v>3649.9011720253748</v>
      </c>
      <c r="G54" s="43"/>
      <c r="I54" s="82"/>
      <c r="J54" s="87"/>
      <c r="K54" s="82"/>
    </row>
    <row r="55" spans="2:11" x14ac:dyDescent="0.25">
      <c r="B55" s="47"/>
      <c r="C55" s="48" t="s">
        <v>25</v>
      </c>
      <c r="D55" s="48" t="s">
        <v>26</v>
      </c>
      <c r="E55" s="48" t="s">
        <v>27</v>
      </c>
      <c r="F55" s="49" t="s">
        <v>28</v>
      </c>
      <c r="G55" s="49" t="s">
        <v>29</v>
      </c>
      <c r="I55" s="82"/>
      <c r="J55" s="82"/>
      <c r="K55" s="82"/>
    </row>
    <row r="56" spans="2:11" x14ac:dyDescent="0.25">
      <c r="B56" s="47"/>
      <c r="C56" s="48"/>
      <c r="D56" s="48"/>
      <c r="E56" s="48"/>
      <c r="F56" s="49"/>
      <c r="G56" s="49"/>
      <c r="I56" s="82"/>
      <c r="J56" s="88"/>
      <c r="K56" s="88"/>
    </row>
    <row r="57" spans="2:11" x14ac:dyDescent="0.25">
      <c r="B57" s="50" t="s">
        <v>32</v>
      </c>
      <c r="C57" s="51">
        <f>IF(F54&gt;3311,3311,F54)</f>
        <v>3311</v>
      </c>
      <c r="D57" s="52">
        <v>6.9000000000000006E-2</v>
      </c>
      <c r="E57" s="53">
        <f t="shared" ref="E57:E61" si="3">C57*D57</f>
        <v>228.45900000000003</v>
      </c>
      <c r="F57" s="54"/>
      <c r="G57" s="55"/>
      <c r="I57" s="82"/>
      <c r="J57" s="89"/>
      <c r="K57" s="82"/>
    </row>
    <row r="58" spans="2:11" x14ac:dyDescent="0.25">
      <c r="B58" s="50" t="s">
        <v>34</v>
      </c>
      <c r="C58" s="51">
        <f>F54</f>
        <v>3649.9011720253748</v>
      </c>
      <c r="D58" s="52">
        <v>4.0000000000000001E-3</v>
      </c>
      <c r="E58" s="53">
        <f t="shared" si="3"/>
        <v>14.599604688101499</v>
      </c>
      <c r="F58" s="54"/>
      <c r="G58" s="55"/>
      <c r="I58" s="82"/>
      <c r="J58" s="90"/>
      <c r="K58" s="4"/>
    </row>
    <row r="59" spans="2:11" x14ac:dyDescent="0.25">
      <c r="B59" s="50" t="s">
        <v>36</v>
      </c>
      <c r="C59" s="51">
        <f>F54*0.9825</f>
        <v>3586.0279015149308</v>
      </c>
      <c r="D59" s="52">
        <v>2.4E-2</v>
      </c>
      <c r="E59" s="53">
        <f t="shared" si="3"/>
        <v>86.064669636358346</v>
      </c>
      <c r="F59" s="59"/>
      <c r="G59" s="60"/>
    </row>
    <row r="60" spans="2:11" x14ac:dyDescent="0.25">
      <c r="B60" s="50" t="s">
        <v>37</v>
      </c>
      <c r="C60" s="51">
        <f>C59</f>
        <v>3586.0279015149308</v>
      </c>
      <c r="D60" s="52">
        <v>6.8000000000000005E-2</v>
      </c>
      <c r="E60" s="53">
        <f t="shared" si="3"/>
        <v>243.84989730301533</v>
      </c>
      <c r="F60" s="59"/>
      <c r="G60" s="60"/>
    </row>
    <row r="61" spans="2:11" x14ac:dyDescent="0.25">
      <c r="B61" s="50" t="s">
        <v>38</v>
      </c>
      <c r="C61" s="51">
        <f>C60</f>
        <v>3586.0279015149308</v>
      </c>
      <c r="D61" s="52">
        <v>5.0000000000000001E-3</v>
      </c>
      <c r="E61" s="53">
        <f t="shared" si="3"/>
        <v>17.930139507574655</v>
      </c>
      <c r="F61" s="59"/>
      <c r="G61" s="60"/>
    </row>
    <row r="62" spans="2:11" x14ac:dyDescent="0.25">
      <c r="B62" s="63"/>
      <c r="C62" s="51"/>
      <c r="D62" s="61"/>
      <c r="E62" s="53"/>
      <c r="F62" s="62"/>
      <c r="G62" s="64"/>
    </row>
    <row r="63" spans="2:11" x14ac:dyDescent="0.25">
      <c r="B63" s="65" t="s">
        <v>39</v>
      </c>
      <c r="C63" s="66"/>
      <c r="D63" s="57"/>
      <c r="E63" s="57"/>
      <c r="F63" s="59"/>
      <c r="G63" s="67"/>
    </row>
    <row r="64" spans="2:11" x14ac:dyDescent="0.25">
      <c r="B64" s="50" t="s">
        <v>40</v>
      </c>
      <c r="C64" s="51">
        <f>C58</f>
        <v>3649.9011720253748</v>
      </c>
      <c r="D64" s="52"/>
      <c r="E64" s="53">
        <f>D64*C64</f>
        <v>0</v>
      </c>
      <c r="F64" s="54"/>
      <c r="G64" s="55"/>
    </row>
    <row r="65" spans="2:10" x14ac:dyDescent="0.25">
      <c r="B65" s="65" t="s">
        <v>41</v>
      </c>
      <c r="C65" s="51"/>
      <c r="D65" s="57"/>
      <c r="E65" s="58"/>
      <c r="F65" s="59"/>
      <c r="G65" s="60"/>
    </row>
    <row r="66" spans="2:10" x14ac:dyDescent="0.25">
      <c r="B66" s="50" t="s">
        <v>53</v>
      </c>
      <c r="C66" s="51">
        <f>C57</f>
        <v>3311</v>
      </c>
      <c r="D66" s="52">
        <v>3.1E-2</v>
      </c>
      <c r="E66" s="53">
        <f t="shared" ref="E66:E72" si="4">C66*D66</f>
        <v>102.64100000000001</v>
      </c>
      <c r="F66" s="54"/>
      <c r="G66" s="55"/>
      <c r="J66" s="92">
        <v>3262.4265</v>
      </c>
    </row>
    <row r="67" spans="2:10" x14ac:dyDescent="0.25">
      <c r="B67" s="50" t="s">
        <v>42</v>
      </c>
      <c r="C67" s="51">
        <f>C57</f>
        <v>3311</v>
      </c>
      <c r="D67" s="52">
        <v>8.0000000000000002E-3</v>
      </c>
      <c r="E67" s="53">
        <f t="shared" si="4"/>
        <v>26.488</v>
      </c>
      <c r="F67" s="54"/>
      <c r="G67" s="55"/>
    </row>
    <row r="68" spans="2:10" x14ac:dyDescent="0.25">
      <c r="B68" s="50" t="s">
        <v>52</v>
      </c>
      <c r="C68" s="51">
        <f>C58-C57</f>
        <v>338.90117202537476</v>
      </c>
      <c r="D68" s="52">
        <v>7.8E-2</v>
      </c>
      <c r="E68" s="53">
        <f t="shared" si="4"/>
        <v>26.434291417979232</v>
      </c>
      <c r="F68" s="54"/>
      <c r="G68" s="55"/>
    </row>
    <row r="69" spans="2:10" x14ac:dyDescent="0.25">
      <c r="B69" s="50" t="s">
        <v>51</v>
      </c>
      <c r="C69" s="51">
        <f>C68</f>
        <v>338.90117202537476</v>
      </c>
      <c r="D69" s="52">
        <v>8.9999999999999993E-3</v>
      </c>
      <c r="E69" s="53">
        <f t="shared" si="4"/>
        <v>3.0501105482283726</v>
      </c>
      <c r="F69" s="54"/>
      <c r="G69" s="55"/>
    </row>
    <row r="70" spans="2:10" x14ac:dyDescent="0.25">
      <c r="B70" s="50" t="s">
        <v>43</v>
      </c>
      <c r="C70" s="51">
        <f>C58</f>
        <v>3649.9011720253748</v>
      </c>
      <c r="D70" s="74">
        <v>2.4000000000000001E-4</v>
      </c>
      <c r="E70" s="53">
        <f t="shared" si="4"/>
        <v>0.87597628128608995</v>
      </c>
      <c r="F70" s="74"/>
      <c r="G70" s="55"/>
    </row>
    <row r="71" spans="2:10" x14ac:dyDescent="0.25">
      <c r="B71" s="50" t="s">
        <v>44</v>
      </c>
      <c r="C71" s="51">
        <f>C70</f>
        <v>3649.9011720253748</v>
      </c>
      <c r="D71" s="74">
        <v>1.2999999999999999E-3</v>
      </c>
      <c r="E71" s="53">
        <f t="shared" si="4"/>
        <v>4.7448715236329866</v>
      </c>
      <c r="F71" s="74"/>
      <c r="G71" s="55"/>
    </row>
    <row r="72" spans="2:10" x14ac:dyDescent="0.25">
      <c r="B72" s="50" t="s">
        <v>50</v>
      </c>
      <c r="C72" s="51">
        <f>+C58</f>
        <v>3649.9011720253748</v>
      </c>
      <c r="D72" s="74">
        <v>2.5000000000000001E-2</v>
      </c>
      <c r="E72" s="53">
        <f t="shared" si="4"/>
        <v>91.247529300634369</v>
      </c>
      <c r="F72" s="84">
        <v>0.05</v>
      </c>
      <c r="G72" s="75">
        <f>C72*F72</f>
        <v>182.49505860126874</v>
      </c>
    </row>
    <row r="73" spans="2:10" x14ac:dyDescent="0.25">
      <c r="B73" s="50"/>
      <c r="C73" s="51"/>
      <c r="D73" s="57"/>
      <c r="E73" s="51"/>
      <c r="F73" s="76"/>
      <c r="G73" s="75"/>
    </row>
    <row r="74" spans="2:10" x14ac:dyDescent="0.25">
      <c r="B74" s="50"/>
      <c r="C74" s="51"/>
      <c r="D74" s="52"/>
      <c r="E74" s="51"/>
      <c r="F74" s="77"/>
      <c r="G74" s="75"/>
    </row>
    <row r="75" spans="2:10" x14ac:dyDescent="0.25">
      <c r="B75" s="50" t="s">
        <v>45</v>
      </c>
      <c r="C75" s="51">
        <f>G72</f>
        <v>182.49505860126874</v>
      </c>
      <c r="D75" s="52">
        <v>6.8000000000000005E-2</v>
      </c>
      <c r="E75" s="51">
        <f>D75*C75</f>
        <v>12.409663984886276</v>
      </c>
      <c r="F75" s="72"/>
      <c r="G75" s="72"/>
    </row>
    <row r="76" spans="2:10" x14ac:dyDescent="0.25">
      <c r="B76" s="50" t="s">
        <v>46</v>
      </c>
      <c r="C76" s="51">
        <f>C75</f>
        <v>182.49505860126874</v>
      </c>
      <c r="D76" s="52">
        <v>2.4E-2</v>
      </c>
      <c r="E76" s="51">
        <f t="shared" ref="E76:E77" si="5">D76*C76</f>
        <v>4.3798814064304494</v>
      </c>
      <c r="F76" s="72"/>
      <c r="G76" s="72"/>
    </row>
    <row r="77" spans="2:10" x14ac:dyDescent="0.25">
      <c r="B77" s="50" t="s">
        <v>47</v>
      </c>
      <c r="C77" s="51">
        <f>C76</f>
        <v>182.49505860126874</v>
      </c>
      <c r="D77" s="52">
        <v>5.0000000000000001E-3</v>
      </c>
      <c r="E77" s="51">
        <f t="shared" si="5"/>
        <v>0.91247529300634367</v>
      </c>
      <c r="F77" s="72"/>
      <c r="G77" s="72"/>
    </row>
    <row r="78" spans="2:10" x14ac:dyDescent="0.25">
      <c r="B78" s="50"/>
      <c r="C78" s="51"/>
      <c r="D78" s="52"/>
      <c r="E78" s="51"/>
      <c r="F78" s="72"/>
      <c r="G78" s="72"/>
    </row>
    <row r="79" spans="2:10" x14ac:dyDescent="0.25">
      <c r="B79" s="78" t="s">
        <v>48</v>
      </c>
      <c r="C79" s="79"/>
      <c r="D79" s="65"/>
      <c r="E79" s="69">
        <f>SUM(E57:E78)</f>
        <v>864.08711089113399</v>
      </c>
      <c r="F79" s="80"/>
      <c r="G79" s="69">
        <f>SUM(G57:G78)</f>
        <v>182.49505860126874</v>
      </c>
    </row>
    <row r="80" spans="2:10" ht="15.75" thickBot="1" x14ac:dyDescent="0.3">
      <c r="B80" s="115" t="s">
        <v>83</v>
      </c>
      <c r="C80" s="116"/>
      <c r="D80" s="117"/>
      <c r="E80" s="118">
        <f>F54-E79</f>
        <v>2785.8140611342405</v>
      </c>
      <c r="F80" s="81"/>
      <c r="G80" s="72"/>
    </row>
    <row r="81" spans="2:5" x14ac:dyDescent="0.25">
      <c r="B81" s="119" t="s">
        <v>82</v>
      </c>
      <c r="C81" s="120"/>
      <c r="D81" s="120"/>
      <c r="E81" s="121">
        <f>IJSS!C11</f>
        <v>455.06142</v>
      </c>
    </row>
    <row r="82" spans="2:5" ht="15.75" thickBot="1" x14ac:dyDescent="0.3">
      <c r="B82" s="122" t="s">
        <v>49</v>
      </c>
      <c r="C82" s="123"/>
      <c r="D82" s="123"/>
      <c r="E82" s="124">
        <f>E81+E80</f>
        <v>3240.8754811342405</v>
      </c>
    </row>
    <row r="83" spans="2:5" ht="15.75" thickBot="1" x14ac:dyDescent="0.3"/>
    <row r="84" spans="2:5" x14ac:dyDescent="0.25">
      <c r="B84" s="125" t="s">
        <v>73</v>
      </c>
      <c r="C84" s="94"/>
      <c r="D84" s="94"/>
      <c r="E84" s="126">
        <f>'SALAIRE HABITUEL'!D56</f>
        <v>3794.5065</v>
      </c>
    </row>
    <row r="85" spans="2:5" x14ac:dyDescent="0.25">
      <c r="B85" s="127" t="s">
        <v>84</v>
      </c>
      <c r="C85" s="95"/>
      <c r="D85" s="95"/>
      <c r="E85" s="132">
        <f>+E84-E82</f>
        <v>553.63101886575942</v>
      </c>
    </row>
    <row r="86" spans="2:5" x14ac:dyDescent="0.25">
      <c r="B86" s="127" t="s">
        <v>71</v>
      </c>
      <c r="C86" s="95"/>
      <c r="D86" s="95"/>
      <c r="E86" s="128">
        <f>IJSS!C10</f>
        <v>32.678580000000004</v>
      </c>
    </row>
    <row r="87" spans="2:5" x14ac:dyDescent="0.25">
      <c r="B87" s="127" t="s">
        <v>88</v>
      </c>
      <c r="C87" s="95"/>
      <c r="D87" s="95"/>
      <c r="E87" s="128">
        <f>+E7</f>
        <v>406.55464285714288</v>
      </c>
    </row>
    <row r="88" spans="2:5" x14ac:dyDescent="0.25">
      <c r="B88" s="136">
        <v>0.1</v>
      </c>
      <c r="C88" s="134"/>
      <c r="D88" s="134"/>
      <c r="E88" s="135">
        <f>E8</f>
        <v>149.07003571428572</v>
      </c>
    </row>
    <row r="89" spans="2:5" ht="15.75" thickBot="1" x14ac:dyDescent="0.3">
      <c r="B89" s="129" t="s">
        <v>89</v>
      </c>
      <c r="C89" s="96"/>
      <c r="D89" s="96"/>
      <c r="E89" s="133">
        <f>SUM(E86:E88)</f>
        <v>588.30325857142861</v>
      </c>
    </row>
  </sheetData>
  <mergeCells count="13">
    <mergeCell ref="J56:K56"/>
    <mergeCell ref="B55:B56"/>
    <mergeCell ref="C55:C56"/>
    <mergeCell ref="D55:D56"/>
    <mergeCell ref="E55:E56"/>
    <mergeCell ref="F55:F56"/>
    <mergeCell ref="G55:G56"/>
    <mergeCell ref="B17:B18"/>
    <mergeCell ref="C17:C18"/>
    <mergeCell ref="D17:D18"/>
    <mergeCell ref="E17:E18"/>
    <mergeCell ref="F17:F18"/>
    <mergeCell ref="G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Salarié</vt:lpstr>
      <vt:lpstr>IJSS</vt:lpstr>
      <vt:lpstr>SALAIRE HABITUEL</vt:lpstr>
      <vt:lpstr>PREMIER CAS</vt:lpstr>
      <vt:lpstr>DEUXIEME CAS </vt:lpstr>
      <vt:lpstr>TROISIEME CAS</vt:lpstr>
      <vt:lpstr>Feuil7</vt:lpstr>
      <vt:lpstr>TROISIEME CAS (2)</vt:lpstr>
      <vt:lpstr>'SALAIRE HABITUEL'!_Toc409093540</vt:lpstr>
      <vt:lpstr>Salarié!_Toc409093540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2018-11-27T12:53:16Z</dcterms:created>
  <dcterms:modified xsi:type="dcterms:W3CDTF">2018-11-30T07:23:15Z</dcterms:modified>
</cp:coreProperties>
</file>