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KHOS\Desktop\BLOG PAIE ET BULLETINS SIMPL\ETUDE DE CAS 1\"/>
    </mc:Choice>
  </mc:AlternateContent>
  <xr:revisionPtr revIDLastSave="0" documentId="8_{ADE372D8-4390-46F6-8B96-C991207DC9B6}" xr6:coauthVersionLast="37" xr6:coauthVersionMax="37" xr10:uidLastSave="{00000000-0000-0000-0000-000000000000}"/>
  <bookViews>
    <workbookView xWindow="0" yWindow="0" windowWidth="24000" windowHeight="9525" activeTab="1" xr2:uid="{43DA2163-900E-49ED-A3A5-3E96BDF45064}"/>
  </bookViews>
  <sheets>
    <sheet name="Heures sup" sheetId="1" r:id="rId1"/>
    <sheet name="Absences" sheetId="5" r:id="rId2"/>
    <sheet name="Congés payés" sheetId="6" r:id="rId3"/>
    <sheet name="Heures compl" sheetId="7" r:id="rId4"/>
    <sheet name="AN Logement" sheetId="8" r:id="rId5"/>
    <sheet name="AN Véhicule" sheetId="9" r:id="rId6"/>
    <sheet name="FILLON" sheetId="2" r:id="rId7"/>
    <sheet name="Plafonds" sheetId="3" r:id="rId8"/>
    <sheet name="GMP" sheetId="10" r:id="rId9"/>
    <sheet name="ALLOCAT" sheetId="11" r:id="rId10"/>
    <sheet name="SAISIE" sheetId="12" r:id="rId11"/>
    <sheet name="NETS" sheetId="13" r:id="rId12"/>
  </sheets>
  <calcPr calcId="17902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6" i="5" l="1"/>
  <c r="C17" i="5"/>
  <c r="D17" i="5"/>
  <c r="C18" i="5"/>
  <c r="D18" i="5"/>
  <c r="C19" i="5"/>
  <c r="D19" i="5"/>
  <c r="D20" i="5"/>
  <c r="B3" i="5"/>
  <c r="B4" i="5"/>
  <c r="C33" i="9"/>
  <c r="B23" i="9"/>
  <c r="B24" i="9"/>
  <c r="B25" i="9"/>
  <c r="C18" i="13"/>
  <c r="C19" i="13"/>
  <c r="C20" i="13"/>
  <c r="C21" i="13"/>
  <c r="C22" i="13"/>
  <c r="C23" i="13"/>
  <c r="C24" i="13"/>
  <c r="C25" i="13"/>
  <c r="C27" i="13"/>
  <c r="C28" i="13"/>
  <c r="D15" i="12"/>
  <c r="D16" i="12"/>
  <c r="B8" i="12"/>
  <c r="B7" i="12"/>
  <c r="A8" i="12"/>
  <c r="D8" i="12"/>
  <c r="B6" i="12"/>
  <c r="A7" i="12"/>
  <c r="D7" i="12"/>
  <c r="B5" i="12"/>
  <c r="A6" i="12"/>
  <c r="D6" i="12"/>
  <c r="B4" i="12"/>
  <c r="A5" i="12"/>
  <c r="D5" i="12"/>
  <c r="D4" i="12"/>
  <c r="E4" i="12"/>
  <c r="E5" i="12"/>
  <c r="E6" i="12"/>
  <c r="E7" i="12"/>
  <c r="E8" i="12"/>
  <c r="D11" i="12"/>
  <c r="D4" i="11"/>
  <c r="D6" i="11"/>
  <c r="D7" i="11"/>
  <c r="C4" i="11"/>
  <c r="C5" i="11"/>
  <c r="C6" i="11"/>
  <c r="E6" i="11"/>
  <c r="E4" i="11"/>
  <c r="F4" i="11"/>
  <c r="C5" i="10"/>
  <c r="C6" i="10"/>
  <c r="B3" i="2"/>
  <c r="D16" i="2"/>
  <c r="D14" i="2"/>
  <c r="D15" i="2"/>
  <c r="L3" i="2"/>
  <c r="L4" i="2"/>
  <c r="H13" i="9"/>
  <c r="C3" i="9"/>
  <c r="C4" i="9"/>
  <c r="H14" i="9"/>
  <c r="I14" i="9"/>
  <c r="B13" i="9"/>
  <c r="B7" i="9"/>
  <c r="C3" i="8"/>
  <c r="J4" i="8"/>
  <c r="C3" i="7"/>
  <c r="C5" i="7"/>
  <c r="C4" i="7"/>
  <c r="D22" i="1"/>
  <c r="D23" i="1"/>
  <c r="I20" i="1"/>
  <c r="D24" i="1"/>
  <c r="I21" i="1"/>
  <c r="I22" i="1"/>
  <c r="E16" i="6"/>
  <c r="B41" i="13"/>
  <c r="D41" i="13"/>
  <c r="C60" i="13"/>
  <c r="B42" i="13"/>
  <c r="D42" i="13"/>
  <c r="C61" i="13"/>
  <c r="B43" i="13"/>
  <c r="D43" i="13"/>
  <c r="C62" i="13"/>
  <c r="C63" i="13"/>
  <c r="C64" i="13"/>
  <c r="C48" i="13"/>
  <c r="C47" i="13"/>
  <c r="C33" i="13"/>
  <c r="C34" i="13"/>
  <c r="G7" i="11"/>
  <c r="F7" i="11"/>
  <c r="H7" i="11"/>
  <c r="C7" i="11"/>
  <c r="F2" i="2"/>
  <c r="F3" i="2"/>
  <c r="D8" i="2"/>
  <c r="F4" i="2"/>
  <c r="D9" i="2"/>
  <c r="B4" i="2"/>
  <c r="B8" i="2"/>
  <c r="C8" i="2"/>
  <c r="C2" i="9"/>
  <c r="B10" i="8"/>
  <c r="C10" i="7"/>
  <c r="E10" i="7"/>
  <c r="C11" i="7"/>
  <c r="E11" i="7"/>
  <c r="C12" i="7"/>
  <c r="E12" i="7"/>
  <c r="C13" i="7"/>
  <c r="E13" i="7"/>
  <c r="C9" i="7"/>
  <c r="E28" i="6"/>
  <c r="G28" i="6"/>
  <c r="G29" i="6"/>
  <c r="F32" i="6"/>
  <c r="G32" i="6"/>
  <c r="E25" i="6"/>
  <c r="F33" i="6"/>
  <c r="G33" i="6"/>
  <c r="E11" i="6"/>
  <c r="E8" i="6"/>
  <c r="D25" i="1"/>
  <c r="C39" i="1"/>
  <c r="C38" i="1"/>
  <c r="C31" i="1"/>
  <c r="E31" i="1"/>
  <c r="C30" i="1"/>
  <c r="D20" i="1"/>
  <c r="D21" i="1"/>
  <c r="C34" i="1"/>
  <c r="E30" i="1"/>
  <c r="D29" i="1"/>
  <c r="C15" i="1"/>
  <c r="C9" i="1"/>
  <c r="D9" i="1"/>
  <c r="C6" i="1"/>
  <c r="C7" i="1"/>
  <c r="C8" i="1"/>
  <c r="G34" i="6"/>
  <c r="E8" i="2"/>
  <c r="F8" i="2"/>
  <c r="G8" i="2"/>
  <c r="C9" i="2"/>
  <c r="E34" i="1"/>
  <c r="B39" i="1"/>
  <c r="D39" i="1"/>
  <c r="D34" i="1"/>
  <c r="B38" i="1"/>
  <c r="D38" i="1"/>
  <c r="D17" i="12"/>
  <c r="E9" i="2"/>
  <c r="F9" i="2"/>
  <c r="G9" i="2"/>
  <c r="D40" i="1"/>
  <c r="M7" i="11"/>
  <c r="E6" i="10"/>
  <c r="D18" i="12"/>
  <c r="H4" i="11"/>
  <c r="G5" i="11"/>
  <c r="G6" i="11"/>
  <c r="G4" i="11"/>
  <c r="D5" i="11"/>
  <c r="E5" i="10"/>
  <c r="D5" i="10"/>
  <c r="D6" i="10"/>
  <c r="F5" i="10"/>
  <c r="D6" i="3"/>
  <c r="D7" i="3"/>
  <c r="C5" i="3"/>
  <c r="E5" i="3"/>
  <c r="F5" i="3"/>
  <c r="G5" i="3"/>
  <c r="C29" i="13"/>
  <c r="D44" i="13"/>
  <c r="E24" i="13"/>
  <c r="C6" i="3"/>
  <c r="F6" i="11"/>
  <c r="H6" i="11"/>
  <c r="G4" i="10"/>
  <c r="C30" i="13"/>
  <c r="C36" i="13"/>
  <c r="E6" i="3"/>
  <c r="F6" i="3"/>
  <c r="G6" i="3"/>
  <c r="C7" i="3"/>
  <c r="E7" i="3"/>
  <c r="F5" i="11"/>
  <c r="H5" i="11"/>
  <c r="G6" i="10"/>
  <c r="G5" i="10"/>
  <c r="F7" i="3"/>
  <c r="G7" i="3"/>
  <c r="B14" i="9"/>
  <c r="B8" i="9"/>
  <c r="B9" i="9"/>
  <c r="B10" i="9"/>
  <c r="D17" i="9"/>
  <c r="D18" i="9"/>
  <c r="C10" i="8"/>
  <c r="D10" i="8"/>
  <c r="D12" i="8"/>
  <c r="C19" i="7"/>
  <c r="C18" i="7"/>
  <c r="F16" i="6"/>
  <c r="G16" i="6"/>
  <c r="G11" i="6"/>
  <c r="G12" i="6"/>
  <c r="F15" i="6"/>
  <c r="G15" i="6"/>
  <c r="C8" i="5"/>
  <c r="D8" i="5"/>
  <c r="D9" i="5"/>
  <c r="C14" i="1"/>
  <c r="E7" i="1"/>
  <c r="E6" i="1"/>
  <c r="D5" i="1"/>
  <c r="D8" i="1"/>
  <c r="E9" i="7"/>
  <c r="G17" i="6"/>
  <c r="D10" i="1"/>
  <c r="B14" i="1"/>
  <c r="D14" i="1"/>
  <c r="E8" i="1"/>
  <c r="E10" i="1"/>
  <c r="B15" i="1"/>
  <c r="D15" i="1"/>
  <c r="D14" i="7"/>
  <c r="B18" i="7"/>
  <c r="D18" i="7"/>
  <c r="E14" i="7"/>
  <c r="C14" i="7"/>
  <c r="C10" i="1"/>
  <c r="D16" i="1"/>
  <c r="B19" i="7"/>
  <c r="D19" i="7"/>
  <c r="D20" i="7"/>
</calcChain>
</file>

<file path=xl/sharedStrings.xml><?xml version="1.0" encoding="utf-8"?>
<sst xmlns="http://schemas.openxmlformats.org/spreadsheetml/2006/main" count="331" uniqueCount="211">
  <si>
    <t>Heures sup</t>
  </si>
  <si>
    <t>Semaine du 30/9 au 5/10</t>
  </si>
  <si>
    <t>Semaine du 8/10 au 12/10</t>
  </si>
  <si>
    <t>Semaine du 15/10 au 19/10</t>
  </si>
  <si>
    <t>Semaine du 22/10 au 26/10</t>
  </si>
  <si>
    <t>Semaine du 29/10 au 2/11</t>
  </si>
  <si>
    <t>Totaux</t>
  </si>
  <si>
    <t>Salaire de base</t>
  </si>
  <si>
    <t>H sup à 125%</t>
  </si>
  <si>
    <t>H Sup à 150%</t>
  </si>
  <si>
    <t>Salaire brut</t>
  </si>
  <si>
    <t>Avantage en nature</t>
  </si>
  <si>
    <t>Durée mensuelle</t>
  </si>
  <si>
    <t>Indemnité de congé</t>
  </si>
  <si>
    <t>Taux horaire</t>
  </si>
  <si>
    <t>Absences</t>
  </si>
  <si>
    <t>Lundi</t>
  </si>
  <si>
    <t>Mardi</t>
  </si>
  <si>
    <t>Mercredi</t>
  </si>
  <si>
    <t>Jeudi</t>
  </si>
  <si>
    <t>Vendredi</t>
  </si>
  <si>
    <t>Samedi</t>
  </si>
  <si>
    <t>Dimanche</t>
  </si>
  <si>
    <t>DUREE CONGE</t>
  </si>
  <si>
    <t>Nombre d'heures du mois</t>
  </si>
  <si>
    <t>Taux horaire de retenue</t>
  </si>
  <si>
    <t>Nombre d'heures d'absences</t>
  </si>
  <si>
    <t>regle du dixieme</t>
  </si>
  <si>
    <t>Montant par jour de congé</t>
  </si>
  <si>
    <t>Semaine 1</t>
  </si>
  <si>
    <t>Semaine 2</t>
  </si>
  <si>
    <t>Semaine 3</t>
  </si>
  <si>
    <t>Semaine 4</t>
  </si>
  <si>
    <t>Semaine 5</t>
  </si>
  <si>
    <t>Taux horaire à 110%</t>
  </si>
  <si>
    <t>Taux horaire à 125%</t>
  </si>
  <si>
    <t>RAPPORT SALAIRE / PLAFOND</t>
  </si>
  <si>
    <t xml:space="preserve">Par pièce </t>
  </si>
  <si>
    <t>Nombre de pièces</t>
  </si>
  <si>
    <t>Carburant privé</t>
  </si>
  <si>
    <t>Kilométrage privé</t>
  </si>
  <si>
    <t>Cout du carburant / KM</t>
  </si>
  <si>
    <t>Option 9%</t>
  </si>
  <si>
    <t>PA * 9%</t>
  </si>
  <si>
    <t>Frais personnels</t>
  </si>
  <si>
    <t>Avantage en nature annuel</t>
  </si>
  <si>
    <t>Avantage en nature mensuel</t>
  </si>
  <si>
    <t>MOIS</t>
  </si>
  <si>
    <t>JANVIER</t>
  </si>
  <si>
    <t>FÉVRIER</t>
  </si>
  <si>
    <t>MARS</t>
  </si>
  <si>
    <t>SALAIRES</t>
  </si>
  <si>
    <t>CUMUL SALAIRES</t>
  </si>
  <si>
    <t>CUMULS PLAF</t>
  </si>
  <si>
    <t>TA</t>
  </si>
  <si>
    <t>TB</t>
  </si>
  <si>
    <t>GMP</t>
  </si>
  <si>
    <t>CUMUL CHARNIERE</t>
  </si>
  <si>
    <t>ASSIETTE 
MOIS</t>
  </si>
  <si>
    <t>allocat 3,45%</t>
  </si>
  <si>
    <t>allocat 1,80%</t>
  </si>
  <si>
    <t>Retenues</t>
  </si>
  <si>
    <t>Tranches de salaires nets</t>
  </si>
  <si>
    <t>Part saisissable</t>
  </si>
  <si>
    <t>Montants</t>
  </si>
  <si>
    <t>Cumuls</t>
  </si>
  <si>
    <t>DE</t>
  </si>
  <si>
    <t>A</t>
  </si>
  <si>
    <t>Saisie</t>
  </si>
  <si>
    <t>Taux de retenues salariales hors Prévoyances, mutuelles et CSG CRDS sur patronales.</t>
  </si>
  <si>
    <t>21.68%</t>
  </si>
  <si>
    <t>Titres repas</t>
  </si>
  <si>
    <t>60% de prise en charge employeur)</t>
  </si>
  <si>
    <t>Saisie sur salaire</t>
  </si>
  <si>
    <t>Acomptes</t>
  </si>
  <si>
    <t>Avance</t>
  </si>
  <si>
    <t>Frais de déplacement</t>
  </si>
  <si>
    <t>Mutuelle salariale</t>
  </si>
  <si>
    <t>Prévoyance salariale</t>
  </si>
  <si>
    <t>Mutuelle patronale</t>
  </si>
  <si>
    <t>Prévoyance patronale</t>
  </si>
  <si>
    <t>Retenues salariales</t>
  </si>
  <si>
    <t>CSG CRDS sur patronale</t>
  </si>
  <si>
    <t>Total des retenues</t>
  </si>
  <si>
    <t>NET</t>
  </si>
  <si>
    <t>Acompte</t>
  </si>
  <si>
    <t>NET A PAYER</t>
  </si>
  <si>
    <t>retenues non déductibles</t>
  </si>
  <si>
    <t>CSG CRDS SUR SALAIRES</t>
  </si>
  <si>
    <t>CSG CRDS sur patronales</t>
  </si>
  <si>
    <t>MUTUELLE PATRONALE</t>
  </si>
  <si>
    <t>NET IMPOSABLE</t>
  </si>
  <si>
    <t>Frais de déplacements</t>
  </si>
  <si>
    <t>CUMUL 
SALAIRES</t>
  </si>
  <si>
    <t>CUMULS
 PLAF</t>
  </si>
  <si>
    <t>TA
 CUMULEE</t>
  </si>
  <si>
    <t>3,5 SMICS
cumule</t>
  </si>
  <si>
    <t>Salaire net</t>
  </si>
  <si>
    <t>35 heures</t>
  </si>
  <si>
    <t>39 heures</t>
  </si>
  <si>
    <t>Horaire mensuel</t>
  </si>
  <si>
    <t>39*52/12</t>
  </si>
  <si>
    <t>Heures sup à 125%</t>
  </si>
  <si>
    <t>169-151,67</t>
  </si>
  <si>
    <t>Corriespondance en heures normales</t>
  </si>
  <si>
    <t>151,67+(17,33*1,25)</t>
  </si>
  <si>
    <t>Salaire horaire normal</t>
  </si>
  <si>
    <t>2750/173,3325</t>
  </si>
  <si>
    <t>Salaire horaire 125%</t>
  </si>
  <si>
    <t>15,865*125%</t>
  </si>
  <si>
    <t>Salaire horaire 150%</t>
  </si>
  <si>
    <t>15,865*150%</t>
  </si>
  <si>
    <t>feries chomés payés</t>
  </si>
  <si>
    <t>feries travaillés payés</t>
  </si>
  <si>
    <t>En heures réelles</t>
  </si>
  <si>
    <t>4120/30</t>
  </si>
  <si>
    <t>En jours ouvrables</t>
  </si>
  <si>
    <t>Nombre de jours du mois</t>
  </si>
  <si>
    <t>Nombre de jours ouvrables d'absences</t>
  </si>
  <si>
    <t>27,50*52/12</t>
  </si>
  <si>
    <t>36000-29000</t>
  </si>
  <si>
    <t>3450/36000</t>
  </si>
  <si>
    <t>7000*0,0958</t>
  </si>
  <si>
    <t>CUMULS</t>
  </si>
  <si>
    <t>CUMULS SMICS</t>
  </si>
  <si>
    <t>COEF CUMULE</t>
  </si>
  <si>
    <t>FILLON ARRONDI</t>
  </si>
  <si>
    <t>FILLON MOIS</t>
  </si>
  <si>
    <t>Prime exceptionnelle</t>
  </si>
  <si>
    <t xml:space="preserve">Horaire </t>
  </si>
  <si>
    <t>heures complem à 110%</t>
  </si>
  <si>
    <t>heures en janvier</t>
  </si>
  <si>
    <t>SMIC JANVIER</t>
  </si>
  <si>
    <t>SMIC février</t>
  </si>
  <si>
    <t>AVRIL</t>
  </si>
  <si>
    <t>Net à payer</t>
  </si>
  <si>
    <t xml:space="preserve">12 titres à 7 € </t>
  </si>
  <si>
    <t>2525*2,10%</t>
  </si>
  <si>
    <t>2525*1,05%</t>
  </si>
  <si>
    <t>2525*1,90%</t>
  </si>
  <si>
    <t>2525*0,50%</t>
  </si>
  <si>
    <t>60,60 * 9,70%</t>
  </si>
  <si>
    <t>1892,16/10</t>
  </si>
  <si>
    <t>12 * 7 * 40%</t>
  </si>
  <si>
    <t>3 s et 8</t>
  </si>
  <si>
    <t>15+8</t>
  </si>
  <si>
    <t>23 jours</t>
  </si>
  <si>
    <t>18+5+4</t>
  </si>
  <si>
    <t>16 jours</t>
  </si>
  <si>
    <t>26 fev au 2 mars</t>
  </si>
  <si>
    <t>du 5 au 9</t>
  </si>
  <si>
    <t>du 12 au 16</t>
  </si>
  <si>
    <t>du 19 au 23</t>
  </si>
  <si>
    <t>du 26 au 30</t>
  </si>
  <si>
    <t>salaire de base pour 151,67 h</t>
  </si>
  <si>
    <t xml:space="preserve">17,33 hs a 125% </t>
  </si>
  <si>
    <t>salaire de base pour 169 h</t>
  </si>
  <si>
    <t>DE 35 A 43 H + 125%</t>
  </si>
  <si>
    <t>AU DELA DE 43 H + 150%</t>
  </si>
  <si>
    <t>23 JOURS OUVRES DE 7 H</t>
  </si>
  <si>
    <t>2750 / 161 H</t>
  </si>
  <si>
    <t>8 et 10 mai</t>
  </si>
  <si>
    <t>salaire brut</t>
  </si>
  <si>
    <t>37250 + 3 950 = 41 200 €</t>
  </si>
  <si>
    <t>1990/119,17*110%</t>
  </si>
  <si>
    <t>1990/119,17*125%</t>
  </si>
  <si>
    <t>Limité a 10% = 2,75 h</t>
  </si>
  <si>
    <t>salaire de base</t>
  </si>
  <si>
    <t>prime except</t>
  </si>
  <si>
    <t>brut</t>
  </si>
  <si>
    <t>2000/3311</t>
  </si>
  <si>
    <t>Ligne &gt;= 0,6 et &lt; 0,7</t>
  </si>
  <si>
    <t>Option 12%</t>
  </si>
  <si>
    <t>PA * 12%</t>
  </si>
  <si>
    <t>AVANTAGE REEL</t>
  </si>
  <si>
    <t>20% PA</t>
  </si>
  <si>
    <t>FRAIS</t>
  </si>
  <si>
    <t>Amortissement du véhicule</t>
  </si>
  <si>
    <t>taux horaire 110%</t>
  </si>
  <si>
    <t>5 hs</t>
  </si>
  <si>
    <t>horaire contractuelle</t>
  </si>
  <si>
    <t>5 hc</t>
  </si>
  <si>
    <t>duree janvier</t>
  </si>
  <si>
    <t>124,1666*9,88</t>
  </si>
  <si>
    <t>SMIC FEVRIER</t>
  </si>
  <si>
    <t>119,1666 * 9,88</t>
  </si>
  <si>
    <t>=ARRONDI(0,2854/0,6*((1,6*CUMULSMIC/CUMULSALAIRES)-1);4)</t>
  </si>
  <si>
    <t>158,83 = 445,52 - 286,69</t>
  </si>
  <si>
    <t>=MIN(CUMULSALAIRES:CUMULPLAF)</t>
  </si>
  <si>
    <t>TA CUMULEE</t>
  </si>
  <si>
    <t xml:space="preserve">TA DU MOIS </t>
  </si>
  <si>
    <t xml:space="preserve"> = TA CUMULEE MOIS EN COURS - TA CUMULEE MOIS PRECEDENT)</t>
  </si>
  <si>
    <t>EN FEVRIER 3722 = 6 622 - 2 900</t>
  </si>
  <si>
    <t>SI SALAIRE ENTRE CUMULPLAF ET CUMULS CHARNIERE</t>
  </si>
  <si>
    <t>ASSIETTE GMP
CUMULEE</t>
  </si>
  <si>
    <t>ASSIETTE GMP CUMULEE = CUMULCHARNIERE - CUMULS SALAIRES</t>
  </si>
  <si>
    <t xml:space="preserve"> 7 329,64 -7 000 = 329,64</t>
  </si>
  <si>
    <t>assiette cumulée
1,80%</t>
  </si>
  <si>
    <t>1967 * 24%</t>
  </si>
  <si>
    <t>2525 * 21,68%</t>
  </si>
  <si>
    <t>2525 * 98,25% = 2 480,81</t>
  </si>
  <si>
    <t>NET IMPOSABLE = BRUT - RETENUES + CSG CRDS DE 2,4% et 0,5% + MUTUELLE PATRONALE</t>
  </si>
  <si>
    <t>TOTAL</t>
  </si>
  <si>
    <t>Au prorata du kilométrage privé / total</t>
  </si>
  <si>
    <t>10100 * 7000 km / 36 000 km</t>
  </si>
  <si>
    <t>1963,90 + 670,83 de carburant privé</t>
  </si>
  <si>
    <t>Mensuellement</t>
  </si>
  <si>
    <t>2634,72/12</t>
  </si>
  <si>
    <t>le plus avantageux</t>
  </si>
  <si>
    <t>1er mai</t>
  </si>
  <si>
    <t>Déduction 3 jours fériés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</si>
</sst>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00\ &quot;€&quot;_-;\-* #,##0.0000\ &quot;€&quot;_-;_-* &quot;-&quot;??\ &quot;€&quot;_-;_-@_-"/>
    <numFmt numFmtId="165" formatCode="_-* #,##0.000\ &quot;€&quot;_-;\-* #,##0.000\ &quot;€&quot;_-;_-* &quot;-&quot;??\ &quot;€&quot;_-;_-@_-"/>
    <numFmt numFmtId="166" formatCode="_-* #,##0.000\ &quot;€&quot;_-;\-* #,##0.000\ &quot;€&quot;_-;_-* &quot;-&quot;???\ &quot;€&quot;_-;_-@_-"/>
    <numFmt numFmtId="167" formatCode="[$-F800]dddd\,\ mmmm\ dd\,\ 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6"/>
      <color theme="1"/>
      <name val="Lucida Bright"/>
      <family val="1"/>
    </font>
    <font>
      <b/>
      <sz val="18"/>
      <color theme="1"/>
      <name val="Lucida Bright"/>
      <family val="1"/>
    </font>
    <font>
      <sz val="16"/>
      <color rgb="FF00000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3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9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44" fontId="0" fillId="0" borderId="3" xfId="1" applyFont="1" applyBorder="1" applyAlignment="1">
      <alignment vertical="center" wrapText="1"/>
    </xf>
    <xf numFmtId="44" fontId="0" fillId="0" borderId="6" xfId="1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44" fontId="0" fillId="0" borderId="5" xfId="1" applyFont="1" applyBorder="1" applyAlignment="1">
      <alignment vertical="center"/>
    </xf>
    <xf numFmtId="0" fontId="0" fillId="0" borderId="8" xfId="0" applyBorder="1" applyAlignment="1">
      <alignment vertical="center"/>
    </xf>
    <xf numFmtId="44" fontId="0" fillId="0" borderId="9" xfId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3" fillId="0" borderId="0" xfId="0" applyFont="1"/>
    <xf numFmtId="2" fontId="0" fillId="0" borderId="5" xfId="0" applyNumberFormat="1" applyFont="1" applyBorder="1" applyAlignment="1">
      <alignment horizontal="center" vertical="center" wrapText="1"/>
    </xf>
    <xf numFmtId="0" fontId="4" fillId="0" borderId="0" xfId="0" applyFont="1"/>
    <xf numFmtId="2" fontId="0" fillId="0" borderId="5" xfId="0" applyNumberFormat="1" applyBorder="1" applyAlignment="1">
      <alignment horizontal="center" vertical="center" wrapText="1"/>
    </xf>
    <xf numFmtId="166" fontId="0" fillId="0" borderId="0" xfId="0" applyNumberForma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44" fontId="7" fillId="0" borderId="9" xfId="1" applyFont="1" applyBorder="1" applyAlignment="1">
      <alignment vertical="center"/>
    </xf>
    <xf numFmtId="0" fontId="7" fillId="0" borderId="2" xfId="0" applyFont="1" applyBorder="1" applyAlignment="1">
      <alignment vertical="center"/>
    </xf>
    <xf numFmtId="44" fontId="7" fillId="0" borderId="3" xfId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44" fontId="7" fillId="0" borderId="5" xfId="0" applyNumberFormat="1" applyFont="1" applyBorder="1" applyAlignment="1">
      <alignment vertical="center"/>
    </xf>
    <xf numFmtId="44" fontId="7" fillId="0" borderId="6" xfId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44" fontId="7" fillId="0" borderId="0" xfId="1" applyFont="1" applyAlignment="1">
      <alignment vertical="center"/>
    </xf>
    <xf numFmtId="167" fontId="0" fillId="0" borderId="0" xfId="0" applyNumberFormat="1"/>
    <xf numFmtId="167" fontId="0" fillId="2" borderId="0" xfId="0" applyNumberFormat="1" applyFill="1"/>
    <xf numFmtId="0" fontId="8" fillId="2" borderId="0" xfId="0" applyFont="1" applyFill="1"/>
    <xf numFmtId="165" fontId="8" fillId="2" borderId="0" xfId="1" applyNumberFormat="1" applyFont="1" applyFill="1"/>
    <xf numFmtId="0" fontId="2" fillId="0" borderId="0" xfId="0" applyFont="1"/>
    <xf numFmtId="166" fontId="2" fillId="0" borderId="0" xfId="0" applyNumberFormat="1" applyFont="1"/>
    <xf numFmtId="0" fontId="2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44" fontId="9" fillId="0" borderId="0" xfId="1" applyFont="1" applyAlignment="1">
      <alignment vertical="center"/>
    </xf>
    <xf numFmtId="0" fontId="7" fillId="0" borderId="0" xfId="0" applyFont="1" applyAlignment="1">
      <alignment horizontal="center" vertical="center"/>
    </xf>
    <xf numFmtId="167" fontId="7" fillId="0" borderId="0" xfId="0" applyNumberFormat="1" applyFont="1"/>
    <xf numFmtId="0" fontId="7" fillId="0" borderId="0" xfId="0" applyFont="1"/>
    <xf numFmtId="0" fontId="10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0" borderId="9" xfId="0" applyFont="1" applyBorder="1" applyAlignment="1">
      <alignment vertical="center"/>
    </xf>
    <xf numFmtId="9" fontId="7" fillId="0" borderId="2" xfId="0" applyNumberFormat="1" applyFont="1" applyBorder="1" applyAlignment="1">
      <alignment vertical="center"/>
    </xf>
    <xf numFmtId="44" fontId="7" fillId="0" borderId="9" xfId="0" applyNumberFormat="1" applyFont="1" applyBorder="1" applyAlignment="1">
      <alignment vertical="center"/>
    </xf>
    <xf numFmtId="167" fontId="7" fillId="2" borderId="0" xfId="0" applyNumberFormat="1" applyFont="1" applyFill="1"/>
    <xf numFmtId="0" fontId="11" fillId="2" borderId="0" xfId="0" applyFont="1" applyFill="1"/>
    <xf numFmtId="44" fontId="7" fillId="0" borderId="0" xfId="0" applyNumberFormat="1" applyFont="1" applyAlignment="1">
      <alignment vertical="center"/>
    </xf>
    <xf numFmtId="167" fontId="3" fillId="2" borderId="0" xfId="0" applyNumberFormat="1" applyFont="1" applyFill="1"/>
    <xf numFmtId="0" fontId="7" fillId="2" borderId="4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44" fontId="7" fillId="2" borderId="5" xfId="0" applyNumberFormat="1" applyFont="1" applyFill="1" applyBorder="1" applyAlignment="1">
      <alignment vertical="center"/>
    </xf>
    <xf numFmtId="44" fontId="7" fillId="2" borderId="6" xfId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44" fontId="9" fillId="0" borderId="6" xfId="1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44" fontId="9" fillId="0" borderId="9" xfId="1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9" fontId="9" fillId="0" borderId="2" xfId="0" applyNumberFormat="1" applyFont="1" applyBorder="1" applyAlignment="1">
      <alignment horizontal="center" vertical="center" wrapText="1"/>
    </xf>
    <xf numFmtId="9" fontId="9" fillId="0" borderId="3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44" fontId="9" fillId="0" borderId="3" xfId="1" applyFont="1" applyBorder="1" applyAlignment="1">
      <alignment vertical="center" wrapText="1"/>
    </xf>
    <xf numFmtId="44" fontId="9" fillId="0" borderId="5" xfId="1" applyFont="1" applyBorder="1" applyAlignment="1">
      <alignment vertical="center"/>
    </xf>
    <xf numFmtId="44" fontId="9" fillId="0" borderId="6" xfId="1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44" fontId="9" fillId="0" borderId="9" xfId="1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44" fontId="12" fillId="0" borderId="3" xfId="1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44" fontId="12" fillId="0" borderId="6" xfId="1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44" fontId="12" fillId="0" borderId="22" xfId="1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44" fontId="12" fillId="0" borderId="9" xfId="1" applyFont="1" applyBorder="1" applyAlignment="1">
      <alignment vertical="center"/>
    </xf>
    <xf numFmtId="0" fontId="12" fillId="2" borderId="12" xfId="0" applyFont="1" applyFill="1" applyBorder="1" applyAlignment="1">
      <alignment horizontal="center" vertical="center"/>
    </xf>
    <xf numFmtId="164" fontId="9" fillId="0" borderId="6" xfId="1" applyNumberFormat="1" applyFont="1" applyBorder="1" applyAlignment="1">
      <alignment vertical="center"/>
    </xf>
    <xf numFmtId="164" fontId="9" fillId="0" borderId="0" xfId="1" applyNumberFormat="1" applyFont="1" applyAlignment="1">
      <alignment vertical="center"/>
    </xf>
    <xf numFmtId="44" fontId="9" fillId="0" borderId="3" xfId="1" applyFont="1" applyBorder="1" applyAlignment="1">
      <alignment vertical="center"/>
    </xf>
    <xf numFmtId="44" fontId="9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44" fontId="6" fillId="0" borderId="0" xfId="1" applyFont="1" applyAlignment="1">
      <alignment vertical="center"/>
    </xf>
    <xf numFmtId="0" fontId="13" fillId="0" borderId="0" xfId="0" quotePrefix="1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44" fontId="7" fillId="2" borderId="0" xfId="1" applyFont="1" applyFill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4" fontId="7" fillId="0" borderId="5" xfId="1" applyFont="1" applyBorder="1" applyAlignment="1">
      <alignment vertical="center"/>
    </xf>
    <xf numFmtId="44" fontId="7" fillId="0" borderId="6" xfId="0" applyNumberFormat="1" applyFont="1" applyBorder="1" applyAlignment="1">
      <alignment vertical="center"/>
    </xf>
    <xf numFmtId="44" fontId="7" fillId="0" borderId="8" xfId="1" applyFont="1" applyBorder="1" applyAlignment="1">
      <alignment vertical="center"/>
    </xf>
    <xf numFmtId="44" fontId="7" fillId="0" borderId="8" xfId="0" applyNumberFormat="1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44" fontId="9" fillId="0" borderId="5" xfId="0" applyNumberFormat="1" applyFont="1" applyBorder="1" applyAlignment="1">
      <alignment vertical="center"/>
    </xf>
    <xf numFmtId="44" fontId="9" fillId="0" borderId="6" xfId="0" applyNumberFormat="1" applyFont="1" applyBorder="1" applyAlignment="1">
      <alignment vertical="center"/>
    </xf>
    <xf numFmtId="44" fontId="9" fillId="0" borderId="8" xfId="1" applyFont="1" applyBorder="1" applyAlignment="1">
      <alignment vertical="center"/>
    </xf>
    <xf numFmtId="44" fontId="9" fillId="0" borderId="8" xfId="0" applyNumberFormat="1" applyFont="1" applyBorder="1" applyAlignment="1">
      <alignment vertical="center"/>
    </xf>
    <xf numFmtId="44" fontId="9" fillId="2" borderId="5" xfId="0" applyNumberFormat="1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44" fontId="9" fillId="2" borderId="8" xfId="0" applyNumberFormat="1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14" fillId="0" borderId="0" xfId="0" quotePrefix="1" applyFont="1" applyAlignment="1">
      <alignment vertical="center"/>
    </xf>
    <xf numFmtId="0" fontId="15" fillId="0" borderId="0" xfId="0" quotePrefix="1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44" fontId="16" fillId="0" borderId="9" xfId="0" applyNumberFormat="1" applyFont="1" applyBorder="1" applyAlignment="1">
      <alignment vertical="center"/>
    </xf>
    <xf numFmtId="0" fontId="9" fillId="0" borderId="0" xfId="0" applyFont="1"/>
    <xf numFmtId="0" fontId="14" fillId="2" borderId="2" xfId="0" applyFont="1" applyFill="1" applyBorder="1" applyAlignment="1">
      <alignment horizontal="center" vertical="center"/>
    </xf>
    <xf numFmtId="0" fontId="14" fillId="0" borderId="0" xfId="0" applyFont="1"/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44" fontId="7" fillId="0" borderId="5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44" fontId="11" fillId="0" borderId="5" xfId="0" applyNumberFormat="1" applyFont="1" applyBorder="1" applyAlignment="1">
      <alignment vertical="center"/>
    </xf>
    <xf numFmtId="44" fontId="11" fillId="0" borderId="6" xfId="0" applyNumberFormat="1" applyFont="1" applyBorder="1" applyAlignment="1">
      <alignment vertical="center"/>
    </xf>
    <xf numFmtId="44" fontId="11" fillId="0" borderId="8" xfId="0" applyNumberFormat="1" applyFont="1" applyBorder="1" applyAlignment="1">
      <alignment vertical="center"/>
    </xf>
    <xf numFmtId="44" fontId="11" fillId="0" borderId="9" xfId="0" applyNumberFormat="1" applyFont="1" applyBorder="1" applyAlignment="1">
      <alignment vertical="center"/>
    </xf>
    <xf numFmtId="2" fontId="7" fillId="0" borderId="0" xfId="0" applyNumberFormat="1" applyFont="1"/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vertical="center" wrapText="1"/>
    </xf>
    <xf numFmtId="44" fontId="7" fillId="0" borderId="17" xfId="1" applyFont="1" applyBorder="1" applyAlignment="1">
      <alignment vertical="center" wrapText="1"/>
    </xf>
    <xf numFmtId="44" fontId="17" fillId="0" borderId="16" xfId="1" applyFont="1" applyBorder="1" applyAlignment="1">
      <alignment horizontal="center" vertical="center" wrapText="1"/>
    </xf>
    <xf numFmtId="44" fontId="17" fillId="0" borderId="17" xfId="1" applyFont="1" applyBorder="1" applyAlignment="1">
      <alignment horizontal="center" vertical="center" wrapText="1"/>
    </xf>
    <xf numFmtId="44" fontId="17" fillId="0" borderId="17" xfId="1" applyFont="1" applyBorder="1" applyAlignment="1">
      <alignment horizontal="right" vertical="center" wrapText="1"/>
    </xf>
    <xf numFmtId="44" fontId="17" fillId="0" borderId="0" xfId="0" applyNumberFormat="1" applyFont="1" applyBorder="1" applyAlignment="1">
      <alignment wrapText="1"/>
    </xf>
    <xf numFmtId="16" fontId="17" fillId="0" borderId="0" xfId="0" quotePrefix="1" applyNumberFormat="1" applyFont="1" applyBorder="1" applyAlignment="1">
      <alignment horizontal="center" wrapText="1"/>
    </xf>
    <xf numFmtId="2" fontId="17" fillId="0" borderId="0" xfId="0" quotePrefix="1" applyNumberFormat="1" applyFont="1" applyBorder="1" applyAlignment="1">
      <alignment horizontal="center" wrapText="1"/>
    </xf>
    <xf numFmtId="44" fontId="17" fillId="0" borderId="0" xfId="1" applyFont="1" applyBorder="1" applyAlignment="1">
      <alignment horizontal="center" wrapText="1"/>
    </xf>
    <xf numFmtId="44" fontId="17" fillId="0" borderId="0" xfId="1" applyFont="1" applyBorder="1" applyAlignment="1">
      <alignment horizontal="right" wrapText="1"/>
    </xf>
    <xf numFmtId="13" fontId="7" fillId="0" borderId="17" xfId="0" applyNumberFormat="1" applyFont="1" applyBorder="1" applyAlignment="1">
      <alignment horizontal="center" vertical="center" wrapText="1"/>
    </xf>
    <xf numFmtId="44" fontId="18" fillId="2" borderId="17" xfId="1" applyFont="1" applyFill="1" applyBorder="1" applyAlignment="1">
      <alignment horizontal="right" vertical="center" wrapText="1"/>
    </xf>
    <xf numFmtId="0" fontId="14" fillId="0" borderId="10" xfId="0" applyFont="1" applyBorder="1"/>
    <xf numFmtId="0" fontId="14" fillId="0" borderId="11" xfId="0" applyFont="1" applyBorder="1"/>
    <xf numFmtId="2" fontId="14" fillId="0" borderId="11" xfId="0" applyNumberFormat="1" applyFont="1" applyBorder="1"/>
    <xf numFmtId="44" fontId="14" fillId="0" borderId="12" xfId="0" applyNumberFormat="1" applyFont="1" applyBorder="1"/>
    <xf numFmtId="2" fontId="7" fillId="0" borderId="2" xfId="0" applyNumberFormat="1" applyFont="1" applyBorder="1" applyAlignment="1">
      <alignment vertical="center"/>
    </xf>
    <xf numFmtId="2" fontId="7" fillId="0" borderId="5" xfId="0" applyNumberFormat="1" applyFont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5" xfId="0" applyFont="1" applyBorder="1"/>
    <xf numFmtId="2" fontId="7" fillId="0" borderId="5" xfId="0" applyNumberFormat="1" applyFont="1" applyBorder="1"/>
    <xf numFmtId="44" fontId="7" fillId="0" borderId="6" xfId="0" applyNumberFormat="1" applyFont="1" applyBorder="1"/>
    <xf numFmtId="0" fontId="7" fillId="0" borderId="7" xfId="0" applyFont="1" applyFill="1" applyBorder="1" applyAlignment="1">
      <alignment vertical="center"/>
    </xf>
    <xf numFmtId="0" fontId="7" fillId="0" borderId="8" xfId="0" applyFont="1" applyBorder="1"/>
    <xf numFmtId="2" fontId="7" fillId="0" borderId="8" xfId="0" applyNumberFormat="1" applyFont="1" applyBorder="1"/>
    <xf numFmtId="44" fontId="7" fillId="0" borderId="9" xfId="0" applyNumberFormat="1" applyFont="1" applyBorder="1"/>
    <xf numFmtId="0" fontId="19" fillId="0" borderId="13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8" fontId="19" fillId="0" borderId="17" xfId="0" applyNumberFormat="1" applyFont="1" applyBorder="1" applyAlignment="1">
      <alignment horizontal="center" vertical="center" wrapText="1"/>
    </xf>
    <xf numFmtId="10" fontId="19" fillId="0" borderId="17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44" fontId="19" fillId="0" borderId="3" xfId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left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vertical="center"/>
    </xf>
    <xf numFmtId="44" fontId="11" fillId="2" borderId="6" xfId="1" applyFont="1" applyFill="1" applyBorder="1" applyAlignment="1">
      <alignment vertical="center"/>
    </xf>
    <xf numFmtId="0" fontId="19" fillId="2" borderId="4" xfId="0" applyFont="1" applyFill="1" applyBorder="1" applyAlignment="1">
      <alignment horizontal="left" vertical="center" wrapText="1"/>
    </xf>
    <xf numFmtId="44" fontId="3" fillId="2" borderId="6" xfId="1" applyFont="1" applyFill="1" applyBorder="1" applyAlignment="1">
      <alignment vertical="center"/>
    </xf>
    <xf numFmtId="44" fontId="19" fillId="0" borderId="6" xfId="1" applyFont="1" applyBorder="1" applyAlignment="1">
      <alignment horizontal="center" vertical="center" wrapText="1"/>
    </xf>
    <xf numFmtId="0" fontId="19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vertical="center"/>
    </xf>
    <xf numFmtId="44" fontId="19" fillId="0" borderId="22" xfId="1" applyFont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left" vertical="center" wrapText="1"/>
    </xf>
    <xf numFmtId="44" fontId="7" fillId="0" borderId="2" xfId="0" applyNumberFormat="1" applyFont="1" applyBorder="1" applyAlignment="1">
      <alignment horizontal="center" vertical="center"/>
    </xf>
    <xf numFmtId="10" fontId="7" fillId="0" borderId="2" xfId="0" applyNumberFormat="1" applyFont="1" applyBorder="1" applyAlignment="1">
      <alignment vertical="center"/>
    </xf>
    <xf numFmtId="44" fontId="7" fillId="0" borderId="3" xfId="0" applyNumberFormat="1" applyFont="1" applyBorder="1" applyAlignment="1">
      <alignment vertical="center"/>
    </xf>
    <xf numFmtId="44" fontId="7" fillId="0" borderId="5" xfId="0" applyNumberFormat="1" applyFont="1" applyBorder="1" applyAlignment="1">
      <alignment horizontal="right" vertical="center"/>
    </xf>
    <xf numFmtId="10" fontId="7" fillId="0" borderId="5" xfId="0" applyNumberFormat="1" applyFont="1" applyBorder="1" applyAlignment="1">
      <alignment vertical="center"/>
    </xf>
    <xf numFmtId="0" fontId="11" fillId="2" borderId="5" xfId="0" applyFont="1" applyFill="1" applyBorder="1" applyAlignment="1">
      <alignment horizontal="center" vertical="center"/>
    </xf>
    <xf numFmtId="44" fontId="11" fillId="2" borderId="6" xfId="0" applyNumberFormat="1" applyFont="1" applyFill="1" applyBorder="1" applyAlignment="1">
      <alignment vertical="center"/>
    </xf>
    <xf numFmtId="0" fontId="7" fillId="0" borderId="6" xfId="0" applyFont="1" applyBorder="1" applyAlignment="1">
      <alignment vertical="center"/>
    </xf>
    <xf numFmtId="44" fontId="3" fillId="0" borderId="9" xfId="0" applyNumberFormat="1" applyFont="1" applyBorder="1" applyAlignment="1">
      <alignment vertical="center"/>
    </xf>
    <xf numFmtId="0" fontId="14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167" fontId="7" fillId="0" borderId="0" xfId="0" applyNumberFormat="1" applyFont="1" applyAlignment="1">
      <alignment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44" fontId="3" fillId="0" borderId="9" xfId="1" applyFont="1" applyBorder="1" applyAlignment="1">
      <alignment vertical="center"/>
    </xf>
    <xf numFmtId="8" fontId="7" fillId="0" borderId="3" xfId="1" applyNumberFormat="1" applyFont="1" applyBorder="1" applyAlignment="1">
      <alignment vertical="center"/>
    </xf>
    <xf numFmtId="8" fontId="7" fillId="0" borderId="6" xfId="1" applyNumberFormat="1" applyFont="1" applyBorder="1" applyAlignment="1">
      <alignment vertical="center"/>
    </xf>
    <xf numFmtId="8" fontId="7" fillId="0" borderId="9" xfId="1" applyNumberFormat="1" applyFont="1" applyBorder="1" applyAlignment="1">
      <alignment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14</xdr:row>
      <xdr:rowOff>101600</xdr:rowOff>
    </xdr:from>
    <xdr:to>
      <xdr:col>10</xdr:col>
      <xdr:colOff>330200</xdr:colOff>
      <xdr:row>20</xdr:row>
      <xdr:rowOff>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7A235AAC-7857-4611-931D-E5025810D065}"/>
            </a:ext>
          </a:extLst>
        </xdr:cNvPr>
        <xdr:cNvSpPr txBox="1"/>
      </xdr:nvSpPr>
      <xdr:spPr>
        <a:xfrm>
          <a:off x="5943600" y="4254500"/>
          <a:ext cx="4025900" cy="1676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600" b="1" u="sng"/>
            <a:t>Principe</a:t>
          </a:r>
          <a:r>
            <a:rPr lang="fr-FR" sz="1600" b="1" u="sng" baseline="0"/>
            <a:t> :</a:t>
          </a:r>
        </a:p>
        <a:p>
          <a:endParaRPr lang="fr-FR" sz="1400" b="1" baseline="0"/>
        </a:p>
        <a:p>
          <a:r>
            <a:rPr lang="fr-FR" sz="1400" b="1" baseline="0"/>
            <a:t>Retirer les 3 jours fériés comme des absences,</a:t>
          </a:r>
        </a:p>
        <a:p>
          <a:r>
            <a:rPr lang="fr-FR" sz="1400" b="1" baseline="0"/>
            <a:t>Puis les rajouter mais aux taux horaire correspondant aux conventions collectives ou droit du travail donc bonifiées</a:t>
          </a:r>
          <a:endParaRPr lang="fr-FR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821CE-035B-4B01-97AB-B42209AC40BB}">
  <dimension ref="A2:J40"/>
  <sheetViews>
    <sheetView zoomScale="130" zoomScaleNormal="130" workbookViewId="0">
      <selection activeCell="B7" sqref="B7"/>
    </sheetView>
  </sheetViews>
  <sheetFormatPr baseColWidth="10" defaultRowHeight="15" x14ac:dyDescent="0.25"/>
  <cols>
    <col min="1" max="1" width="34.5703125" bestFit="1" customWidth="1"/>
    <col min="9" max="9" width="12.5703125" bestFit="1" customWidth="1"/>
  </cols>
  <sheetData>
    <row r="2" spans="1:5" ht="23.25" x14ac:dyDescent="0.35">
      <c r="A2" s="25" t="s">
        <v>98</v>
      </c>
    </row>
    <row r="3" spans="1:5" ht="15.75" thickBot="1" x14ac:dyDescent="0.3"/>
    <row r="4" spans="1:5" ht="21" customHeight="1" x14ac:dyDescent="0.25">
      <c r="A4" s="1"/>
      <c r="B4" s="2"/>
      <c r="C4" s="2" t="s">
        <v>0</v>
      </c>
      <c r="D4" s="3">
        <v>1.25</v>
      </c>
      <c r="E4" s="4">
        <v>1.5</v>
      </c>
    </row>
    <row r="5" spans="1:5" ht="21" customHeight="1" x14ac:dyDescent="0.25">
      <c r="A5" s="5" t="s">
        <v>149</v>
      </c>
      <c r="B5" s="24">
        <v>41</v>
      </c>
      <c r="C5" s="6">
        <v>6</v>
      </c>
      <c r="D5" s="6">
        <f>C5</f>
        <v>6</v>
      </c>
      <c r="E5" s="7"/>
    </row>
    <row r="6" spans="1:5" ht="21" customHeight="1" x14ac:dyDescent="0.25">
      <c r="A6" s="5" t="s">
        <v>150</v>
      </c>
      <c r="B6" s="24">
        <v>46</v>
      </c>
      <c r="C6" s="6">
        <f t="shared" ref="C6:C9" si="0">B6-35</f>
        <v>11</v>
      </c>
      <c r="D6" s="6">
        <v>8</v>
      </c>
      <c r="E6" s="7">
        <f>C6-D6</f>
        <v>3</v>
      </c>
    </row>
    <row r="7" spans="1:5" ht="21" customHeight="1" x14ac:dyDescent="0.25">
      <c r="A7" s="5" t="s">
        <v>151</v>
      </c>
      <c r="B7" s="24">
        <v>44</v>
      </c>
      <c r="C7" s="6">
        <f t="shared" si="0"/>
        <v>9</v>
      </c>
      <c r="D7" s="6">
        <v>8</v>
      </c>
      <c r="E7" s="7">
        <f t="shared" ref="E7:E8" si="1">C7-D7</f>
        <v>1</v>
      </c>
    </row>
    <row r="8" spans="1:5" ht="21" customHeight="1" x14ac:dyDescent="0.25">
      <c r="A8" s="5" t="s">
        <v>152</v>
      </c>
      <c r="B8" s="24">
        <v>39</v>
      </c>
      <c r="C8" s="6">
        <f t="shared" si="0"/>
        <v>4</v>
      </c>
      <c r="D8" s="6">
        <f t="shared" ref="D8:D9" si="2">C8</f>
        <v>4</v>
      </c>
      <c r="E8" s="7">
        <f t="shared" si="1"/>
        <v>0</v>
      </c>
    </row>
    <row r="9" spans="1:5" ht="21" customHeight="1" x14ac:dyDescent="0.25">
      <c r="A9" s="5" t="s">
        <v>153</v>
      </c>
      <c r="B9" s="24">
        <v>40</v>
      </c>
      <c r="C9" s="6">
        <f t="shared" si="0"/>
        <v>5</v>
      </c>
      <c r="D9" s="6">
        <f t="shared" si="2"/>
        <v>5</v>
      </c>
      <c r="E9" s="7"/>
    </row>
    <row r="10" spans="1:5" ht="21" customHeight="1" thickBot="1" x14ac:dyDescent="0.3">
      <c r="A10" s="8" t="s">
        <v>6</v>
      </c>
      <c r="B10" s="9"/>
      <c r="C10" s="9">
        <f>SUM(C5:C9)</f>
        <v>35</v>
      </c>
      <c r="D10" s="9">
        <f>SUM(D5:D9)</f>
        <v>31</v>
      </c>
      <c r="E10" s="10">
        <f>SUM(E5:E9)</f>
        <v>4</v>
      </c>
    </row>
    <row r="11" spans="1:5" x14ac:dyDescent="0.25">
      <c r="A11" s="15"/>
      <c r="B11" s="15"/>
      <c r="C11" s="15"/>
      <c r="D11" s="15"/>
      <c r="E11" s="15"/>
    </row>
    <row r="12" spans="1:5" ht="15.75" thickBot="1" x14ac:dyDescent="0.3">
      <c r="A12" s="15"/>
      <c r="B12" s="15"/>
      <c r="C12" s="15"/>
      <c r="D12" s="15"/>
      <c r="E12" s="15"/>
    </row>
    <row r="13" spans="1:5" ht="23.25" customHeight="1" x14ac:dyDescent="0.25">
      <c r="A13" s="1" t="s">
        <v>7</v>
      </c>
      <c r="B13" s="11"/>
      <c r="C13" s="16"/>
      <c r="D13" s="12">
        <v>2750</v>
      </c>
      <c r="E13" s="15"/>
    </row>
    <row r="14" spans="1:5" ht="23.25" customHeight="1" x14ac:dyDescent="0.25">
      <c r="A14" s="5" t="s">
        <v>8</v>
      </c>
      <c r="B14" s="6">
        <f>D10</f>
        <v>31</v>
      </c>
      <c r="C14" s="17">
        <f>D13/151.67*1.25</f>
        <v>22.664337047537416</v>
      </c>
      <c r="D14" s="13">
        <f>C14*B14</f>
        <v>702.5944484736599</v>
      </c>
      <c r="E14" s="15"/>
    </row>
    <row r="15" spans="1:5" ht="23.25" customHeight="1" x14ac:dyDescent="0.25">
      <c r="A15" s="5" t="s">
        <v>9</v>
      </c>
      <c r="B15" s="6">
        <f>E10</f>
        <v>4</v>
      </c>
      <c r="C15" s="17">
        <f>D13/151.67*1.5</f>
        <v>27.197204457044901</v>
      </c>
      <c r="D15" s="13">
        <f>C15*B15</f>
        <v>108.7888178281796</v>
      </c>
      <c r="E15" s="15"/>
    </row>
    <row r="16" spans="1:5" ht="23.25" customHeight="1" thickBot="1" x14ac:dyDescent="0.3">
      <c r="A16" s="8" t="s">
        <v>10</v>
      </c>
      <c r="B16" s="14"/>
      <c r="C16" s="18"/>
      <c r="D16" s="19">
        <f>SUM(D13:D15)</f>
        <v>3561.3832663018397</v>
      </c>
      <c r="E16" s="15"/>
    </row>
    <row r="18" spans="1:10" ht="23.25" x14ac:dyDescent="0.35">
      <c r="A18" s="25" t="s">
        <v>99</v>
      </c>
    </row>
    <row r="20" spans="1:10" x14ac:dyDescent="0.25">
      <c r="A20" t="s">
        <v>100</v>
      </c>
      <c r="B20" t="s">
        <v>101</v>
      </c>
      <c r="D20">
        <f>39*52/12</f>
        <v>169</v>
      </c>
      <c r="F20" t="s">
        <v>154</v>
      </c>
      <c r="I20" s="27">
        <f>151.67*D23</f>
        <v>2406.3144534348721</v>
      </c>
    </row>
    <row r="21" spans="1:10" x14ac:dyDescent="0.25">
      <c r="A21" t="s">
        <v>102</v>
      </c>
      <c r="B21" t="s">
        <v>103</v>
      </c>
      <c r="D21">
        <f>D20-151.67</f>
        <v>17.330000000000013</v>
      </c>
      <c r="F21" t="s">
        <v>155</v>
      </c>
      <c r="I21" s="27">
        <f>17.33*D24</f>
        <v>343.68554656512771</v>
      </c>
    </row>
    <row r="22" spans="1:10" x14ac:dyDescent="0.25">
      <c r="A22" t="s">
        <v>104</v>
      </c>
      <c r="B22" s="45" t="s">
        <v>105</v>
      </c>
      <c r="C22" s="45"/>
      <c r="D22" s="45">
        <f>151.67+(17.33*1.25)</f>
        <v>173.33249999999998</v>
      </c>
      <c r="F22" s="47" t="s">
        <v>156</v>
      </c>
      <c r="G22" s="47"/>
      <c r="H22" s="47"/>
      <c r="I22" s="48">
        <f>SUM(I20:I21)</f>
        <v>2750</v>
      </c>
    </row>
    <row r="23" spans="1:10" x14ac:dyDescent="0.25">
      <c r="A23" t="s">
        <v>106</v>
      </c>
      <c r="B23" s="45" t="s">
        <v>107</v>
      </c>
      <c r="C23" s="45"/>
      <c r="D23" s="46">
        <f>2750/D22</f>
        <v>15.865460891638904</v>
      </c>
    </row>
    <row r="24" spans="1:10" x14ac:dyDescent="0.25">
      <c r="A24" t="s">
        <v>108</v>
      </c>
      <c r="B24" t="s">
        <v>109</v>
      </c>
      <c r="D24" s="27">
        <f>D23*1.25</f>
        <v>19.83182611454863</v>
      </c>
    </row>
    <row r="25" spans="1:10" x14ac:dyDescent="0.25">
      <c r="A25" t="s">
        <v>110</v>
      </c>
      <c r="B25" t="s">
        <v>111</v>
      </c>
      <c r="D25" s="27">
        <f>D23*1.5</f>
        <v>23.798191337458356</v>
      </c>
    </row>
    <row r="27" spans="1:10" ht="15.75" thickBot="1" x14ac:dyDescent="0.3"/>
    <row r="28" spans="1:10" ht="21" customHeight="1" x14ac:dyDescent="0.25">
      <c r="A28" s="1"/>
      <c r="B28" s="2"/>
      <c r="C28" s="2" t="s">
        <v>0</v>
      </c>
      <c r="D28" s="3">
        <v>1.25</v>
      </c>
      <c r="E28" s="4">
        <v>1.5</v>
      </c>
    </row>
    <row r="29" spans="1:10" ht="21" customHeight="1" x14ac:dyDescent="0.25">
      <c r="A29" s="5" t="s">
        <v>1</v>
      </c>
      <c r="B29" s="24">
        <v>41</v>
      </c>
      <c r="C29" s="6">
        <v>2</v>
      </c>
      <c r="D29" s="6">
        <f>C29</f>
        <v>2</v>
      </c>
      <c r="E29" s="7"/>
    </row>
    <row r="30" spans="1:10" ht="21" customHeight="1" x14ac:dyDescent="0.25">
      <c r="A30" s="5" t="s">
        <v>2</v>
      </c>
      <c r="B30" s="24">
        <v>46</v>
      </c>
      <c r="C30" s="26">
        <f>B30-39</f>
        <v>7</v>
      </c>
      <c r="D30" s="6">
        <v>4</v>
      </c>
      <c r="E30" s="7">
        <f>C30-D30</f>
        <v>3</v>
      </c>
      <c r="G30" s="49" t="s">
        <v>157</v>
      </c>
      <c r="H30" s="49"/>
      <c r="I30" s="49" t="s">
        <v>158</v>
      </c>
      <c r="J30" s="49"/>
    </row>
    <row r="31" spans="1:10" ht="21" customHeight="1" x14ac:dyDescent="0.25">
      <c r="A31" s="5" t="s">
        <v>3</v>
      </c>
      <c r="B31" s="24">
        <v>44</v>
      </c>
      <c r="C31" s="26">
        <f>B31-39</f>
        <v>5</v>
      </c>
      <c r="D31" s="6">
        <v>4</v>
      </c>
      <c r="E31" s="7">
        <f t="shared" ref="E31" si="3">C31-D31</f>
        <v>1</v>
      </c>
    </row>
    <row r="32" spans="1:10" ht="21" customHeight="1" x14ac:dyDescent="0.25">
      <c r="A32" s="5" t="s">
        <v>4</v>
      </c>
      <c r="B32" s="24">
        <v>39</v>
      </c>
      <c r="C32" s="6">
        <v>0</v>
      </c>
      <c r="D32" s="6">
        <v>0</v>
      </c>
      <c r="E32" s="7"/>
    </row>
    <row r="33" spans="1:5" ht="21" customHeight="1" x14ac:dyDescent="0.25">
      <c r="A33" s="5" t="s">
        <v>5</v>
      </c>
      <c r="B33" s="24">
        <v>40</v>
      </c>
      <c r="C33" s="6">
        <v>1</v>
      </c>
      <c r="D33" s="6">
        <v>1</v>
      </c>
      <c r="E33" s="7"/>
    </row>
    <row r="34" spans="1:5" ht="21" customHeight="1" thickBot="1" x14ac:dyDescent="0.3">
      <c r="A34" s="8" t="s">
        <v>6</v>
      </c>
      <c r="B34" s="9"/>
      <c r="C34" s="9">
        <f>SUM(C29:C33)</f>
        <v>15</v>
      </c>
      <c r="D34" s="9">
        <f>SUM(D29:D33)</f>
        <v>11</v>
      </c>
      <c r="E34" s="10">
        <f>SUM(E29:E33)</f>
        <v>4</v>
      </c>
    </row>
    <row r="35" spans="1:5" x14ac:dyDescent="0.25">
      <c r="A35" s="15"/>
      <c r="B35" s="15"/>
      <c r="C35" s="15"/>
      <c r="D35" s="15"/>
      <c r="E35" s="15"/>
    </row>
    <row r="36" spans="1:5" ht="15.75" thickBot="1" x14ac:dyDescent="0.3">
      <c r="A36" s="15"/>
      <c r="B36" s="15"/>
      <c r="C36" s="15"/>
      <c r="D36" s="15"/>
      <c r="E36" s="15"/>
    </row>
    <row r="37" spans="1:5" ht="23.25" customHeight="1" x14ac:dyDescent="0.25">
      <c r="A37" s="1" t="s">
        <v>7</v>
      </c>
      <c r="B37" s="11"/>
      <c r="C37" s="16"/>
      <c r="D37" s="12">
        <v>2750</v>
      </c>
      <c r="E37" s="15"/>
    </row>
    <row r="38" spans="1:5" ht="23.25" customHeight="1" x14ac:dyDescent="0.25">
      <c r="A38" s="5" t="s">
        <v>8</v>
      </c>
      <c r="B38" s="6">
        <f>D34</f>
        <v>11</v>
      </c>
      <c r="C38" s="17">
        <f>D24</f>
        <v>19.83182611454863</v>
      </c>
      <c r="D38" s="13">
        <f>C38*B38</f>
        <v>218.15008726003492</v>
      </c>
      <c r="E38" s="15"/>
    </row>
    <row r="39" spans="1:5" ht="23.25" customHeight="1" x14ac:dyDescent="0.25">
      <c r="A39" s="5" t="s">
        <v>9</v>
      </c>
      <c r="B39" s="6">
        <f>E34</f>
        <v>4</v>
      </c>
      <c r="C39" s="17">
        <f>D25</f>
        <v>23.798191337458356</v>
      </c>
      <c r="D39" s="13">
        <f>C39*B39</f>
        <v>95.192765349833422</v>
      </c>
      <c r="E39" s="15"/>
    </row>
    <row r="40" spans="1:5" ht="23.25" customHeight="1" thickBot="1" x14ac:dyDescent="0.3">
      <c r="A40" s="8" t="s">
        <v>10</v>
      </c>
      <c r="B40" s="14"/>
      <c r="C40" s="18"/>
      <c r="D40" s="19">
        <f>SUM(D37:D39)</f>
        <v>3063.3428526098683</v>
      </c>
      <c r="E40" s="15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9AF23-D6E4-4A57-88FD-CB86A6A39B88}">
  <dimension ref="A2:M7"/>
  <sheetViews>
    <sheetView workbookViewId="0">
      <selection activeCell="L5" sqref="L5"/>
    </sheetView>
  </sheetViews>
  <sheetFormatPr baseColWidth="10" defaultRowHeight="21" x14ac:dyDescent="0.25"/>
  <cols>
    <col min="1" max="1" width="11.42578125" style="30" bestFit="1" customWidth="1"/>
    <col min="2" max="2" width="16.140625" style="30" bestFit="1" customWidth="1"/>
    <col min="3" max="6" width="17.85546875" style="30" bestFit="1" customWidth="1"/>
    <col min="7" max="8" width="13.85546875" style="30" bestFit="1" customWidth="1"/>
    <col min="9" max="12" width="11.42578125" style="30"/>
    <col min="13" max="13" width="12" style="30" bestFit="1" customWidth="1"/>
    <col min="14" max="16384" width="11.42578125" style="30"/>
  </cols>
  <sheetData>
    <row r="2" spans="1:13" ht="21.75" thickBot="1" x14ac:dyDescent="0.3"/>
    <row r="3" spans="1:13" ht="63" x14ac:dyDescent="0.25">
      <c r="A3" s="120" t="s">
        <v>47</v>
      </c>
      <c r="B3" s="121" t="s">
        <v>51</v>
      </c>
      <c r="C3" s="122" t="s">
        <v>93</v>
      </c>
      <c r="D3" s="122" t="s">
        <v>96</v>
      </c>
      <c r="E3" s="122" t="s">
        <v>197</v>
      </c>
      <c r="F3" s="122" t="s">
        <v>58</v>
      </c>
      <c r="G3" s="147" t="s">
        <v>59</v>
      </c>
      <c r="H3" s="148" t="s">
        <v>60</v>
      </c>
    </row>
    <row r="4" spans="1:13" ht="44.25" customHeight="1" x14ac:dyDescent="0.25">
      <c r="A4" s="37" t="s">
        <v>48</v>
      </c>
      <c r="B4" s="123">
        <v>6000</v>
      </c>
      <c r="C4" s="39">
        <f>+B4</f>
        <v>6000</v>
      </c>
      <c r="D4" s="123">
        <f>1498.47*3.5</f>
        <v>5244.6450000000004</v>
      </c>
      <c r="E4" s="150">
        <f>C4</f>
        <v>6000</v>
      </c>
      <c r="F4" s="39">
        <f>E4</f>
        <v>6000</v>
      </c>
      <c r="G4" s="39">
        <f>B4*3.45%</f>
        <v>207.00000000000003</v>
      </c>
      <c r="H4" s="124">
        <f>F4*1.8%</f>
        <v>108.00000000000001</v>
      </c>
    </row>
    <row r="5" spans="1:13" ht="44.25" customHeight="1" x14ac:dyDescent="0.25">
      <c r="A5" s="37" t="s">
        <v>49</v>
      </c>
      <c r="B5" s="123">
        <v>4000</v>
      </c>
      <c r="C5" s="39">
        <f>+C4+B5</f>
        <v>10000</v>
      </c>
      <c r="D5" s="123">
        <f>D4*2</f>
        <v>10489.29</v>
      </c>
      <c r="E5" s="150">
        <v>0</v>
      </c>
      <c r="F5" s="152">
        <f>E5-E4</f>
        <v>-6000</v>
      </c>
      <c r="G5" s="39">
        <f t="shared" ref="G5:G7" si="0">B5*3.45%</f>
        <v>138</v>
      </c>
      <c r="H5" s="153">
        <f t="shared" ref="H5:H7" si="1">F5*1.8%</f>
        <v>-108.00000000000001</v>
      </c>
    </row>
    <row r="6" spans="1:13" ht="44.25" customHeight="1" x14ac:dyDescent="0.25">
      <c r="A6" s="37" t="s">
        <v>50</v>
      </c>
      <c r="B6" s="123">
        <v>6000</v>
      </c>
      <c r="C6" s="39">
        <f>+C5+B6</f>
        <v>16000</v>
      </c>
      <c r="D6" s="123">
        <f>D4*3</f>
        <v>15733.935000000001</v>
      </c>
      <c r="E6" s="150">
        <f>C6</f>
        <v>16000</v>
      </c>
      <c r="F6" s="39">
        <f>E6-E5</f>
        <v>16000</v>
      </c>
      <c r="G6" s="39">
        <f t="shared" si="0"/>
        <v>207.00000000000003</v>
      </c>
      <c r="H6" s="124">
        <f t="shared" si="1"/>
        <v>288.00000000000006</v>
      </c>
    </row>
    <row r="7" spans="1:13" ht="44.25" customHeight="1" thickBot="1" x14ac:dyDescent="0.3">
      <c r="A7" s="33" t="s">
        <v>134</v>
      </c>
      <c r="B7" s="123">
        <v>4000</v>
      </c>
      <c r="C7" s="126">
        <f>+C6+B7</f>
        <v>20000</v>
      </c>
      <c r="D7" s="125">
        <f>D6+D4</f>
        <v>20978.58</v>
      </c>
      <c r="E7" s="151">
        <v>0</v>
      </c>
      <c r="F7" s="154">
        <f>E7-E6</f>
        <v>-16000</v>
      </c>
      <c r="G7" s="126">
        <f t="shared" si="0"/>
        <v>138</v>
      </c>
      <c r="H7" s="155">
        <f t="shared" si="1"/>
        <v>-288.00000000000006</v>
      </c>
      <c r="M7" s="30">
        <f>7000*3.45/100</f>
        <v>241.5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0FEDF-1817-443F-AEA7-F6622B553628}">
  <dimension ref="A1:H18"/>
  <sheetViews>
    <sheetView topLeftCell="A4" workbookViewId="0">
      <selection activeCell="H6" sqref="H6"/>
    </sheetView>
  </sheetViews>
  <sheetFormatPr baseColWidth="10" defaultColWidth="19.28515625" defaultRowHeight="21" x14ac:dyDescent="0.35"/>
  <cols>
    <col min="1" max="1" width="19.28515625" style="54"/>
    <col min="2" max="2" width="19.5703125" style="54" bestFit="1" customWidth="1"/>
    <col min="3" max="3" width="19.28515625" style="156"/>
    <col min="4" max="16384" width="19.28515625" style="54"/>
  </cols>
  <sheetData>
    <row r="1" spans="1:8" ht="21.75" thickBot="1" x14ac:dyDescent="0.4"/>
    <row r="2" spans="1:8" ht="41.25" thickBot="1" x14ac:dyDescent="0.4">
      <c r="A2" s="218" t="s">
        <v>62</v>
      </c>
      <c r="B2" s="219"/>
      <c r="C2" s="157" t="s">
        <v>63</v>
      </c>
      <c r="D2" s="157" t="s">
        <v>64</v>
      </c>
      <c r="E2" s="157" t="s">
        <v>65</v>
      </c>
    </row>
    <row r="3" spans="1:8" ht="21.75" thickBot="1" x14ac:dyDescent="0.4">
      <c r="A3" s="158" t="s">
        <v>66</v>
      </c>
      <c r="B3" s="159" t="s">
        <v>67</v>
      </c>
      <c r="C3" s="160"/>
      <c r="D3" s="160"/>
      <c r="E3" s="160"/>
      <c r="G3" s="54" t="s">
        <v>7</v>
      </c>
      <c r="H3" s="54">
        <v>1967</v>
      </c>
    </row>
    <row r="4" spans="1:8" ht="36.75" customHeight="1" thickBot="1" x14ac:dyDescent="0.4">
      <c r="A4" s="158">
        <v>0</v>
      </c>
      <c r="B4" s="159">
        <f>313.33+120</f>
        <v>433.33</v>
      </c>
      <c r="C4" s="170">
        <v>0.05</v>
      </c>
      <c r="D4" s="161">
        <f>(B4-A4)/20</f>
        <v>21.666499999999999</v>
      </c>
      <c r="E4" s="161">
        <f>D4</f>
        <v>21.666499999999999</v>
      </c>
    </row>
    <row r="5" spans="1:8" ht="36.75" customHeight="1" thickBot="1" x14ac:dyDescent="0.4">
      <c r="A5" s="162">
        <f>B4</f>
        <v>433.33</v>
      </c>
      <c r="B5" s="163">
        <f>611.67+120</f>
        <v>731.67</v>
      </c>
      <c r="C5" s="170">
        <v>0.1</v>
      </c>
      <c r="D5" s="161">
        <f>(B5-A5)/10</f>
        <v>29.833999999999996</v>
      </c>
      <c r="E5" s="164">
        <f>D5+E4</f>
        <v>51.500499999999995</v>
      </c>
    </row>
    <row r="6" spans="1:8" ht="36.75" customHeight="1" thickBot="1" x14ac:dyDescent="0.4">
      <c r="A6" s="162">
        <f t="shared" ref="A6:A8" si="0">B5</f>
        <v>731.67</v>
      </c>
      <c r="B6" s="163">
        <f>911.67+120</f>
        <v>1031.67</v>
      </c>
      <c r="C6" s="170">
        <v>0.2</v>
      </c>
      <c r="D6" s="161">
        <f>(B6-A6)/5</f>
        <v>60.000000000000021</v>
      </c>
      <c r="E6" s="164">
        <f t="shared" ref="E6:E8" si="1">D6+E5</f>
        <v>111.50050000000002</v>
      </c>
    </row>
    <row r="7" spans="1:8" ht="36.75" customHeight="1" thickBot="1" x14ac:dyDescent="0.4">
      <c r="A7" s="162">
        <f t="shared" si="0"/>
        <v>1031.67</v>
      </c>
      <c r="B7" s="163">
        <f>1210.83+120</f>
        <v>1330.83</v>
      </c>
      <c r="C7" s="170">
        <v>0.25</v>
      </c>
      <c r="D7" s="161">
        <f>(B7-A7)/4</f>
        <v>74.789999999999964</v>
      </c>
      <c r="E7" s="164">
        <f t="shared" si="1"/>
        <v>186.29049999999998</v>
      </c>
    </row>
    <row r="8" spans="1:8" ht="36.75" customHeight="1" thickBot="1" x14ac:dyDescent="0.4">
      <c r="A8" s="162">
        <f t="shared" si="0"/>
        <v>1330.83</v>
      </c>
      <c r="B8" s="163">
        <f>D16</f>
        <v>1494.92</v>
      </c>
      <c r="C8" s="170">
        <v>0.33333333333333331</v>
      </c>
      <c r="D8" s="161">
        <f>(B8-A8)/3</f>
        <v>54.696666666666715</v>
      </c>
      <c r="E8" s="171">
        <f t="shared" si="1"/>
        <v>240.9871666666667</v>
      </c>
    </row>
    <row r="9" spans="1:8" ht="25.5" customHeight="1" x14ac:dyDescent="0.35">
      <c r="A9" s="165"/>
      <c r="B9" s="166"/>
      <c r="C9" s="167"/>
      <c r="D9" s="168"/>
      <c r="E9" s="169"/>
    </row>
    <row r="10" spans="1:8" ht="21.75" thickBot="1" x14ac:dyDescent="0.4"/>
    <row r="11" spans="1:8" ht="24" thickBot="1" x14ac:dyDescent="0.4">
      <c r="A11" s="172" t="s">
        <v>68</v>
      </c>
      <c r="B11" s="173"/>
      <c r="C11" s="174"/>
      <c r="D11" s="175">
        <f>E8</f>
        <v>240.9871666666667</v>
      </c>
    </row>
    <row r="13" spans="1:8" ht="21.75" thickBot="1" x14ac:dyDescent="0.4"/>
    <row r="14" spans="1:8" s="30" customFormat="1" ht="24" customHeight="1" x14ac:dyDescent="0.25">
      <c r="A14" s="31" t="s">
        <v>7</v>
      </c>
      <c r="B14" s="35"/>
      <c r="C14" s="176"/>
      <c r="D14" s="36">
        <v>1967</v>
      </c>
    </row>
    <row r="15" spans="1:8" s="30" customFormat="1" ht="24" customHeight="1" x14ac:dyDescent="0.25">
      <c r="A15" s="37" t="s">
        <v>61</v>
      </c>
      <c r="B15" s="38" t="s">
        <v>198</v>
      </c>
      <c r="C15" s="177"/>
      <c r="D15" s="40">
        <f>D14*0.24</f>
        <v>472.08</v>
      </c>
    </row>
    <row r="16" spans="1:8" s="30" customFormat="1" ht="24" customHeight="1" x14ac:dyDescent="0.25">
      <c r="A16" s="37" t="s">
        <v>97</v>
      </c>
      <c r="B16" s="38"/>
      <c r="C16" s="177"/>
      <c r="D16" s="40">
        <f>D14-D15</f>
        <v>1494.92</v>
      </c>
    </row>
    <row r="17" spans="1:4" x14ac:dyDescent="0.35">
      <c r="A17" s="178" t="s">
        <v>68</v>
      </c>
      <c r="B17" s="179"/>
      <c r="C17" s="180"/>
      <c r="D17" s="181">
        <f>E8</f>
        <v>240.9871666666667</v>
      </c>
    </row>
    <row r="18" spans="1:4" ht="21.75" thickBot="1" x14ac:dyDescent="0.4">
      <c r="A18" s="182" t="s">
        <v>135</v>
      </c>
      <c r="B18" s="183"/>
      <c r="C18" s="184"/>
      <c r="D18" s="185">
        <f>D16-D17</f>
        <v>1253.9328333333333</v>
      </c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EDE6F-39E3-4DFA-85F0-6743D5B858E3}">
  <dimension ref="A2:F65"/>
  <sheetViews>
    <sheetView zoomScaleNormal="100" workbookViewId="0">
      <selection activeCell="D1" sqref="D1"/>
    </sheetView>
  </sheetViews>
  <sheetFormatPr baseColWidth="10" defaultRowHeight="21" x14ac:dyDescent="0.25"/>
  <cols>
    <col min="1" max="1" width="35" style="30" customWidth="1"/>
    <col min="2" max="2" width="19.7109375" style="30" bestFit="1" customWidth="1"/>
    <col min="3" max="3" width="16.140625" style="30" bestFit="1" customWidth="1"/>
    <col min="4" max="5" width="12.28515625" style="30" bestFit="1" customWidth="1"/>
    <col min="6" max="16384" width="11.42578125" style="30"/>
  </cols>
  <sheetData>
    <row r="2" spans="1:2" ht="21.75" thickBot="1" x14ac:dyDescent="0.3"/>
    <row r="3" spans="1:2" ht="21.75" thickBot="1" x14ac:dyDescent="0.3">
      <c r="A3" s="186" t="s">
        <v>7</v>
      </c>
      <c r="B3" s="187">
        <v>2400</v>
      </c>
    </row>
    <row r="4" spans="1:2" ht="21.75" thickBot="1" x14ac:dyDescent="0.3">
      <c r="A4" s="188" t="s">
        <v>11</v>
      </c>
      <c r="B4" s="189">
        <v>125</v>
      </c>
    </row>
    <row r="5" spans="1:2" ht="84.75" thickBot="1" x14ac:dyDescent="0.3">
      <c r="A5" s="188" t="s">
        <v>69</v>
      </c>
      <c r="B5" s="189" t="s">
        <v>70</v>
      </c>
    </row>
    <row r="6" spans="1:2" x14ac:dyDescent="0.25">
      <c r="A6" s="220" t="s">
        <v>71</v>
      </c>
      <c r="B6" s="190" t="s">
        <v>136</v>
      </c>
    </row>
    <row r="7" spans="1:2" ht="63.75" thickBot="1" x14ac:dyDescent="0.3">
      <c r="A7" s="221"/>
      <c r="B7" s="189" t="s">
        <v>72</v>
      </c>
    </row>
    <row r="8" spans="1:2" ht="21.75" thickBot="1" x14ac:dyDescent="0.3">
      <c r="A8" s="188" t="s">
        <v>73</v>
      </c>
      <c r="B8" s="191">
        <v>300</v>
      </c>
    </row>
    <row r="9" spans="1:2" ht="21.75" thickBot="1" x14ac:dyDescent="0.3">
      <c r="A9" s="188" t="s">
        <v>74</v>
      </c>
      <c r="B9" s="191">
        <v>200</v>
      </c>
    </row>
    <row r="10" spans="1:2" ht="21.75" thickBot="1" x14ac:dyDescent="0.3">
      <c r="A10" s="188" t="s">
        <v>75</v>
      </c>
      <c r="B10" s="189">
        <v>25000</v>
      </c>
    </row>
    <row r="11" spans="1:2" ht="21.75" thickBot="1" x14ac:dyDescent="0.3">
      <c r="A11" s="188" t="s">
        <v>76</v>
      </c>
      <c r="B11" s="191">
        <v>1950</v>
      </c>
    </row>
    <row r="12" spans="1:2" ht="21.75" thickBot="1" x14ac:dyDescent="0.3">
      <c r="A12" s="188" t="s">
        <v>77</v>
      </c>
      <c r="B12" s="192">
        <v>1.0500000000000001E-2</v>
      </c>
    </row>
    <row r="13" spans="1:2" ht="21.75" thickBot="1" x14ac:dyDescent="0.3">
      <c r="A13" s="188" t="s">
        <v>78</v>
      </c>
      <c r="B13" s="192">
        <v>2.1000000000000001E-2</v>
      </c>
    </row>
    <row r="14" spans="1:2" ht="21.75" thickBot="1" x14ac:dyDescent="0.3">
      <c r="A14" s="188" t="s">
        <v>79</v>
      </c>
      <c r="B14" s="192">
        <v>5.0000000000000001E-3</v>
      </c>
    </row>
    <row r="15" spans="1:2" ht="21.75" thickBot="1" x14ac:dyDescent="0.3">
      <c r="A15" s="188" t="s">
        <v>80</v>
      </c>
      <c r="B15" s="192">
        <v>1.9E-2</v>
      </c>
    </row>
    <row r="17" spans="1:5" ht="21.75" thickBot="1" x14ac:dyDescent="0.3"/>
    <row r="18" spans="1:5" ht="27" customHeight="1" thickBot="1" x14ac:dyDescent="0.3">
      <c r="A18" s="193" t="s">
        <v>7</v>
      </c>
      <c r="B18" s="35"/>
      <c r="C18" s="194">
        <f>B3</f>
        <v>2400</v>
      </c>
    </row>
    <row r="19" spans="1:5" ht="27" customHeight="1" x14ac:dyDescent="0.35">
      <c r="A19" s="195" t="s">
        <v>11</v>
      </c>
      <c r="B19" s="38"/>
      <c r="C19" s="194">
        <f>B4</f>
        <v>125</v>
      </c>
      <c r="E19" s="23">
        <v>10</v>
      </c>
    </row>
    <row r="20" spans="1:5" ht="27" customHeight="1" x14ac:dyDescent="0.25">
      <c r="A20" s="196" t="s">
        <v>10</v>
      </c>
      <c r="B20" s="38"/>
      <c r="C20" s="40">
        <f>SUM(C18:C19)</f>
        <v>2525</v>
      </c>
    </row>
    <row r="21" spans="1:5" ht="27" customHeight="1" x14ac:dyDescent="0.25">
      <c r="A21" s="196" t="s">
        <v>81</v>
      </c>
      <c r="B21" s="38" t="s">
        <v>199</v>
      </c>
      <c r="C21" s="40">
        <f>C20*0.2168</f>
        <v>547.41999999999996</v>
      </c>
    </row>
    <row r="22" spans="1:5" ht="27" customHeight="1" x14ac:dyDescent="0.25">
      <c r="A22" s="196" t="s">
        <v>78</v>
      </c>
      <c r="B22" s="38" t="s">
        <v>137</v>
      </c>
      <c r="C22" s="40">
        <f>C20*2.1%</f>
        <v>53.025000000000006</v>
      </c>
    </row>
    <row r="23" spans="1:5" ht="27" customHeight="1" x14ac:dyDescent="0.25">
      <c r="A23" s="196" t="s">
        <v>77</v>
      </c>
      <c r="B23" s="38" t="s">
        <v>138</v>
      </c>
      <c r="C23" s="40">
        <f>C20*1.05%</f>
        <v>26.512500000000003</v>
      </c>
    </row>
    <row r="24" spans="1:5" ht="27" customHeight="1" x14ac:dyDescent="0.25">
      <c r="A24" s="197" t="s">
        <v>80</v>
      </c>
      <c r="B24" s="198" t="s">
        <v>139</v>
      </c>
      <c r="C24" s="199">
        <f>C20*1.9%</f>
        <v>47.975000000000001</v>
      </c>
      <c r="E24" s="63">
        <f>C24+C25</f>
        <v>60.6</v>
      </c>
    </row>
    <row r="25" spans="1:5" ht="27" customHeight="1" x14ac:dyDescent="0.25">
      <c r="A25" s="197" t="s">
        <v>79</v>
      </c>
      <c r="B25" s="198" t="s">
        <v>140</v>
      </c>
      <c r="C25" s="199">
        <f>C20*0.5%</f>
        <v>12.625</v>
      </c>
    </row>
    <row r="26" spans="1:5" ht="27" customHeight="1" x14ac:dyDescent="0.25">
      <c r="A26" s="196"/>
      <c r="B26" s="38"/>
      <c r="C26" s="40"/>
    </row>
    <row r="27" spans="1:5" ht="27" customHeight="1" x14ac:dyDescent="0.25">
      <c r="A27" s="196" t="s">
        <v>82</v>
      </c>
      <c r="B27" s="38" t="s">
        <v>141</v>
      </c>
      <c r="C27" s="40">
        <f>(C24+C25)*9.7%</f>
        <v>5.8781999999999996</v>
      </c>
    </row>
    <row r="28" spans="1:5" ht="27" customHeight="1" x14ac:dyDescent="0.25">
      <c r="A28" s="196" t="s">
        <v>83</v>
      </c>
      <c r="B28" s="38"/>
      <c r="C28" s="40">
        <f>C21+C22+C23+C27</f>
        <v>632.83569999999997</v>
      </c>
    </row>
    <row r="29" spans="1:5" ht="27" customHeight="1" x14ac:dyDescent="0.25">
      <c r="A29" s="200" t="s">
        <v>84</v>
      </c>
      <c r="B29" s="66"/>
      <c r="C29" s="201">
        <f>+C20-C28</f>
        <v>1892.1642999999999</v>
      </c>
    </row>
    <row r="30" spans="1:5" ht="27" customHeight="1" x14ac:dyDescent="0.25">
      <c r="A30" s="196" t="s">
        <v>75</v>
      </c>
      <c r="B30" s="38" t="s">
        <v>142</v>
      </c>
      <c r="C30" s="40">
        <f>C29/10</f>
        <v>189.21643</v>
      </c>
    </row>
    <row r="31" spans="1:5" ht="27" customHeight="1" x14ac:dyDescent="0.25">
      <c r="A31" s="196" t="s">
        <v>85</v>
      </c>
      <c r="B31" s="38"/>
      <c r="C31" s="40">
        <v>200</v>
      </c>
    </row>
    <row r="32" spans="1:5" ht="27" customHeight="1" x14ac:dyDescent="0.25">
      <c r="A32" s="196" t="s">
        <v>68</v>
      </c>
      <c r="B32" s="38"/>
      <c r="C32" s="40">
        <v>300</v>
      </c>
    </row>
    <row r="33" spans="1:6" ht="27" customHeight="1" x14ac:dyDescent="0.25">
      <c r="A33" s="196" t="s">
        <v>71</v>
      </c>
      <c r="B33" s="38" t="s">
        <v>143</v>
      </c>
      <c r="C33" s="40">
        <f>12*7*0.4</f>
        <v>33.6</v>
      </c>
    </row>
    <row r="34" spans="1:6" ht="27" customHeight="1" x14ac:dyDescent="0.25">
      <c r="A34" s="195" t="s">
        <v>11</v>
      </c>
      <c r="B34" s="38"/>
      <c r="C34" s="202">
        <f>C19</f>
        <v>125</v>
      </c>
    </row>
    <row r="35" spans="1:6" ht="27" customHeight="1" x14ac:dyDescent="0.25">
      <c r="A35" s="203" t="s">
        <v>92</v>
      </c>
      <c r="B35" s="204"/>
      <c r="C35" s="205">
        <v>1950</v>
      </c>
    </row>
    <row r="36" spans="1:6" ht="27" customHeight="1" thickBot="1" x14ac:dyDescent="0.3">
      <c r="A36" s="206" t="s">
        <v>86</v>
      </c>
      <c r="B36" s="41"/>
      <c r="C36" s="34">
        <f>C29-C30-C31-C32-C33-C34+C35</f>
        <v>2994.3478700000001</v>
      </c>
    </row>
    <row r="38" spans="1:6" x14ac:dyDescent="0.25">
      <c r="F38" s="29" t="s">
        <v>201</v>
      </c>
    </row>
    <row r="39" spans="1:6" x14ac:dyDescent="0.25">
      <c r="A39" s="222" t="s">
        <v>87</v>
      </c>
      <c r="B39" s="223"/>
    </row>
    <row r="40" spans="1:6" ht="21.75" thickBot="1" x14ac:dyDescent="0.3"/>
    <row r="41" spans="1:6" ht="26.25" customHeight="1" x14ac:dyDescent="0.25">
      <c r="A41" s="31" t="s">
        <v>88</v>
      </c>
      <c r="B41" s="207">
        <f>C20*0.9825</f>
        <v>2480.8125</v>
      </c>
      <c r="C41" s="208">
        <v>2.9000000000000001E-2</v>
      </c>
      <c r="D41" s="209">
        <f>C41*B41</f>
        <v>71.943562499999999</v>
      </c>
      <c r="F41" s="29" t="s">
        <v>200</v>
      </c>
    </row>
    <row r="42" spans="1:6" ht="26.25" customHeight="1" x14ac:dyDescent="0.25">
      <c r="A42" s="196" t="s">
        <v>89</v>
      </c>
      <c r="B42" s="210">
        <f>C24</f>
        <v>47.975000000000001</v>
      </c>
      <c r="C42" s="211">
        <v>2.9000000000000001E-2</v>
      </c>
      <c r="D42" s="124">
        <f t="shared" ref="D42:D43" si="0">C42*B42</f>
        <v>1.391275</v>
      </c>
    </row>
    <row r="43" spans="1:6" ht="26.25" customHeight="1" x14ac:dyDescent="0.25">
      <c r="A43" s="196" t="s">
        <v>89</v>
      </c>
      <c r="B43" s="210">
        <f>C25</f>
        <v>12.625</v>
      </c>
      <c r="C43" s="211">
        <v>2.9000000000000001E-2</v>
      </c>
      <c r="D43" s="124">
        <f t="shared" si="0"/>
        <v>0.36612500000000003</v>
      </c>
    </row>
    <row r="44" spans="1:6" ht="26.25" customHeight="1" thickBot="1" x14ac:dyDescent="0.3">
      <c r="A44" s="206" t="s">
        <v>90</v>
      </c>
      <c r="B44" s="41"/>
      <c r="C44" s="41"/>
      <c r="D44" s="60">
        <f>C25</f>
        <v>12.625</v>
      </c>
    </row>
    <row r="46" spans="1:6" ht="21.75" thickBot="1" x14ac:dyDescent="0.3"/>
    <row r="47" spans="1:6" ht="25.5" customHeight="1" thickBot="1" x14ac:dyDescent="0.3">
      <c r="A47" s="193" t="s">
        <v>7</v>
      </c>
      <c r="B47" s="35"/>
      <c r="C47" s="194">
        <f>C18</f>
        <v>2400</v>
      </c>
    </row>
    <row r="48" spans="1:6" ht="25.5" customHeight="1" x14ac:dyDescent="0.25">
      <c r="A48" s="195" t="s">
        <v>11</v>
      </c>
      <c r="B48" s="38"/>
      <c r="C48" s="194">
        <f>C19</f>
        <v>125</v>
      </c>
    </row>
    <row r="49" spans="1:3" ht="25.5" customHeight="1" x14ac:dyDescent="0.25">
      <c r="A49" s="196" t="s">
        <v>10</v>
      </c>
      <c r="B49" s="38"/>
      <c r="C49" s="40">
        <v>2525</v>
      </c>
    </row>
    <row r="50" spans="1:3" ht="25.5" customHeight="1" x14ac:dyDescent="0.25">
      <c r="A50" s="196" t="s">
        <v>81</v>
      </c>
      <c r="B50" s="38"/>
      <c r="C50" s="124">
        <v>547.41999999999996</v>
      </c>
    </row>
    <row r="51" spans="1:3" ht="25.5" customHeight="1" x14ac:dyDescent="0.25">
      <c r="A51" s="196" t="s">
        <v>78</v>
      </c>
      <c r="B51" s="149" t="s">
        <v>137</v>
      </c>
      <c r="C51" s="124">
        <v>53.025000000000006</v>
      </c>
    </row>
    <row r="52" spans="1:3" ht="25.5" customHeight="1" x14ac:dyDescent="0.25">
      <c r="A52" s="196" t="s">
        <v>77</v>
      </c>
      <c r="B52" s="149" t="s">
        <v>138</v>
      </c>
      <c r="C52" s="124">
        <v>26.512500000000003</v>
      </c>
    </row>
    <row r="53" spans="1:3" ht="25.5" customHeight="1" x14ac:dyDescent="0.25">
      <c r="A53" s="197" t="s">
        <v>80</v>
      </c>
      <c r="B53" s="212" t="s">
        <v>139</v>
      </c>
      <c r="C53" s="213">
        <v>47.975000000000001</v>
      </c>
    </row>
    <row r="54" spans="1:3" ht="25.5" customHeight="1" x14ac:dyDescent="0.25">
      <c r="A54" s="197" t="s">
        <v>79</v>
      </c>
      <c r="B54" s="212" t="s">
        <v>140</v>
      </c>
      <c r="C54" s="213">
        <v>12.625</v>
      </c>
    </row>
    <row r="55" spans="1:3" ht="25.5" customHeight="1" x14ac:dyDescent="0.25">
      <c r="A55" s="196"/>
      <c r="B55" s="149"/>
      <c r="C55" s="124"/>
    </row>
    <row r="56" spans="1:3" ht="25.5" customHeight="1" x14ac:dyDescent="0.25">
      <c r="A56" s="196" t="s">
        <v>82</v>
      </c>
      <c r="B56" s="149" t="s">
        <v>141</v>
      </c>
      <c r="C56" s="124">
        <v>5.8781999999999996</v>
      </c>
    </row>
    <row r="57" spans="1:3" ht="25.5" customHeight="1" x14ac:dyDescent="0.25">
      <c r="A57" s="196" t="s">
        <v>83</v>
      </c>
      <c r="B57" s="38"/>
      <c r="C57" s="124">
        <v>632.83569999999997</v>
      </c>
    </row>
    <row r="58" spans="1:3" ht="25.5" customHeight="1" x14ac:dyDescent="0.25">
      <c r="A58" s="30" t="s">
        <v>84</v>
      </c>
      <c r="C58" s="30">
        <v>1892.1642999999999</v>
      </c>
    </row>
    <row r="59" spans="1:3" ht="25.5" customHeight="1" x14ac:dyDescent="0.25">
      <c r="A59" s="37"/>
      <c r="B59" s="38"/>
      <c r="C59" s="214"/>
    </row>
    <row r="60" spans="1:3" ht="25.5" customHeight="1" x14ac:dyDescent="0.25">
      <c r="A60" s="37" t="s">
        <v>88</v>
      </c>
      <c r="B60" s="39"/>
      <c r="C60" s="124">
        <f>D41</f>
        <v>71.943562499999999</v>
      </c>
    </row>
    <row r="61" spans="1:3" ht="25.5" customHeight="1" x14ac:dyDescent="0.25">
      <c r="A61" s="196" t="s">
        <v>89</v>
      </c>
      <c r="B61" s="38"/>
      <c r="C61" s="124">
        <f>D42</f>
        <v>1.391275</v>
      </c>
    </row>
    <row r="62" spans="1:3" ht="25.5" customHeight="1" x14ac:dyDescent="0.25">
      <c r="A62" s="196" t="s">
        <v>89</v>
      </c>
      <c r="B62" s="38"/>
      <c r="C62" s="124">
        <f>D43</f>
        <v>0.36612500000000003</v>
      </c>
    </row>
    <row r="63" spans="1:3" ht="25.5" customHeight="1" thickBot="1" x14ac:dyDescent="0.3">
      <c r="A63" s="206" t="s">
        <v>90</v>
      </c>
      <c r="B63" s="38"/>
      <c r="C63" s="124">
        <f>C54</f>
        <v>12.625</v>
      </c>
    </row>
    <row r="64" spans="1:3" ht="25.5" customHeight="1" thickBot="1" x14ac:dyDescent="0.3">
      <c r="A64" s="182" t="s">
        <v>91</v>
      </c>
      <c r="B64" s="41"/>
      <c r="C64" s="215">
        <f>C58+C60+C61+C62+C63</f>
        <v>1978.4902625</v>
      </c>
    </row>
    <row r="65" ht="25.5" customHeight="1" x14ac:dyDescent="0.25"/>
  </sheetData>
  <mergeCells count="2">
    <mergeCell ref="A6:A7"/>
    <mergeCell ref="A39:B39"/>
  </mergeCells>
  <pageMargins left="0.70866141732283472" right="0.70866141732283472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9A21A-72B0-4DB5-931C-275CF6FCF4AB}">
  <dimension ref="A1:L20"/>
  <sheetViews>
    <sheetView tabSelected="1" zoomScale="75" zoomScaleNormal="75" workbookViewId="0">
      <selection activeCell="H8" sqref="H8"/>
    </sheetView>
  </sheetViews>
  <sheetFormatPr baseColWidth="10" defaultRowHeight="15" x14ac:dyDescent="0.25"/>
  <cols>
    <col min="1" max="1" width="40" style="15" bestFit="1" customWidth="1"/>
    <col min="2" max="2" width="12.42578125" style="15" bestFit="1" customWidth="1"/>
    <col min="3" max="3" width="18.7109375" style="15" bestFit="1" customWidth="1"/>
    <col min="4" max="4" width="18.28515625" style="15" bestFit="1" customWidth="1"/>
    <col min="5" max="8" width="11.42578125" style="15"/>
    <col min="9" max="9" width="11.5703125" style="15" bestFit="1" customWidth="1"/>
    <col min="10" max="11" width="11.42578125" style="15"/>
    <col min="12" max="12" width="27.140625" style="15" bestFit="1" customWidth="1"/>
    <col min="13" max="16384" width="11.42578125" style="15"/>
  </cols>
  <sheetData>
    <row r="1" spans="1:12" s="30" customFormat="1" ht="28.5" x14ac:dyDescent="0.25">
      <c r="A1" s="225" t="s">
        <v>112</v>
      </c>
      <c r="B1" s="226"/>
    </row>
    <row r="2" spans="1:12" s="30" customFormat="1" ht="21.75" thickBot="1" x14ac:dyDescent="0.3"/>
    <row r="3" spans="1:12" s="30" customFormat="1" ht="27.75" customHeight="1" x14ac:dyDescent="0.25">
      <c r="A3" s="31" t="s">
        <v>12</v>
      </c>
      <c r="B3" s="32">
        <f>23*7</f>
        <v>161</v>
      </c>
      <c r="E3" s="30" t="s">
        <v>159</v>
      </c>
      <c r="L3" s="224"/>
    </row>
    <row r="4" spans="1:12" s="30" customFormat="1" ht="27.75" customHeight="1" thickBot="1" x14ac:dyDescent="0.3">
      <c r="A4" s="33" t="s">
        <v>14</v>
      </c>
      <c r="B4" s="34">
        <f>D7/B3</f>
        <v>17.080745341614907</v>
      </c>
      <c r="E4" s="30" t="s">
        <v>160</v>
      </c>
      <c r="L4" s="224"/>
    </row>
    <row r="5" spans="1:12" s="30" customFormat="1" ht="21" x14ac:dyDescent="0.25">
      <c r="L5" s="224"/>
    </row>
    <row r="6" spans="1:12" s="30" customFormat="1" ht="21.75" thickBot="1" x14ac:dyDescent="0.3"/>
    <row r="7" spans="1:12" s="30" customFormat="1" ht="24.75" customHeight="1" x14ac:dyDescent="0.25">
      <c r="A7" s="31" t="s">
        <v>7</v>
      </c>
      <c r="B7" s="35"/>
      <c r="C7" s="35"/>
      <c r="D7" s="36">
        <v>2750</v>
      </c>
    </row>
    <row r="8" spans="1:12" s="30" customFormat="1" ht="24.75" customHeight="1" x14ac:dyDescent="0.25">
      <c r="A8" s="37" t="s">
        <v>15</v>
      </c>
      <c r="B8" s="38">
        <v>4.5</v>
      </c>
      <c r="C8" s="39">
        <f>B4</f>
        <v>17.080745341614907</v>
      </c>
      <c r="D8" s="40">
        <f>C8*B8</f>
        <v>76.863354037267086</v>
      </c>
    </row>
    <row r="9" spans="1:12" s="30" customFormat="1" ht="24.75" customHeight="1" thickBot="1" x14ac:dyDescent="0.3">
      <c r="A9" s="227" t="s">
        <v>10</v>
      </c>
      <c r="B9" s="228"/>
      <c r="C9" s="228"/>
      <c r="D9" s="229">
        <f>D7-D8</f>
        <v>2673.1366459627329</v>
      </c>
    </row>
    <row r="10" spans="1:12" s="30" customFormat="1" ht="21" x14ac:dyDescent="0.25"/>
    <row r="11" spans="1:12" s="30" customFormat="1" ht="21" x14ac:dyDescent="0.25"/>
    <row r="12" spans="1:12" s="30" customFormat="1" ht="28.5" x14ac:dyDescent="0.25">
      <c r="A12" s="225" t="s">
        <v>113</v>
      </c>
      <c r="B12" s="226"/>
    </row>
    <row r="13" spans="1:12" s="30" customFormat="1" ht="21" x14ac:dyDescent="0.25"/>
    <row r="14" spans="1:12" s="217" customFormat="1" ht="15.75" thickBot="1" x14ac:dyDescent="0.3"/>
    <row r="15" spans="1:12" ht="27.75" customHeight="1" x14ac:dyDescent="0.25">
      <c r="A15" s="31" t="s">
        <v>7</v>
      </c>
      <c r="B15" s="35"/>
      <c r="C15" s="35"/>
      <c r="D15" s="230">
        <v>2750</v>
      </c>
    </row>
    <row r="16" spans="1:12" ht="27.75" customHeight="1" x14ac:dyDescent="0.25">
      <c r="A16" s="37" t="s">
        <v>15</v>
      </c>
      <c r="B16" s="38">
        <v>4.5</v>
      </c>
      <c r="C16" s="123">
        <v>17.080745341614907</v>
      </c>
      <c r="D16" s="231">
        <f>-C16*B16</f>
        <v>-76.863354037267086</v>
      </c>
    </row>
    <row r="17" spans="1:4" s="217" customFormat="1" ht="27.75" customHeight="1" x14ac:dyDescent="0.25">
      <c r="A17" s="37" t="s">
        <v>210</v>
      </c>
      <c r="B17" s="38">
        <v>21</v>
      </c>
      <c r="C17" s="123">
        <f>C16</f>
        <v>17.080745341614907</v>
      </c>
      <c r="D17" s="231">
        <f>-C17*B17</f>
        <v>-358.69565217391306</v>
      </c>
    </row>
    <row r="18" spans="1:4" s="217" customFormat="1" ht="27.75" customHeight="1" x14ac:dyDescent="0.25">
      <c r="A18" s="37" t="s">
        <v>209</v>
      </c>
      <c r="B18" s="38">
        <v>7</v>
      </c>
      <c r="C18" s="123">
        <f>C17*2</f>
        <v>34.161490683229815</v>
      </c>
      <c r="D18" s="231">
        <f>C18*B18</f>
        <v>239.13043478260869</v>
      </c>
    </row>
    <row r="19" spans="1:4" ht="27.75" customHeight="1" x14ac:dyDescent="0.25">
      <c r="A19" s="37" t="s">
        <v>161</v>
      </c>
      <c r="B19" s="38">
        <v>14</v>
      </c>
      <c r="C19" s="123">
        <f>C17*1.25</f>
        <v>21.350931677018636</v>
      </c>
      <c r="D19" s="231">
        <f>C19*B19</f>
        <v>298.91304347826087</v>
      </c>
    </row>
    <row r="20" spans="1:4" ht="27.75" customHeight="1" thickBot="1" x14ac:dyDescent="0.3">
      <c r="A20" s="33" t="s">
        <v>162</v>
      </c>
      <c r="B20" s="41"/>
      <c r="C20" s="41"/>
      <c r="D20" s="232">
        <f>SUM(D15:D19)</f>
        <v>2852.4844720496894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74CCC-3B1D-4FBB-8044-4EC6D14096B8}">
  <dimension ref="A1:S35"/>
  <sheetViews>
    <sheetView topLeftCell="C14" workbookViewId="0">
      <selection activeCell="S19" sqref="S19"/>
    </sheetView>
  </sheetViews>
  <sheetFormatPr baseColWidth="10" defaultRowHeight="15" x14ac:dyDescent="0.25"/>
  <cols>
    <col min="1" max="1" width="11.42578125" style="15"/>
    <col min="2" max="2" width="12.140625" style="15" bestFit="1" customWidth="1"/>
    <col min="3" max="3" width="11.42578125" style="15"/>
    <col min="4" max="4" width="37.140625" style="15" bestFit="1" customWidth="1"/>
    <col min="5" max="5" width="13.85546875" style="15" bestFit="1" customWidth="1"/>
    <col min="6" max="6" width="14.140625" style="15" bestFit="1" customWidth="1"/>
    <col min="7" max="7" width="16.42578125" style="15" bestFit="1" customWidth="1"/>
    <col min="8" max="10" width="11.42578125" style="15"/>
    <col min="11" max="11" width="20.42578125" style="15" hidden="1" customWidth="1"/>
    <col min="12" max="15" width="0" style="15" hidden="1" customWidth="1"/>
    <col min="16" max="16" width="31.140625" style="15" bestFit="1" customWidth="1"/>
    <col min="17" max="18" width="11.42578125" style="15"/>
    <col min="19" max="19" width="11.85546875" style="15" bestFit="1" customWidth="1"/>
    <col min="20" max="16384" width="11.42578125" style="15"/>
  </cols>
  <sheetData>
    <row r="1" spans="1:19" s="30" customFormat="1" ht="21" x14ac:dyDescent="0.35">
      <c r="A1" s="30" t="s">
        <v>16</v>
      </c>
      <c r="B1" s="52">
        <v>1</v>
      </c>
      <c r="K1" s="53">
        <v>43221</v>
      </c>
      <c r="L1" s="54"/>
      <c r="M1" s="54"/>
      <c r="N1" s="54"/>
      <c r="O1" s="54"/>
      <c r="P1" s="53">
        <v>43313</v>
      </c>
      <c r="Q1" s="54"/>
      <c r="R1" s="54"/>
      <c r="S1" s="54"/>
    </row>
    <row r="2" spans="1:19" s="30" customFormat="1" ht="21" x14ac:dyDescent="0.35">
      <c r="A2" s="30" t="s">
        <v>17</v>
      </c>
      <c r="B2" s="52">
        <v>2</v>
      </c>
      <c r="K2" s="53">
        <v>43222</v>
      </c>
      <c r="L2" s="54"/>
      <c r="M2" s="54"/>
      <c r="N2" s="54"/>
      <c r="O2" s="54"/>
      <c r="P2" s="53">
        <v>43314</v>
      </c>
      <c r="Q2" s="54"/>
      <c r="R2" s="54"/>
      <c r="S2" s="54"/>
    </row>
    <row r="3" spans="1:19" s="30" customFormat="1" ht="21" x14ac:dyDescent="0.35">
      <c r="A3" s="30" t="s">
        <v>18</v>
      </c>
      <c r="B3" s="52">
        <v>3</v>
      </c>
      <c r="D3" s="55" t="s">
        <v>114</v>
      </c>
      <c r="K3" s="53">
        <v>43223</v>
      </c>
      <c r="L3" s="54"/>
      <c r="M3" s="54"/>
      <c r="N3" s="54"/>
      <c r="O3" s="54"/>
      <c r="P3" s="53">
        <v>43315</v>
      </c>
      <c r="Q3" s="54"/>
      <c r="R3" s="54"/>
      <c r="S3" s="54"/>
    </row>
    <row r="4" spans="1:19" s="30" customFormat="1" ht="21" x14ac:dyDescent="0.35">
      <c r="A4" s="30" t="s">
        <v>19</v>
      </c>
      <c r="B4" s="52">
        <v>4</v>
      </c>
      <c r="K4" s="53">
        <v>43224</v>
      </c>
      <c r="L4" s="54"/>
      <c r="M4" s="54"/>
      <c r="N4" s="54"/>
      <c r="O4" s="54"/>
      <c r="P4" s="53">
        <v>43316</v>
      </c>
      <c r="Q4" s="54"/>
      <c r="R4" s="54"/>
      <c r="S4" s="54"/>
    </row>
    <row r="5" spans="1:19" s="30" customFormat="1" ht="21" x14ac:dyDescent="0.35">
      <c r="A5" s="30" t="s">
        <v>20</v>
      </c>
      <c r="B5" s="52">
        <v>5</v>
      </c>
      <c r="D5" s="29" t="s">
        <v>23</v>
      </c>
      <c r="E5" s="29" t="s">
        <v>148</v>
      </c>
      <c r="K5" s="53">
        <v>43225</v>
      </c>
      <c r="L5" s="54"/>
      <c r="M5" s="54"/>
      <c r="N5" s="54"/>
      <c r="O5" s="54"/>
      <c r="P5" s="53">
        <v>43317</v>
      </c>
      <c r="Q5" s="54"/>
      <c r="R5" s="54"/>
      <c r="S5" s="54"/>
    </row>
    <row r="6" spans="1:19" s="30" customFormat="1" ht="21.75" thickBot="1" x14ac:dyDescent="0.4">
      <c r="A6" s="30" t="s">
        <v>21</v>
      </c>
      <c r="B6" s="52">
        <v>6</v>
      </c>
      <c r="K6" s="53">
        <v>43226</v>
      </c>
      <c r="L6" s="54"/>
      <c r="M6" s="54"/>
      <c r="N6" s="54"/>
      <c r="O6" s="54"/>
      <c r="P6" s="53">
        <v>43318</v>
      </c>
      <c r="Q6" s="54"/>
      <c r="R6" s="54"/>
      <c r="S6" s="54"/>
    </row>
    <row r="7" spans="1:19" s="30" customFormat="1" ht="21" x14ac:dyDescent="0.35">
      <c r="A7" s="30" t="s">
        <v>22</v>
      </c>
      <c r="B7" s="52">
        <v>7</v>
      </c>
      <c r="D7" s="31" t="s">
        <v>24</v>
      </c>
      <c r="E7" s="32">
        <v>161</v>
      </c>
      <c r="K7" s="53">
        <v>43227</v>
      </c>
      <c r="L7" s="54"/>
      <c r="M7" s="54"/>
      <c r="N7" s="54"/>
      <c r="O7" s="54"/>
      <c r="P7" s="53">
        <v>43319</v>
      </c>
      <c r="Q7" s="54"/>
      <c r="R7" s="54"/>
      <c r="S7" s="54"/>
    </row>
    <row r="8" spans="1:19" s="30" customFormat="1" ht="21" x14ac:dyDescent="0.35">
      <c r="A8" s="56" t="s">
        <v>16</v>
      </c>
      <c r="B8" s="57">
        <v>8</v>
      </c>
      <c r="D8" s="37" t="s">
        <v>25</v>
      </c>
      <c r="E8" s="40">
        <f>3350/E7</f>
        <v>20.80745341614907</v>
      </c>
      <c r="K8" s="53">
        <v>43228</v>
      </c>
      <c r="L8" s="54"/>
      <c r="M8" s="54"/>
      <c r="N8" s="54"/>
      <c r="O8" s="54"/>
      <c r="P8" s="53">
        <v>43320</v>
      </c>
      <c r="Q8" s="54"/>
      <c r="R8" s="54"/>
      <c r="S8" s="54"/>
    </row>
    <row r="9" spans="1:19" s="30" customFormat="1" ht="21.75" thickBot="1" x14ac:dyDescent="0.4">
      <c r="A9" s="56" t="s">
        <v>17</v>
      </c>
      <c r="B9" s="57">
        <v>9</v>
      </c>
      <c r="D9" s="33" t="s">
        <v>26</v>
      </c>
      <c r="E9" s="58">
        <v>98</v>
      </c>
      <c r="K9" s="53">
        <v>43229</v>
      </c>
      <c r="L9" s="54"/>
      <c r="M9" s="54" t="s">
        <v>144</v>
      </c>
      <c r="N9" s="54"/>
      <c r="O9" s="54"/>
      <c r="P9" s="53">
        <v>43321</v>
      </c>
      <c r="Q9" s="54"/>
      <c r="R9" s="54"/>
      <c r="S9" s="54"/>
    </row>
    <row r="10" spans="1:19" s="30" customFormat="1" ht="21.75" thickBot="1" x14ac:dyDescent="0.4">
      <c r="A10" s="56" t="s">
        <v>18</v>
      </c>
      <c r="B10" s="57">
        <v>10</v>
      </c>
      <c r="E10" s="29" t="s">
        <v>163</v>
      </c>
      <c r="F10" s="29"/>
      <c r="G10" s="29"/>
      <c r="K10" s="53">
        <v>43230</v>
      </c>
      <c r="L10" s="54"/>
      <c r="M10" s="54" t="s">
        <v>145</v>
      </c>
      <c r="N10" s="54" t="s">
        <v>146</v>
      </c>
      <c r="O10" s="54"/>
      <c r="P10" s="53">
        <v>43322</v>
      </c>
      <c r="Q10" s="54"/>
      <c r="R10" s="54"/>
      <c r="S10" s="54"/>
    </row>
    <row r="11" spans="1:19" s="30" customFormat="1" ht="21" x14ac:dyDescent="0.35">
      <c r="A11" s="56" t="s">
        <v>19</v>
      </c>
      <c r="B11" s="57">
        <v>11</v>
      </c>
      <c r="D11" s="31" t="s">
        <v>27</v>
      </c>
      <c r="E11" s="35">
        <f>37250+3950</f>
        <v>41200</v>
      </c>
      <c r="F11" s="59">
        <v>0.1</v>
      </c>
      <c r="G11" s="36">
        <f>F11*E11</f>
        <v>4120</v>
      </c>
      <c r="K11" s="53">
        <v>43231</v>
      </c>
      <c r="L11" s="54"/>
      <c r="M11" s="54"/>
      <c r="N11" s="54"/>
      <c r="O11" s="54"/>
      <c r="P11" s="53">
        <v>43323</v>
      </c>
      <c r="Q11" s="54"/>
      <c r="R11" s="54"/>
      <c r="S11" s="54"/>
    </row>
    <row r="12" spans="1:19" s="30" customFormat="1" ht="21.75" thickBot="1" x14ac:dyDescent="0.4">
      <c r="A12" s="56" t="s">
        <v>20</v>
      </c>
      <c r="B12" s="57">
        <v>12</v>
      </c>
      <c r="D12" s="33" t="s">
        <v>28</v>
      </c>
      <c r="E12" s="41"/>
      <c r="F12" s="41" t="s">
        <v>115</v>
      </c>
      <c r="G12" s="60">
        <f>G11/30</f>
        <v>137.33333333333334</v>
      </c>
      <c r="K12" s="53">
        <v>43232</v>
      </c>
      <c r="L12" s="54"/>
      <c r="M12" s="54"/>
      <c r="N12" s="54"/>
      <c r="O12" s="54"/>
      <c r="P12" s="53">
        <v>43324</v>
      </c>
      <c r="Q12" s="54"/>
      <c r="R12" s="54"/>
      <c r="S12" s="54"/>
    </row>
    <row r="13" spans="1:19" s="30" customFormat="1" ht="21.75" thickBot="1" x14ac:dyDescent="0.4">
      <c r="A13" s="56" t="s">
        <v>21</v>
      </c>
      <c r="B13" s="57">
        <v>13</v>
      </c>
      <c r="K13" s="53">
        <v>43233</v>
      </c>
      <c r="L13" s="54"/>
      <c r="M13" s="54"/>
      <c r="N13" s="54"/>
      <c r="O13" s="54"/>
      <c r="P13" s="61">
        <v>43325</v>
      </c>
      <c r="Q13" s="54"/>
      <c r="R13" s="54"/>
      <c r="S13" s="62" t="s">
        <v>148</v>
      </c>
    </row>
    <row r="14" spans="1:19" s="30" customFormat="1" ht="21" x14ac:dyDescent="0.35">
      <c r="A14" s="56" t="s">
        <v>22</v>
      </c>
      <c r="B14" s="57">
        <v>14</v>
      </c>
      <c r="D14" s="31" t="s">
        <v>7</v>
      </c>
      <c r="E14" s="35"/>
      <c r="F14" s="35"/>
      <c r="G14" s="36">
        <v>3350</v>
      </c>
      <c r="K14" s="53">
        <v>43234</v>
      </c>
      <c r="L14" s="54"/>
      <c r="M14" s="54"/>
      <c r="N14" s="54"/>
      <c r="O14" s="54"/>
      <c r="P14" s="61">
        <v>43326</v>
      </c>
      <c r="Q14" s="54"/>
      <c r="R14" s="54" t="s">
        <v>147</v>
      </c>
      <c r="S14" s="54">
        <v>27</v>
      </c>
    </row>
    <row r="15" spans="1:19" s="30" customFormat="1" ht="21" x14ac:dyDescent="0.35">
      <c r="A15" s="56" t="s">
        <v>16</v>
      </c>
      <c r="B15" s="57">
        <v>15</v>
      </c>
      <c r="D15" s="37" t="s">
        <v>13</v>
      </c>
      <c r="E15" s="38">
        <v>16</v>
      </c>
      <c r="F15" s="39">
        <f>G12</f>
        <v>137.33333333333334</v>
      </c>
      <c r="G15" s="40">
        <f>F15*E15</f>
        <v>2197.3333333333335</v>
      </c>
      <c r="I15" s="63"/>
      <c r="K15" s="53">
        <v>43235</v>
      </c>
      <c r="L15" s="54"/>
      <c r="M15" s="54"/>
      <c r="N15" s="54"/>
      <c r="O15" s="54"/>
      <c r="P15" s="64">
        <v>43327</v>
      </c>
      <c r="Q15" s="54"/>
      <c r="R15" s="54"/>
      <c r="S15" s="54"/>
    </row>
    <row r="16" spans="1:19" s="30" customFormat="1" ht="21" x14ac:dyDescent="0.35">
      <c r="A16" s="56" t="s">
        <v>17</v>
      </c>
      <c r="B16" s="57">
        <v>16</v>
      </c>
      <c r="D16" s="37" t="s">
        <v>15</v>
      </c>
      <c r="E16" s="38">
        <f>+E9</f>
        <v>98</v>
      </c>
      <c r="F16" s="39">
        <f>E8</f>
        <v>20.80745341614907</v>
      </c>
      <c r="G16" s="40">
        <f>F16*-E16</f>
        <v>-2039.1304347826087</v>
      </c>
      <c r="K16" s="53">
        <v>43236</v>
      </c>
      <c r="L16" s="54"/>
      <c r="M16" s="54"/>
      <c r="N16" s="54"/>
      <c r="O16" s="54"/>
      <c r="P16" s="61">
        <v>43328</v>
      </c>
      <c r="Q16" s="54"/>
      <c r="R16" s="54"/>
      <c r="S16" s="54"/>
    </row>
    <row r="17" spans="1:19" s="30" customFormat="1" ht="21.75" thickBot="1" x14ac:dyDescent="0.4">
      <c r="A17" s="56" t="s">
        <v>18</v>
      </c>
      <c r="B17" s="57">
        <v>17</v>
      </c>
      <c r="D17" s="33" t="s">
        <v>10</v>
      </c>
      <c r="E17" s="41"/>
      <c r="F17" s="41"/>
      <c r="G17" s="34">
        <f>SUM(G14:G16)</f>
        <v>3508.202898550725</v>
      </c>
      <c r="K17" s="53">
        <v>43237</v>
      </c>
      <c r="L17" s="54"/>
      <c r="M17" s="54"/>
      <c r="N17" s="54"/>
      <c r="O17" s="54"/>
      <c r="P17" s="61">
        <v>43329</v>
      </c>
      <c r="Q17" s="54"/>
      <c r="R17" s="54"/>
      <c r="S17" s="54"/>
    </row>
    <row r="18" spans="1:19" s="30" customFormat="1" ht="21" x14ac:dyDescent="0.35">
      <c r="A18" s="56" t="s">
        <v>19</v>
      </c>
      <c r="B18" s="57">
        <v>18</v>
      </c>
      <c r="K18" s="53">
        <v>43238</v>
      </c>
      <c r="L18" s="54"/>
      <c r="M18" s="54"/>
      <c r="N18" s="54"/>
      <c r="O18" s="54"/>
      <c r="P18" s="61">
        <v>43330</v>
      </c>
      <c r="Q18" s="54"/>
      <c r="R18" s="54"/>
      <c r="S18" s="54"/>
    </row>
    <row r="19" spans="1:19" x14ac:dyDescent="0.25">
      <c r="A19" s="21" t="s">
        <v>20</v>
      </c>
      <c r="B19" s="22">
        <v>19</v>
      </c>
      <c r="K19" s="43">
        <v>43239</v>
      </c>
      <c r="L19"/>
      <c r="M19"/>
      <c r="N19"/>
      <c r="O19"/>
      <c r="P19" s="44">
        <v>43331</v>
      </c>
      <c r="Q19"/>
      <c r="R19"/>
      <c r="S19"/>
    </row>
    <row r="20" spans="1:19" ht="18.75" x14ac:dyDescent="0.25">
      <c r="A20" s="15" t="s">
        <v>18</v>
      </c>
      <c r="B20" s="20">
        <v>3</v>
      </c>
      <c r="D20" s="28" t="s">
        <v>116</v>
      </c>
      <c r="K20" s="43">
        <v>43240</v>
      </c>
      <c r="L20"/>
      <c r="M20"/>
      <c r="N20"/>
      <c r="O20"/>
      <c r="P20" s="44">
        <v>43332</v>
      </c>
      <c r="Q20"/>
      <c r="R20"/>
      <c r="S20"/>
    </row>
    <row r="21" spans="1:19" x14ac:dyDescent="0.25">
      <c r="A21" s="15" t="s">
        <v>19</v>
      </c>
      <c r="B21" s="20">
        <v>4</v>
      </c>
      <c r="K21" s="43">
        <v>43241</v>
      </c>
      <c r="L21"/>
      <c r="M21"/>
      <c r="N21"/>
      <c r="O21"/>
      <c r="P21" s="44">
        <v>43333</v>
      </c>
      <c r="Q21"/>
      <c r="R21"/>
      <c r="S21"/>
    </row>
    <row r="22" spans="1:19" ht="21" x14ac:dyDescent="0.25">
      <c r="A22" s="15" t="s">
        <v>20</v>
      </c>
      <c r="B22" s="20">
        <v>5</v>
      </c>
      <c r="D22" s="29" t="s">
        <v>23</v>
      </c>
      <c r="E22" s="29" t="s">
        <v>148</v>
      </c>
      <c r="K22" s="43">
        <v>43242</v>
      </c>
      <c r="L22"/>
      <c r="M22"/>
      <c r="N22"/>
      <c r="O22"/>
      <c r="P22" s="44">
        <v>43334</v>
      </c>
      <c r="Q22"/>
      <c r="R22"/>
      <c r="S22"/>
    </row>
    <row r="23" spans="1:19" ht="15.75" thickBot="1" x14ac:dyDescent="0.3">
      <c r="A23" s="15" t="s">
        <v>21</v>
      </c>
      <c r="B23" s="20">
        <v>6</v>
      </c>
      <c r="K23" s="43">
        <v>43243</v>
      </c>
      <c r="L23"/>
      <c r="M23"/>
      <c r="N23"/>
      <c r="O23"/>
      <c r="P23" s="44">
        <v>43335</v>
      </c>
      <c r="Q23"/>
      <c r="R23"/>
      <c r="S23"/>
    </row>
    <row r="24" spans="1:19" s="30" customFormat="1" ht="21" x14ac:dyDescent="0.35">
      <c r="A24" s="30" t="s">
        <v>22</v>
      </c>
      <c r="B24" s="52">
        <v>7</v>
      </c>
      <c r="D24" s="31" t="s">
        <v>117</v>
      </c>
      <c r="E24" s="32">
        <v>27</v>
      </c>
      <c r="K24" s="53">
        <v>43244</v>
      </c>
      <c r="L24" s="54"/>
      <c r="M24" s="54"/>
      <c r="N24" s="54"/>
      <c r="O24" s="54"/>
      <c r="P24" s="61">
        <v>43336</v>
      </c>
      <c r="Q24" s="54"/>
      <c r="R24" s="54"/>
      <c r="S24" s="54"/>
    </row>
    <row r="25" spans="1:19" s="30" customFormat="1" ht="21" x14ac:dyDescent="0.35">
      <c r="A25" s="56" t="s">
        <v>16</v>
      </c>
      <c r="B25" s="57">
        <v>8</v>
      </c>
      <c r="D25" s="37" t="s">
        <v>25</v>
      </c>
      <c r="E25" s="40">
        <f>3350/E24</f>
        <v>124.07407407407408</v>
      </c>
      <c r="K25" s="53">
        <v>43245</v>
      </c>
      <c r="L25" s="54"/>
      <c r="M25" s="54"/>
      <c r="N25" s="54"/>
      <c r="O25" s="54"/>
      <c r="P25" s="61">
        <v>43337</v>
      </c>
      <c r="Q25" s="54"/>
      <c r="R25" s="54"/>
      <c r="S25" s="54"/>
    </row>
    <row r="26" spans="1:19" s="30" customFormat="1" ht="21.75" thickBot="1" x14ac:dyDescent="0.4">
      <c r="A26" s="56" t="s">
        <v>17</v>
      </c>
      <c r="B26" s="57">
        <v>9</v>
      </c>
      <c r="D26" s="33" t="s">
        <v>118</v>
      </c>
      <c r="E26" s="58">
        <v>16</v>
      </c>
      <c r="K26" s="53">
        <v>43246</v>
      </c>
      <c r="L26" s="54"/>
      <c r="M26" s="54"/>
      <c r="N26" s="54"/>
      <c r="O26" s="54"/>
      <c r="P26" s="61">
        <v>43338</v>
      </c>
      <c r="Q26" s="54"/>
      <c r="R26" s="54"/>
      <c r="S26" s="54"/>
    </row>
    <row r="27" spans="1:19" s="30" customFormat="1" ht="21.75" thickBot="1" x14ac:dyDescent="0.4">
      <c r="A27" s="56" t="s">
        <v>18</v>
      </c>
      <c r="B27" s="57">
        <v>10</v>
      </c>
      <c r="K27" s="53">
        <v>43247</v>
      </c>
      <c r="L27" s="54"/>
      <c r="M27" s="54"/>
      <c r="N27" s="54"/>
      <c r="O27" s="54"/>
      <c r="P27" s="61">
        <v>43339</v>
      </c>
      <c r="Q27" s="54"/>
      <c r="R27" s="54"/>
      <c r="S27" s="54"/>
    </row>
    <row r="28" spans="1:19" s="30" customFormat="1" ht="21" x14ac:dyDescent="0.35">
      <c r="A28" s="56" t="s">
        <v>19</v>
      </c>
      <c r="B28" s="57">
        <v>11</v>
      </c>
      <c r="D28" s="31" t="s">
        <v>27</v>
      </c>
      <c r="E28" s="35">
        <f>37250+3950</f>
        <v>41200</v>
      </c>
      <c r="F28" s="59">
        <v>0.1</v>
      </c>
      <c r="G28" s="36">
        <f>F28*E28</f>
        <v>4120</v>
      </c>
      <c r="K28" s="53">
        <v>43248</v>
      </c>
      <c r="L28" s="54"/>
      <c r="M28" s="54"/>
      <c r="N28" s="54"/>
      <c r="O28" s="54"/>
      <c r="P28" s="61">
        <v>43340</v>
      </c>
      <c r="Q28" s="54"/>
      <c r="R28" s="54"/>
      <c r="S28" s="54"/>
    </row>
    <row r="29" spans="1:19" s="30" customFormat="1" ht="21.75" thickBot="1" x14ac:dyDescent="0.4">
      <c r="A29" s="56" t="s">
        <v>20</v>
      </c>
      <c r="B29" s="57">
        <v>12</v>
      </c>
      <c r="D29" s="33" t="s">
        <v>28</v>
      </c>
      <c r="E29" s="41"/>
      <c r="F29" s="41" t="s">
        <v>115</v>
      </c>
      <c r="G29" s="60">
        <f>G28/30</f>
        <v>137.33333333333334</v>
      </c>
      <c r="K29" s="53">
        <v>43249</v>
      </c>
      <c r="L29" s="54"/>
      <c r="M29" s="54"/>
      <c r="N29" s="54"/>
      <c r="O29" s="54"/>
      <c r="P29" s="61">
        <v>43341</v>
      </c>
      <c r="Q29" s="54"/>
      <c r="R29" s="54"/>
      <c r="S29" s="54"/>
    </row>
    <row r="30" spans="1:19" s="30" customFormat="1" ht="21.75" thickBot="1" x14ac:dyDescent="0.4">
      <c r="A30" s="56" t="s">
        <v>21</v>
      </c>
      <c r="B30" s="57">
        <v>13</v>
      </c>
      <c r="K30" s="53">
        <v>43250</v>
      </c>
      <c r="L30" s="54"/>
      <c r="M30" s="54"/>
      <c r="N30" s="54"/>
      <c r="O30" s="54"/>
      <c r="P30" s="61">
        <v>43342</v>
      </c>
      <c r="Q30" s="54"/>
      <c r="R30" s="54"/>
      <c r="S30" s="54"/>
    </row>
    <row r="31" spans="1:19" s="30" customFormat="1" ht="21" x14ac:dyDescent="0.35">
      <c r="A31" s="56" t="s">
        <v>22</v>
      </c>
      <c r="B31" s="57">
        <v>14</v>
      </c>
      <c r="D31" s="31" t="s">
        <v>7</v>
      </c>
      <c r="E31" s="35"/>
      <c r="F31" s="35"/>
      <c r="G31" s="36">
        <v>3350</v>
      </c>
      <c r="K31" s="53">
        <v>43251</v>
      </c>
      <c r="L31" s="54"/>
      <c r="M31" s="54"/>
      <c r="N31" s="54"/>
      <c r="O31" s="54"/>
      <c r="P31" s="61">
        <v>43343</v>
      </c>
      <c r="Q31" s="54"/>
      <c r="R31" s="54"/>
      <c r="S31" s="54"/>
    </row>
    <row r="32" spans="1:19" s="30" customFormat="1" ht="21" x14ac:dyDescent="0.35">
      <c r="A32" s="56" t="s">
        <v>16</v>
      </c>
      <c r="B32" s="57">
        <v>15</v>
      </c>
      <c r="D32" s="37" t="s">
        <v>13</v>
      </c>
      <c r="E32" s="38">
        <v>16</v>
      </c>
      <c r="F32" s="39">
        <f>G29</f>
        <v>137.33333333333334</v>
      </c>
      <c r="G32" s="40">
        <f>F32*E32</f>
        <v>2197.3333333333335</v>
      </c>
      <c r="I32" s="63"/>
      <c r="K32" s="54"/>
      <c r="L32" s="54"/>
      <c r="M32" s="54"/>
      <c r="N32" s="54"/>
      <c r="O32" s="54"/>
      <c r="P32" s="54"/>
      <c r="Q32" s="54"/>
      <c r="R32" s="54"/>
      <c r="S32" s="54"/>
    </row>
    <row r="33" spans="1:19" s="30" customFormat="1" ht="21" x14ac:dyDescent="0.35">
      <c r="A33" s="56" t="s">
        <v>17</v>
      </c>
      <c r="B33" s="57">
        <v>16</v>
      </c>
      <c r="D33" s="65" t="s">
        <v>15</v>
      </c>
      <c r="E33" s="66">
        <v>16</v>
      </c>
      <c r="F33" s="67">
        <f>E25</f>
        <v>124.07407407407408</v>
      </c>
      <c r="G33" s="68">
        <f>F33*-E33</f>
        <v>-1985.1851851851852</v>
      </c>
      <c r="K33" s="54"/>
      <c r="L33" s="54"/>
      <c r="M33" s="54"/>
      <c r="N33" s="54"/>
      <c r="O33" s="54"/>
      <c r="P33" s="54"/>
      <c r="Q33" s="54"/>
      <c r="R33" s="54"/>
      <c r="S33" s="54"/>
    </row>
    <row r="34" spans="1:19" s="30" customFormat="1" ht="21.75" thickBot="1" x14ac:dyDescent="0.4">
      <c r="A34" s="56" t="s">
        <v>18</v>
      </c>
      <c r="B34" s="57">
        <v>17</v>
      </c>
      <c r="D34" s="33" t="s">
        <v>10</v>
      </c>
      <c r="E34" s="41"/>
      <c r="F34" s="41"/>
      <c r="G34" s="34">
        <f>SUM(G31:G33)</f>
        <v>3562.1481481481487</v>
      </c>
      <c r="K34" s="54"/>
      <c r="L34" s="54"/>
      <c r="M34" s="54"/>
      <c r="N34" s="54"/>
      <c r="O34" s="54"/>
      <c r="P34" s="54"/>
      <c r="Q34" s="54"/>
      <c r="R34" s="54"/>
      <c r="S34" s="54"/>
    </row>
    <row r="35" spans="1:19" x14ac:dyDescent="0.25">
      <c r="K35"/>
      <c r="L35"/>
      <c r="M35"/>
      <c r="N35"/>
      <c r="O35"/>
      <c r="P35"/>
      <c r="Q35"/>
      <c r="R35"/>
      <c r="S35"/>
    </row>
  </sheetData>
  <pageMargins left="0.19685039370078741" right="0.11811023622047245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20A12-A20C-47FD-BE7B-93C47F1D62E7}">
  <dimension ref="A1:E20"/>
  <sheetViews>
    <sheetView topLeftCell="A4" workbookViewId="0">
      <selection activeCell="D20" sqref="D20"/>
    </sheetView>
  </sheetViews>
  <sheetFormatPr baseColWidth="10" defaultRowHeight="15" x14ac:dyDescent="0.25"/>
  <cols>
    <col min="1" max="1" width="30.140625" style="15" bestFit="1" customWidth="1"/>
    <col min="2" max="2" width="30.28515625" style="15" bestFit="1" customWidth="1"/>
    <col min="3" max="3" width="13.42578125" style="15" bestFit="1" customWidth="1"/>
    <col min="4" max="4" width="17.140625" style="15" bestFit="1" customWidth="1"/>
    <col min="5" max="5" width="12" style="15" bestFit="1" customWidth="1"/>
    <col min="6" max="16384" width="11.42578125" style="15"/>
  </cols>
  <sheetData>
    <row r="1" spans="1:5" s="50" customFormat="1" ht="23.25" x14ac:dyDescent="0.25"/>
    <row r="2" spans="1:5" s="50" customFormat="1" ht="24" thickBot="1" x14ac:dyDescent="0.3"/>
    <row r="3" spans="1:5" s="50" customFormat="1" ht="24" customHeight="1" x14ac:dyDescent="0.25">
      <c r="A3" s="69" t="s">
        <v>12</v>
      </c>
      <c r="B3" s="70" t="s">
        <v>119</v>
      </c>
      <c r="C3" s="71">
        <f>27.5*52/12</f>
        <v>119.16666666666667</v>
      </c>
    </row>
    <row r="4" spans="1:5" s="50" customFormat="1" ht="24" customHeight="1" x14ac:dyDescent="0.25">
      <c r="A4" s="72" t="s">
        <v>34</v>
      </c>
      <c r="B4" s="73" t="s">
        <v>164</v>
      </c>
      <c r="C4" s="74">
        <f>1990/C3*1.1</f>
        <v>18.369230769230771</v>
      </c>
    </row>
    <row r="5" spans="1:5" s="50" customFormat="1" ht="24" customHeight="1" thickBot="1" x14ac:dyDescent="0.3">
      <c r="A5" s="75" t="s">
        <v>35</v>
      </c>
      <c r="B5" s="76" t="s">
        <v>165</v>
      </c>
      <c r="C5" s="77">
        <f>1990/C3*1.25</f>
        <v>20.874125874125873</v>
      </c>
    </row>
    <row r="6" spans="1:5" s="50" customFormat="1" ht="23.25" x14ac:dyDescent="0.25"/>
    <row r="7" spans="1:5" s="50" customFormat="1" ht="24" thickBot="1" x14ac:dyDescent="0.3">
      <c r="D7" s="50" t="s">
        <v>166</v>
      </c>
    </row>
    <row r="8" spans="1:5" s="50" customFormat="1" ht="21" customHeight="1" x14ac:dyDescent="0.25">
      <c r="A8" s="78"/>
      <c r="B8" s="79"/>
      <c r="C8" s="79" t="s">
        <v>0</v>
      </c>
      <c r="D8" s="80">
        <v>1.1000000000000001</v>
      </c>
      <c r="E8" s="81">
        <v>1.25</v>
      </c>
    </row>
    <row r="9" spans="1:5" s="50" customFormat="1" ht="21" customHeight="1" x14ac:dyDescent="0.25">
      <c r="A9" s="82" t="s">
        <v>29</v>
      </c>
      <c r="B9" s="83">
        <v>31</v>
      </c>
      <c r="C9" s="83">
        <f>B9-27.5</f>
        <v>3.5</v>
      </c>
      <c r="D9" s="83">
        <v>2.75</v>
      </c>
      <c r="E9" s="84">
        <f>C9-D9</f>
        <v>0.75</v>
      </c>
    </row>
    <row r="10" spans="1:5" s="50" customFormat="1" ht="21" customHeight="1" x14ac:dyDescent="0.25">
      <c r="A10" s="82" t="s">
        <v>30</v>
      </c>
      <c r="B10" s="83">
        <v>28</v>
      </c>
      <c r="C10" s="83">
        <f t="shared" ref="C10:C13" si="0">B10-27.5</f>
        <v>0.5</v>
      </c>
      <c r="D10" s="83">
        <v>0.5</v>
      </c>
      <c r="E10" s="84">
        <f t="shared" ref="E10:E13" si="1">C10-D10</f>
        <v>0</v>
      </c>
    </row>
    <row r="11" spans="1:5" s="50" customFormat="1" ht="21" customHeight="1" x14ac:dyDescent="0.25">
      <c r="A11" s="82" t="s">
        <v>31</v>
      </c>
      <c r="B11" s="83">
        <v>34</v>
      </c>
      <c r="C11" s="83">
        <f t="shared" si="0"/>
        <v>6.5</v>
      </c>
      <c r="D11" s="83">
        <v>2.75</v>
      </c>
      <c r="E11" s="84">
        <f t="shared" si="1"/>
        <v>3.75</v>
      </c>
    </row>
    <row r="12" spans="1:5" s="50" customFormat="1" ht="21" customHeight="1" x14ac:dyDescent="0.25">
      <c r="A12" s="82" t="s">
        <v>32</v>
      </c>
      <c r="B12" s="83">
        <v>29</v>
      </c>
      <c r="C12" s="83">
        <f t="shared" si="0"/>
        <v>1.5</v>
      </c>
      <c r="D12" s="83">
        <v>1.5</v>
      </c>
      <c r="E12" s="84">
        <f t="shared" si="1"/>
        <v>0</v>
      </c>
    </row>
    <row r="13" spans="1:5" s="50" customFormat="1" ht="21" customHeight="1" x14ac:dyDescent="0.25">
      <c r="A13" s="82" t="s">
        <v>33</v>
      </c>
      <c r="B13" s="83">
        <v>29.5</v>
      </c>
      <c r="C13" s="83">
        <f t="shared" si="0"/>
        <v>2</v>
      </c>
      <c r="D13" s="83">
        <v>2</v>
      </c>
      <c r="E13" s="84">
        <f t="shared" si="1"/>
        <v>0</v>
      </c>
    </row>
    <row r="14" spans="1:5" s="50" customFormat="1" ht="21" customHeight="1" thickBot="1" x14ac:dyDescent="0.3">
      <c r="A14" s="85" t="s">
        <v>6</v>
      </c>
      <c r="B14" s="86"/>
      <c r="C14" s="86">
        <f>SUM(C9:C13)</f>
        <v>14</v>
      </c>
      <c r="D14" s="86">
        <f>SUM(D9:D13)</f>
        <v>9.5</v>
      </c>
      <c r="E14" s="87">
        <f>SUM(E9:E13)</f>
        <v>4.5</v>
      </c>
    </row>
    <row r="15" spans="1:5" s="50" customFormat="1" ht="23.25" x14ac:dyDescent="0.25"/>
    <row r="16" spans="1:5" s="50" customFormat="1" ht="24" thickBot="1" x14ac:dyDescent="0.3"/>
    <row r="17" spans="1:4" s="50" customFormat="1" ht="23.25" customHeight="1" x14ac:dyDescent="0.25">
      <c r="A17" s="78" t="s">
        <v>7</v>
      </c>
      <c r="B17" s="88"/>
      <c r="C17" s="70"/>
      <c r="D17" s="89">
        <v>1990</v>
      </c>
    </row>
    <row r="18" spans="1:4" s="50" customFormat="1" ht="23.25" customHeight="1" x14ac:dyDescent="0.25">
      <c r="A18" s="82" t="s">
        <v>8</v>
      </c>
      <c r="B18" s="83">
        <f>D14</f>
        <v>9.5</v>
      </c>
      <c r="C18" s="90">
        <f>C4</f>
        <v>18.369230769230771</v>
      </c>
      <c r="D18" s="91">
        <f>C18*B18</f>
        <v>174.50769230769234</v>
      </c>
    </row>
    <row r="19" spans="1:4" s="50" customFormat="1" ht="23.25" customHeight="1" x14ac:dyDescent="0.25">
      <c r="A19" s="82" t="s">
        <v>9</v>
      </c>
      <c r="B19" s="83">
        <f>E14</f>
        <v>4.5</v>
      </c>
      <c r="C19" s="90">
        <f>C5</f>
        <v>20.874125874125873</v>
      </c>
      <c r="D19" s="91">
        <f>C19*B19</f>
        <v>93.933566433566426</v>
      </c>
    </row>
    <row r="20" spans="1:4" s="50" customFormat="1" ht="23.25" customHeight="1" thickBot="1" x14ac:dyDescent="0.3">
      <c r="A20" s="85" t="s">
        <v>10</v>
      </c>
      <c r="B20" s="92"/>
      <c r="C20" s="76"/>
      <c r="D20" s="93">
        <f>SUM(D17:D19)</f>
        <v>2258.4412587412585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52647-2C6D-45ED-9B12-D6303A24DF31}">
  <dimension ref="A2:J12"/>
  <sheetViews>
    <sheetView workbookViewId="0">
      <selection activeCell="G11" sqref="G11"/>
    </sheetView>
  </sheetViews>
  <sheetFormatPr baseColWidth="10" defaultRowHeight="15" x14ac:dyDescent="0.25"/>
  <cols>
    <col min="1" max="1" width="49.42578125" style="15" bestFit="1" customWidth="1"/>
    <col min="2" max="2" width="19.140625" style="15" bestFit="1" customWidth="1"/>
    <col min="3" max="3" width="23.85546875" style="15" bestFit="1" customWidth="1"/>
    <col min="4" max="4" width="33.28515625" style="15" bestFit="1" customWidth="1"/>
    <col min="5" max="16384" width="11.42578125" style="15"/>
  </cols>
  <sheetData>
    <row r="2" spans="1:10" s="94" customFormat="1" ht="27" thickBot="1" x14ac:dyDescent="0.3">
      <c r="G2" s="94" t="s">
        <v>167</v>
      </c>
      <c r="J2" s="94">
        <v>1625</v>
      </c>
    </row>
    <row r="3" spans="1:10" s="94" customFormat="1" ht="24" customHeight="1" thickBot="1" x14ac:dyDescent="0.3">
      <c r="A3" s="95" t="s">
        <v>36</v>
      </c>
      <c r="B3" s="96" t="s">
        <v>170</v>
      </c>
      <c r="C3" s="96">
        <f>2000/3311</f>
        <v>0.60404711567502267</v>
      </c>
      <c r="D3" s="110" t="s">
        <v>171</v>
      </c>
      <c r="G3" s="94" t="s">
        <v>168</v>
      </c>
      <c r="J3" s="94">
        <v>375</v>
      </c>
    </row>
    <row r="4" spans="1:10" s="94" customFormat="1" ht="24" customHeight="1" thickBot="1" x14ac:dyDescent="0.3">
      <c r="G4" s="94" t="s">
        <v>169</v>
      </c>
      <c r="J4" s="94">
        <f>SUM(J2:J3)</f>
        <v>2000</v>
      </c>
    </row>
    <row r="5" spans="1:10" s="94" customFormat="1" ht="24" customHeight="1" x14ac:dyDescent="0.25">
      <c r="A5" s="97" t="s">
        <v>37</v>
      </c>
      <c r="B5" s="98">
        <v>69.2</v>
      </c>
    </row>
    <row r="6" spans="1:10" s="94" customFormat="1" ht="24" customHeight="1" thickBot="1" x14ac:dyDescent="0.3">
      <c r="A6" s="99" t="s">
        <v>38</v>
      </c>
      <c r="B6" s="100">
        <v>4</v>
      </c>
    </row>
    <row r="7" spans="1:10" s="94" customFormat="1" ht="24" customHeight="1" x14ac:dyDescent="0.25"/>
    <row r="8" spans="1:10" s="94" customFormat="1" ht="24" customHeight="1" thickBot="1" x14ac:dyDescent="0.3"/>
    <row r="9" spans="1:10" s="94" customFormat="1" ht="24" customHeight="1" x14ac:dyDescent="0.25">
      <c r="A9" s="97" t="s">
        <v>7</v>
      </c>
      <c r="B9" s="101"/>
      <c r="C9" s="101"/>
      <c r="D9" s="98">
        <v>1625</v>
      </c>
    </row>
    <row r="10" spans="1:10" s="94" customFormat="1" ht="24" customHeight="1" x14ac:dyDescent="0.25">
      <c r="A10" s="102" t="s">
        <v>11</v>
      </c>
      <c r="B10" s="103">
        <f>B6</f>
        <v>4</v>
      </c>
      <c r="C10" s="103">
        <f>B5</f>
        <v>69.2</v>
      </c>
      <c r="D10" s="104">
        <f>C10*B10</f>
        <v>276.8</v>
      </c>
    </row>
    <row r="11" spans="1:10" s="94" customFormat="1" ht="24" customHeight="1" x14ac:dyDescent="0.25">
      <c r="A11" s="105" t="s">
        <v>128</v>
      </c>
      <c r="B11" s="106"/>
      <c r="C11" s="106"/>
      <c r="D11" s="107">
        <v>375</v>
      </c>
    </row>
    <row r="12" spans="1:10" s="94" customFormat="1" ht="24" customHeight="1" thickBot="1" x14ac:dyDescent="0.3">
      <c r="A12" s="99" t="s">
        <v>10</v>
      </c>
      <c r="B12" s="108"/>
      <c r="C12" s="108"/>
      <c r="D12" s="109">
        <f>SUM(D9:D11)</f>
        <v>2276.8000000000002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5588B-6051-4926-BF3B-CCB887BBBC8A}">
  <dimension ref="A1:I33"/>
  <sheetViews>
    <sheetView topLeftCell="A19" workbookViewId="0">
      <selection activeCell="C33" sqref="C33"/>
    </sheetView>
  </sheetViews>
  <sheetFormatPr baseColWidth="10" defaultRowHeight="23.25" x14ac:dyDescent="0.25"/>
  <cols>
    <col min="1" max="1" width="28.7109375" style="50" customWidth="1"/>
    <col min="2" max="2" width="19.5703125" style="50" bestFit="1" customWidth="1"/>
    <col min="3" max="3" width="17.7109375" style="50" bestFit="1" customWidth="1"/>
    <col min="4" max="4" width="18.140625" style="50" bestFit="1" customWidth="1"/>
    <col min="5" max="5" width="17.7109375" style="50" bestFit="1" customWidth="1"/>
    <col min="6" max="7" width="11.42578125" style="50"/>
    <col min="8" max="8" width="17.7109375" style="50" bestFit="1" customWidth="1"/>
    <col min="9" max="9" width="15.140625" style="50" bestFit="1" customWidth="1"/>
    <col min="10" max="16384" width="11.42578125" style="50"/>
  </cols>
  <sheetData>
    <row r="1" spans="1:9" ht="24" thickBot="1" x14ac:dyDescent="0.3"/>
    <row r="2" spans="1:9" x14ac:dyDescent="0.25">
      <c r="A2" s="69" t="s">
        <v>40</v>
      </c>
      <c r="B2" s="70" t="s">
        <v>120</v>
      </c>
      <c r="C2" s="71">
        <f>36000-29000</f>
        <v>7000</v>
      </c>
    </row>
    <row r="3" spans="1:9" ht="24" customHeight="1" x14ac:dyDescent="0.25">
      <c r="A3" s="72" t="s">
        <v>41</v>
      </c>
      <c r="B3" s="73" t="s">
        <v>121</v>
      </c>
      <c r="C3" s="111">
        <f>3450/36000</f>
        <v>9.583333333333334E-2</v>
      </c>
    </row>
    <row r="4" spans="1:9" ht="24" customHeight="1" thickBot="1" x14ac:dyDescent="0.3">
      <c r="A4" s="75" t="s">
        <v>39</v>
      </c>
      <c r="B4" s="76" t="s">
        <v>122</v>
      </c>
      <c r="C4" s="77">
        <f>7000*C3</f>
        <v>670.83333333333337</v>
      </c>
    </row>
    <row r="5" spans="1:9" ht="24" customHeight="1" thickBot="1" x14ac:dyDescent="0.3">
      <c r="C5" s="112"/>
    </row>
    <row r="6" spans="1:9" ht="24" customHeight="1" x14ac:dyDescent="0.25">
      <c r="A6" s="69" t="s">
        <v>42</v>
      </c>
      <c r="B6" s="71"/>
      <c r="C6" s="112"/>
    </row>
    <row r="7" spans="1:9" ht="24" customHeight="1" x14ac:dyDescent="0.25">
      <c r="A7" s="72" t="s">
        <v>43</v>
      </c>
      <c r="B7" s="74">
        <f>42000*9%</f>
        <v>3780</v>
      </c>
      <c r="C7" s="112"/>
    </row>
    <row r="8" spans="1:9" ht="24" customHeight="1" x14ac:dyDescent="0.25">
      <c r="A8" s="72" t="s">
        <v>44</v>
      </c>
      <c r="B8" s="74">
        <f>C4</f>
        <v>670.83333333333337</v>
      </c>
      <c r="C8" s="112"/>
    </row>
    <row r="9" spans="1:9" ht="24" customHeight="1" x14ac:dyDescent="0.25">
      <c r="A9" s="72" t="s">
        <v>45</v>
      </c>
      <c r="B9" s="74">
        <f>SUM(B7:B8)</f>
        <v>4450.833333333333</v>
      </c>
    </row>
    <row r="10" spans="1:9" ht="24" customHeight="1" thickBot="1" x14ac:dyDescent="0.3">
      <c r="A10" s="75" t="s">
        <v>46</v>
      </c>
      <c r="B10" s="77">
        <f>B9/12</f>
        <v>370.90277777777777</v>
      </c>
    </row>
    <row r="11" spans="1:9" ht="24" customHeight="1" thickBot="1" x14ac:dyDescent="0.3"/>
    <row r="12" spans="1:9" ht="24" customHeight="1" x14ac:dyDescent="0.25">
      <c r="A12" s="69" t="s">
        <v>172</v>
      </c>
      <c r="B12" s="71"/>
    </row>
    <row r="13" spans="1:9" ht="24" customHeight="1" x14ac:dyDescent="0.25">
      <c r="A13" s="72" t="s">
        <v>173</v>
      </c>
      <c r="B13" s="74">
        <f>42000*12/100</f>
        <v>5040</v>
      </c>
      <c r="H13" s="50">
        <f>10100*7/36</f>
        <v>1963.8888888888889</v>
      </c>
    </row>
    <row r="14" spans="1:9" ht="24" customHeight="1" thickBot="1" x14ac:dyDescent="0.3">
      <c r="A14" s="75" t="s">
        <v>46</v>
      </c>
      <c r="B14" s="77">
        <f>B13/12</f>
        <v>420</v>
      </c>
      <c r="H14" s="114">
        <f>H13+C4</f>
        <v>2634.7222222222222</v>
      </c>
      <c r="I14" s="114">
        <f>H14/12</f>
        <v>219.56018518518519</v>
      </c>
    </row>
    <row r="15" spans="1:9" ht="24" customHeight="1" thickBot="1" x14ac:dyDescent="0.3"/>
    <row r="16" spans="1:9" ht="24" customHeight="1" x14ac:dyDescent="0.25">
      <c r="A16" s="69" t="s">
        <v>7</v>
      </c>
      <c r="B16" s="70"/>
      <c r="C16" s="70"/>
      <c r="D16" s="113">
        <v>2880</v>
      </c>
    </row>
    <row r="17" spans="1:5" ht="24" customHeight="1" x14ac:dyDescent="0.25">
      <c r="A17" s="72" t="s">
        <v>11</v>
      </c>
      <c r="B17" s="73"/>
      <c r="C17" s="73"/>
      <c r="D17" s="74">
        <f>B10</f>
        <v>370.90277777777777</v>
      </c>
    </row>
    <row r="18" spans="1:5" ht="24" customHeight="1" thickBot="1" x14ac:dyDescent="0.3">
      <c r="A18" s="75" t="s">
        <v>10</v>
      </c>
      <c r="B18" s="76"/>
      <c r="C18" s="76"/>
      <c r="D18" s="77">
        <f>SUM(D16:D17)</f>
        <v>3250.9027777777778</v>
      </c>
    </row>
    <row r="21" spans="1:5" x14ac:dyDescent="0.25">
      <c r="A21" s="141" t="s">
        <v>174</v>
      </c>
    </row>
    <row r="23" spans="1:5" x14ac:dyDescent="0.25">
      <c r="A23" s="50" t="s">
        <v>175</v>
      </c>
      <c r="B23" s="50">
        <f>42000*0.2</f>
        <v>8400</v>
      </c>
      <c r="C23" s="50" t="s">
        <v>177</v>
      </c>
    </row>
    <row r="24" spans="1:5" x14ac:dyDescent="0.25">
      <c r="A24" s="50" t="s">
        <v>176</v>
      </c>
      <c r="B24" s="50">
        <f>1220+480</f>
        <v>1700</v>
      </c>
    </row>
    <row r="25" spans="1:5" x14ac:dyDescent="0.25">
      <c r="A25" s="50" t="s">
        <v>202</v>
      </c>
      <c r="B25" s="50">
        <f>SUM(B23:B24)</f>
        <v>10100</v>
      </c>
    </row>
    <row r="27" spans="1:5" x14ac:dyDescent="0.25">
      <c r="A27" s="50" t="s">
        <v>203</v>
      </c>
    </row>
    <row r="29" spans="1:5" x14ac:dyDescent="0.25">
      <c r="A29" s="50" t="s">
        <v>204</v>
      </c>
      <c r="C29" s="51">
        <v>1963.9</v>
      </c>
    </row>
    <row r="31" spans="1:5" x14ac:dyDescent="0.25">
      <c r="A31" s="50" t="s">
        <v>11</v>
      </c>
      <c r="B31" s="50" t="s">
        <v>205</v>
      </c>
      <c r="E31" s="51">
        <v>2634.72</v>
      </c>
    </row>
    <row r="33" spans="1:4" x14ac:dyDescent="0.25">
      <c r="A33" s="50" t="s">
        <v>206</v>
      </c>
      <c r="B33" s="50" t="s">
        <v>207</v>
      </c>
      <c r="C33" s="216">
        <f>2634.72/12</f>
        <v>219.55999999999997</v>
      </c>
      <c r="D33" s="50" t="s">
        <v>208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4DEB9-D0C0-4B67-9510-2687FC239D51}">
  <dimension ref="A2:L16"/>
  <sheetViews>
    <sheetView workbookViewId="0">
      <selection activeCell="K7" sqref="K7"/>
    </sheetView>
  </sheetViews>
  <sheetFormatPr baseColWidth="10" defaultRowHeight="21" x14ac:dyDescent="0.25"/>
  <cols>
    <col min="1" max="1" width="22.5703125" style="30" bestFit="1" customWidth="1"/>
    <col min="2" max="2" width="27.140625" style="30" bestFit="1" customWidth="1"/>
    <col min="3" max="3" width="21.5703125" style="30" bestFit="1" customWidth="1"/>
    <col min="4" max="4" width="22.28515625" style="30" bestFit="1" customWidth="1"/>
    <col min="5" max="5" width="13.7109375" style="30" bestFit="1" customWidth="1"/>
    <col min="6" max="6" width="23.28515625" style="30" customWidth="1"/>
    <col min="7" max="7" width="13.85546875" style="30" bestFit="1" customWidth="1"/>
    <col min="8" max="16384" width="11.42578125" style="30"/>
  </cols>
  <sheetData>
    <row r="2" spans="1:12" x14ac:dyDescent="0.25">
      <c r="A2" s="30" t="s">
        <v>7</v>
      </c>
      <c r="B2" s="30">
        <v>1300</v>
      </c>
      <c r="C2" s="29"/>
      <c r="D2" s="30" t="s">
        <v>131</v>
      </c>
      <c r="F2" s="30">
        <f>B3+5</f>
        <v>124.16666666666667</v>
      </c>
      <c r="I2" s="30" t="s">
        <v>167</v>
      </c>
      <c r="L2" s="30">
        <v>1300</v>
      </c>
    </row>
    <row r="3" spans="1:12" x14ac:dyDescent="0.25">
      <c r="A3" s="30" t="s">
        <v>129</v>
      </c>
      <c r="B3" s="30">
        <f>27.5*52/12</f>
        <v>119.16666666666667</v>
      </c>
      <c r="D3" s="30" t="s">
        <v>132</v>
      </c>
      <c r="F3" s="30">
        <f>F2*9.88</f>
        <v>1226.7666666666669</v>
      </c>
      <c r="I3" s="30" t="s">
        <v>178</v>
      </c>
      <c r="L3" s="30">
        <f>L2/B3*1.1</f>
        <v>12</v>
      </c>
    </row>
    <row r="4" spans="1:12" x14ac:dyDescent="0.25">
      <c r="A4" s="30" t="s">
        <v>130</v>
      </c>
      <c r="B4" s="30">
        <f>B2/B3*1.1</f>
        <v>12</v>
      </c>
      <c r="D4" s="30" t="s">
        <v>133</v>
      </c>
      <c r="F4" s="30">
        <f>B3*9.88</f>
        <v>1177.3666666666668</v>
      </c>
      <c r="I4" s="30" t="s">
        <v>179</v>
      </c>
      <c r="L4" s="30">
        <f>L3*5</f>
        <v>60</v>
      </c>
    </row>
    <row r="6" spans="1:12" x14ac:dyDescent="0.25">
      <c r="B6" s="29"/>
    </row>
    <row r="7" spans="1:12" ht="21.75" customHeight="1" x14ac:dyDescent="0.25">
      <c r="A7" s="30" t="s">
        <v>47</v>
      </c>
      <c r="B7" s="115" t="s">
        <v>51</v>
      </c>
      <c r="C7" s="118" t="s">
        <v>123</v>
      </c>
      <c r="D7" s="118" t="s">
        <v>124</v>
      </c>
      <c r="E7" s="30" t="s">
        <v>125</v>
      </c>
      <c r="F7" s="30" t="s">
        <v>126</v>
      </c>
      <c r="G7" s="30" t="s">
        <v>127</v>
      </c>
    </row>
    <row r="8" spans="1:12" ht="21.75" customHeight="1" x14ac:dyDescent="0.25">
      <c r="A8" s="30" t="s">
        <v>48</v>
      </c>
      <c r="B8" s="42">
        <f>1300+(5*B4)</f>
        <v>1360</v>
      </c>
      <c r="C8" s="119">
        <f>+B8</f>
        <v>1360</v>
      </c>
      <c r="D8" s="119">
        <f>F3</f>
        <v>1226.7666666666669</v>
      </c>
      <c r="E8" s="30">
        <f>ROUND(0.2854/0.6*((1.6*D8/C8)-1),4)</f>
        <v>0.21079999999999999</v>
      </c>
      <c r="F8" s="63">
        <f>C8*E8</f>
        <v>286.68799999999999</v>
      </c>
      <c r="G8" s="63">
        <f>F8</f>
        <v>286.68799999999999</v>
      </c>
    </row>
    <row r="9" spans="1:12" ht="21.75" customHeight="1" x14ac:dyDescent="0.25">
      <c r="A9" s="30" t="s">
        <v>49</v>
      </c>
      <c r="B9" s="42">
        <v>1550</v>
      </c>
      <c r="C9" s="119">
        <f>+C8+B9</f>
        <v>2910</v>
      </c>
      <c r="D9" s="119">
        <f>D8+F4</f>
        <v>2404.1333333333337</v>
      </c>
      <c r="E9" s="30">
        <f>ROUND(0.2854/0.6*((1.6*D9/C9)-1),4)</f>
        <v>0.15310000000000001</v>
      </c>
      <c r="F9" s="63">
        <f>C9*E9</f>
        <v>445.52100000000002</v>
      </c>
      <c r="G9" s="63">
        <f>F9-F8</f>
        <v>158.83300000000003</v>
      </c>
      <c r="I9" s="29" t="s">
        <v>187</v>
      </c>
    </row>
    <row r="12" spans="1:12" x14ac:dyDescent="0.25">
      <c r="B12" s="30" t="s">
        <v>180</v>
      </c>
      <c r="D12" s="30">
        <v>119.166667</v>
      </c>
    </row>
    <row r="13" spans="1:12" x14ac:dyDescent="0.25">
      <c r="B13" s="30" t="s">
        <v>181</v>
      </c>
      <c r="D13" s="30">
        <v>5</v>
      </c>
    </row>
    <row r="14" spans="1:12" ht="26.25" x14ac:dyDescent="0.25">
      <c r="B14" s="30" t="s">
        <v>182</v>
      </c>
      <c r="D14" s="30">
        <f>D12+D13</f>
        <v>124.166667</v>
      </c>
      <c r="F14" s="117" t="s">
        <v>186</v>
      </c>
    </row>
    <row r="15" spans="1:12" x14ac:dyDescent="0.25">
      <c r="B15" s="29" t="s">
        <v>132</v>
      </c>
      <c r="C15" s="29" t="s">
        <v>183</v>
      </c>
      <c r="D15" s="116">
        <f>+D14*9.88</f>
        <v>1226.7666699600002</v>
      </c>
    </row>
    <row r="16" spans="1:12" x14ac:dyDescent="0.25">
      <c r="B16" s="29" t="s">
        <v>184</v>
      </c>
      <c r="C16" s="29" t="s">
        <v>185</v>
      </c>
      <c r="D16" s="116">
        <f>B3*9.88</f>
        <v>1177.3666666666668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F74D3-F9B1-4FB7-B274-7E2EE7E2ABBB}">
  <dimension ref="A3:G13"/>
  <sheetViews>
    <sheetView workbookViewId="0">
      <selection activeCell="I3" sqref="I3"/>
    </sheetView>
  </sheetViews>
  <sheetFormatPr baseColWidth="10" defaultRowHeight="23.25" x14ac:dyDescent="0.25"/>
  <cols>
    <col min="1" max="1" width="32.28515625" style="50" bestFit="1" customWidth="1"/>
    <col min="2" max="2" width="28.5703125" style="50" bestFit="1" customWidth="1"/>
    <col min="3" max="3" width="23.28515625" style="50" customWidth="1"/>
    <col min="4" max="4" width="19.7109375" style="50" customWidth="1"/>
    <col min="5" max="6" width="17.7109375" style="50" bestFit="1" customWidth="1"/>
    <col min="7" max="7" width="15.140625" style="50" bestFit="1" customWidth="1"/>
    <col min="8" max="16384" width="11.42578125" style="50"/>
  </cols>
  <sheetData>
    <row r="3" spans="1:7" ht="24" thickBot="1" x14ac:dyDescent="0.3"/>
    <row r="4" spans="1:7" ht="46.5" x14ac:dyDescent="0.25">
      <c r="A4" s="127" t="s">
        <v>47</v>
      </c>
      <c r="B4" s="128" t="s">
        <v>51</v>
      </c>
      <c r="C4" s="129" t="s">
        <v>93</v>
      </c>
      <c r="D4" s="129" t="s">
        <v>94</v>
      </c>
      <c r="E4" s="129" t="s">
        <v>95</v>
      </c>
      <c r="F4" s="128" t="s">
        <v>54</v>
      </c>
      <c r="G4" s="130" t="s">
        <v>55</v>
      </c>
    </row>
    <row r="5" spans="1:7" ht="23.25" customHeight="1" x14ac:dyDescent="0.25">
      <c r="A5" s="72" t="s">
        <v>48</v>
      </c>
      <c r="B5" s="90">
        <v>2900</v>
      </c>
      <c r="C5" s="135">
        <f>+B5</f>
        <v>2900</v>
      </c>
      <c r="D5" s="136">
        <v>3311</v>
      </c>
      <c r="E5" s="131">
        <f>MIN(C5:D5)</f>
        <v>2900</v>
      </c>
      <c r="F5" s="131">
        <f>E5</f>
        <v>2900</v>
      </c>
      <c r="G5" s="132">
        <f>B5-F5</f>
        <v>0</v>
      </c>
    </row>
    <row r="6" spans="1:7" ht="23.25" customHeight="1" x14ac:dyDescent="0.25">
      <c r="A6" s="72" t="s">
        <v>49</v>
      </c>
      <c r="B6" s="90">
        <v>3900</v>
      </c>
      <c r="C6" s="135">
        <f>+C5+B6</f>
        <v>6800</v>
      </c>
      <c r="D6" s="136">
        <f>+D5+3311</f>
        <v>6622</v>
      </c>
      <c r="E6" s="131">
        <f t="shared" ref="E6:E7" si="0">MIN(C6:D6)</f>
        <v>6622</v>
      </c>
      <c r="F6" s="131">
        <f>E6-E5</f>
        <v>3722</v>
      </c>
      <c r="G6" s="132">
        <f t="shared" ref="G6:G7" si="1">B6-F6</f>
        <v>178</v>
      </c>
    </row>
    <row r="7" spans="1:7" ht="23.25" customHeight="1" thickBot="1" x14ac:dyDescent="0.3">
      <c r="A7" s="75" t="s">
        <v>50</v>
      </c>
      <c r="B7" s="133">
        <v>2900</v>
      </c>
      <c r="C7" s="137">
        <f>+C6+B7</f>
        <v>9700</v>
      </c>
      <c r="D7" s="138">
        <f>+D6+3311</f>
        <v>9933</v>
      </c>
      <c r="E7" s="134">
        <f t="shared" si="0"/>
        <v>9700</v>
      </c>
      <c r="F7" s="134">
        <f>E7-E6</f>
        <v>3078</v>
      </c>
      <c r="G7" s="143">
        <f t="shared" si="1"/>
        <v>-178</v>
      </c>
    </row>
    <row r="10" spans="1:7" ht="28.5" x14ac:dyDescent="0.25">
      <c r="C10" s="142" t="s">
        <v>189</v>
      </c>
      <c r="D10" s="140" t="s">
        <v>188</v>
      </c>
    </row>
    <row r="12" spans="1:7" x14ac:dyDescent="0.25">
      <c r="C12" s="141" t="s">
        <v>190</v>
      </c>
      <c r="D12" s="139" t="s">
        <v>191</v>
      </c>
    </row>
    <row r="13" spans="1:7" x14ac:dyDescent="0.25">
      <c r="C13" s="141" t="s">
        <v>192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B7265-9E13-4635-A34F-B3057EA6D7DB}">
  <dimension ref="A2:G12"/>
  <sheetViews>
    <sheetView workbookViewId="0">
      <selection activeCell="F6" sqref="F6"/>
    </sheetView>
  </sheetViews>
  <sheetFormatPr baseColWidth="10" defaultRowHeight="23.25" x14ac:dyDescent="0.35"/>
  <cols>
    <col min="1" max="1" width="13.140625" style="144" bestFit="1" customWidth="1"/>
    <col min="2" max="2" width="17.7109375" style="144" bestFit="1" customWidth="1"/>
    <col min="3" max="3" width="26.7109375" style="144" bestFit="1" customWidth="1"/>
    <col min="4" max="4" width="21.7109375" style="144" bestFit="1" customWidth="1"/>
    <col min="5" max="5" width="33.28515625" style="144" customWidth="1"/>
    <col min="6" max="6" width="22.28515625" style="144" bestFit="1" customWidth="1"/>
    <col min="7" max="7" width="17.7109375" style="144" bestFit="1" customWidth="1"/>
    <col min="8" max="16384" width="11.42578125" style="144"/>
  </cols>
  <sheetData>
    <row r="2" spans="1:7" ht="24" thickBot="1" x14ac:dyDescent="0.4"/>
    <row r="3" spans="1:7" s="50" customFormat="1" ht="46.5" x14ac:dyDescent="0.25">
      <c r="A3" s="127" t="s">
        <v>47</v>
      </c>
      <c r="B3" s="128" t="s">
        <v>51</v>
      </c>
      <c r="C3" s="128" t="s">
        <v>52</v>
      </c>
      <c r="D3" s="145" t="s">
        <v>53</v>
      </c>
      <c r="E3" s="145" t="s">
        <v>57</v>
      </c>
      <c r="F3" s="129" t="s">
        <v>194</v>
      </c>
      <c r="G3" s="128" t="s">
        <v>56</v>
      </c>
    </row>
    <row r="4" spans="1:7" s="50" customFormat="1" ht="23.25" customHeight="1" x14ac:dyDescent="0.25">
      <c r="A4" s="72" t="s">
        <v>48</v>
      </c>
      <c r="B4" s="90">
        <v>4000</v>
      </c>
      <c r="C4" s="131">
        <v>4000</v>
      </c>
      <c r="D4" s="136">
        <v>3311</v>
      </c>
      <c r="E4" s="136">
        <v>3664.82</v>
      </c>
      <c r="F4" s="131">
        <v>0</v>
      </c>
      <c r="G4" s="131">
        <f>F4</f>
        <v>0</v>
      </c>
    </row>
    <row r="5" spans="1:7" s="50" customFormat="1" ht="23.25" customHeight="1" x14ac:dyDescent="0.25">
      <c r="A5" s="72" t="s">
        <v>49</v>
      </c>
      <c r="B5" s="90">
        <v>3000</v>
      </c>
      <c r="C5" s="131">
        <f>C4+B5</f>
        <v>7000</v>
      </c>
      <c r="D5" s="136">
        <f>+D4+3311</f>
        <v>6622</v>
      </c>
      <c r="E5" s="136">
        <f>E4+E4</f>
        <v>7329.64</v>
      </c>
      <c r="F5" s="135">
        <f>+E5-C5</f>
        <v>329.64000000000033</v>
      </c>
      <c r="G5" s="131">
        <f>F5-F4</f>
        <v>329.64000000000033</v>
      </c>
    </row>
    <row r="6" spans="1:7" s="50" customFormat="1" ht="23.25" customHeight="1" thickBot="1" x14ac:dyDescent="0.3">
      <c r="A6" s="75" t="s">
        <v>50</v>
      </c>
      <c r="B6" s="133">
        <v>5000</v>
      </c>
      <c r="C6" s="131">
        <f>C5+B6</f>
        <v>12000</v>
      </c>
      <c r="D6" s="138">
        <f>+D5+3311</f>
        <v>9933</v>
      </c>
      <c r="E6" s="136">
        <f>+E4*3</f>
        <v>10994.460000000001</v>
      </c>
      <c r="F6" s="134">
        <v>0</v>
      </c>
      <c r="G6" s="134">
        <f>F6-F5</f>
        <v>-329.64000000000033</v>
      </c>
    </row>
    <row r="9" spans="1:7" x14ac:dyDescent="0.35">
      <c r="D9" s="146" t="s">
        <v>193</v>
      </c>
    </row>
    <row r="11" spans="1:7" x14ac:dyDescent="0.35">
      <c r="E11" s="146" t="s">
        <v>195</v>
      </c>
    </row>
    <row r="12" spans="1:7" x14ac:dyDescent="0.35">
      <c r="E12" s="146" t="s">
        <v>196</v>
      </c>
    </row>
  </sheetData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Heures sup</vt:lpstr>
      <vt:lpstr>Absences</vt:lpstr>
      <vt:lpstr>Congés payés</vt:lpstr>
      <vt:lpstr>Heures compl</vt:lpstr>
      <vt:lpstr>AN Logement</vt:lpstr>
      <vt:lpstr>AN Véhicule</vt:lpstr>
      <vt:lpstr>FILLON</vt:lpstr>
      <vt:lpstr>Plafonds</vt:lpstr>
      <vt:lpstr>GMP</vt:lpstr>
      <vt:lpstr>ALLOCAT</vt:lpstr>
      <vt:lpstr>SAISIE</vt:lpstr>
      <vt:lpstr>NETS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ARKHOS</dc:creator>
  <cp:lastModifiedBy>ARKHOS</cp:lastModifiedBy>
  <cp:lastPrinted>2018-08-02T09:30:49Z</cp:lastPrinted>
  <dcterms:created xsi:type="dcterms:W3CDTF">2018-08-02T03:28:03Z</dcterms:created>
  <dcterms:modified xsi:type="dcterms:W3CDTF">2019-01-13T04:53:26Z</dcterms:modified>
</cp:coreProperties>
</file>