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ARKHOS\Desktop\foad paie 2020\PAIE N4 PREPARATION A L'EXAMEN\FORCES\"/>
    </mc:Choice>
  </mc:AlternateContent>
  <xr:revisionPtr revIDLastSave="0" documentId="13_ncr:1_{1B08734A-8EAA-44F3-885A-02BB0274F68B}" xr6:coauthVersionLast="45" xr6:coauthVersionMax="45" xr10:uidLastSave="{00000000-0000-0000-0000-000000000000}"/>
  <bookViews>
    <workbookView xWindow="-120" yWindow="-120" windowWidth="24240" windowHeight="13140" tabRatio="944" activeTab="3" xr2:uid="{00000000-000D-0000-FFFF-FFFF00000000}"/>
    <workbookView xWindow="-120" yWindow="-120" windowWidth="24240" windowHeight="13140" firstSheet="2" activeTab="6" xr2:uid="{299CB6D5-3387-4B03-8506-2028F2DBCFE9}"/>
  </bookViews>
  <sheets>
    <sheet name="ENONCE A LIRE" sheetId="28" r:id="rId1"/>
    <sheet name="SALARIES" sheetId="22" r:id="rId2"/>
    <sheet name="CONDITIONS PARTICULIERES" sheetId="23" r:id="rId3"/>
    <sheet name="SALAIRES" sheetId="24" r:id="rId4"/>
    <sheet name="CALENDRIER DU MOIS DE MAI" sheetId="25" r:id="rId5"/>
    <sheet name="DUMAINE BULLETIN" sheetId="5" r:id="rId6"/>
    <sheet name="VALETTE BULLETIN" sheetId="6" r:id="rId7"/>
    <sheet name="HERMAN BULLETIN" sheetId="7" r:id="rId8"/>
    <sheet name="DUMOULINS BULLETIN" sheetId="8" r:id="rId9"/>
    <sheet name="LAMBERT BULLETIN" sheetId="10" r:id="rId10"/>
    <sheet name="Feuil1" sheetId="26" r:id="rId11"/>
    <sheet name="DUMAINE BULLETIN (2)" sheetId="27"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8" l="1"/>
  <c r="D12" i="8"/>
  <c r="J33" i="8"/>
  <c r="I33" i="8"/>
  <c r="J32" i="8"/>
  <c r="I32" i="8"/>
  <c r="J30" i="8"/>
  <c r="I30" i="8"/>
  <c r="J29" i="8"/>
  <c r="I29" i="8"/>
  <c r="F12" i="7"/>
  <c r="D12" i="7"/>
  <c r="J18" i="7"/>
  <c r="I18" i="7"/>
  <c r="J15" i="7"/>
  <c r="I15" i="7"/>
  <c r="J20" i="7"/>
  <c r="I20" i="7"/>
  <c r="F29" i="8"/>
  <c r="F29" i="7"/>
  <c r="D79" i="27"/>
  <c r="D78" i="27"/>
  <c r="D77" i="27"/>
  <c r="C77" i="27"/>
  <c r="C78" i="27" s="1"/>
  <c r="C79" i="27" s="1"/>
  <c r="D76" i="27"/>
  <c r="E76" i="27" s="1"/>
  <c r="E77" i="27" s="1"/>
  <c r="C76" i="27"/>
  <c r="B63" i="27"/>
  <c r="D63" i="27" s="1"/>
  <c r="C47" i="27"/>
  <c r="D22" i="27"/>
  <c r="J13" i="27"/>
  <c r="I13" i="27"/>
  <c r="I15" i="27" s="1"/>
  <c r="D13" i="27" s="1"/>
  <c r="J10" i="27"/>
  <c r="I10" i="27"/>
  <c r="F5" i="27"/>
  <c r="E2" i="27"/>
  <c r="F2" i="27" s="1"/>
  <c r="F6" i="27" s="1"/>
  <c r="I34" i="8" l="1"/>
  <c r="J34" i="8"/>
  <c r="J15" i="27"/>
  <c r="F13" i="27" s="1"/>
  <c r="B71" i="27"/>
  <c r="D71" i="27" s="1"/>
  <c r="B60" i="27"/>
  <c r="B11" i="27"/>
  <c r="F11" i="27" s="1"/>
  <c r="B80" i="27"/>
  <c r="D80" i="27" s="1"/>
  <c r="B29" i="27"/>
  <c r="D29" i="27" s="1"/>
  <c r="B24" i="27"/>
  <c r="F24" i="27" s="1"/>
  <c r="B16" i="27"/>
  <c r="B14" i="27"/>
  <c r="F14" i="27" s="1"/>
  <c r="B70" i="27"/>
  <c r="D70" i="27" s="1"/>
  <c r="B47" i="27"/>
  <c r="B17" i="27"/>
  <c r="B12" i="27"/>
  <c r="B28" i="27"/>
  <c r="B26" i="27"/>
  <c r="B23" i="27"/>
  <c r="F23" i="27" s="1"/>
  <c r="B18" i="27"/>
  <c r="C80" i="27"/>
  <c r="F77" i="27"/>
  <c r="G77" i="27" s="1"/>
  <c r="E78" i="27"/>
  <c r="F76" i="27"/>
  <c r="G76" i="27" s="1"/>
  <c r="H76" i="27" s="1"/>
  <c r="E79" i="27" l="1"/>
  <c r="F78" i="27"/>
  <c r="G78" i="27" s="1"/>
  <c r="H78" i="27" s="1"/>
  <c r="B61" i="27"/>
  <c r="D61" i="27" s="1"/>
  <c r="D60" i="27"/>
  <c r="H77" i="27"/>
  <c r="F17" i="27"/>
  <c r="D17" i="27"/>
  <c r="F18" i="27"/>
  <c r="D18" i="27"/>
  <c r="D47" i="27"/>
  <c r="B55" i="27"/>
  <c r="D55" i="27" s="1"/>
  <c r="B62" i="27"/>
  <c r="D62" i="27" s="1"/>
  <c r="D28" i="27"/>
  <c r="D16" i="27"/>
  <c r="F16" i="27"/>
  <c r="D64" i="27" l="1"/>
  <c r="F37" i="27" s="1"/>
  <c r="D57" i="27"/>
  <c r="F26" i="27" s="1"/>
  <c r="D34" i="27"/>
  <c r="F79" i="27"/>
  <c r="G79" i="27" s="1"/>
  <c r="H79" i="27" s="1"/>
  <c r="E80" i="27"/>
  <c r="F80" i="27" s="1"/>
  <c r="G80" i="27" s="1"/>
  <c r="H80" i="27" l="1"/>
  <c r="F32" i="27"/>
  <c r="F34" i="27" s="1"/>
  <c r="F43" i="27" s="1"/>
  <c r="D68" i="27"/>
  <c r="D72" i="27" s="1"/>
  <c r="F42" i="27" s="1"/>
  <c r="F36" i="27"/>
  <c r="B42" i="27"/>
  <c r="B40" i="27" s="1"/>
  <c r="F40" i="27" s="1"/>
  <c r="F41" i="27" l="1"/>
  <c r="K45" i="6" l="1"/>
  <c r="L45" i="6" s="1"/>
  <c r="M45" i="6" s="1"/>
  <c r="J45" i="6"/>
  <c r="H45" i="6"/>
  <c r="H46" i="6" s="1"/>
  <c r="H47" i="6" s="1"/>
  <c r="H48" i="6" s="1"/>
  <c r="M9" i="6"/>
  <c r="J3" i="6"/>
  <c r="J4" i="6" s="1"/>
  <c r="M4" i="6" s="1"/>
  <c r="K21" i="8"/>
  <c r="K22" i="8"/>
  <c r="K23" i="8"/>
  <c r="K20" i="8"/>
  <c r="L20" i="8" s="1"/>
  <c r="J20" i="8"/>
  <c r="J21" i="8" s="1"/>
  <c r="J22" i="8" s="1"/>
  <c r="J23" i="8" s="1"/>
  <c r="B24" i="7"/>
  <c r="B25" i="7" s="1"/>
  <c r="C3" i="7"/>
  <c r="I3" i="7"/>
  <c r="J3" i="7" s="1"/>
  <c r="I2" i="7"/>
  <c r="J2" i="7" s="1"/>
  <c r="D3" i="8"/>
  <c r="D2" i="8"/>
  <c r="I2" i="8"/>
  <c r="J2" i="8" s="1"/>
  <c r="K2" i="8" s="1"/>
  <c r="I11" i="6"/>
  <c r="I33" i="6"/>
  <c r="I28" i="6"/>
  <c r="I29" i="6" s="1"/>
  <c r="L21" i="8" l="1"/>
  <c r="M20" i="8"/>
  <c r="N20" i="8" s="1"/>
  <c r="N45" i="6"/>
  <c r="O45" i="6" s="1"/>
  <c r="N46" i="6"/>
  <c r="O46" i="6" s="1"/>
  <c r="J46" i="6"/>
  <c r="K46" i="6" s="1"/>
  <c r="L46" i="6" s="1"/>
  <c r="M46" i="6" s="1"/>
  <c r="I34" i="6"/>
  <c r="J4" i="7"/>
  <c r="K2" i="7"/>
  <c r="K4" i="7" s="1"/>
  <c r="B2" i="7" s="1"/>
  <c r="K3" i="7"/>
  <c r="L3" i="7" s="1"/>
  <c r="L2" i="8"/>
  <c r="J4" i="8"/>
  <c r="J20" i="6"/>
  <c r="I20" i="6"/>
  <c r="D1" i="6"/>
  <c r="E6" i="6" s="1"/>
  <c r="C70" i="5"/>
  <c r="C71" i="5" s="1"/>
  <c r="C72" i="5" s="1"/>
  <c r="C73" i="5" s="1"/>
  <c r="D70" i="5"/>
  <c r="E70" i="5" s="1"/>
  <c r="D71" i="5"/>
  <c r="D72" i="5"/>
  <c r="D73" i="5"/>
  <c r="J13" i="5"/>
  <c r="J15" i="5" s="1"/>
  <c r="F13" i="5" s="1"/>
  <c r="I13" i="5"/>
  <c r="J10" i="5"/>
  <c r="I10" i="5"/>
  <c r="I15" i="5" s="1"/>
  <c r="D13" i="5" s="1"/>
  <c r="F2" i="5"/>
  <c r="E2" i="5"/>
  <c r="F5" i="5"/>
  <c r="E71" i="5" l="1"/>
  <c r="F70" i="5"/>
  <c r="G70" i="5" s="1"/>
  <c r="H70" i="5" s="1"/>
  <c r="L22" i="8"/>
  <c r="M21" i="8"/>
  <c r="N21" i="8" s="1"/>
  <c r="B27" i="7"/>
  <c r="F27" i="7" s="1"/>
  <c r="B64" i="7"/>
  <c r="D64" i="7" s="1"/>
  <c r="J47" i="6"/>
  <c r="F7" i="6"/>
  <c r="L6" i="6"/>
  <c r="F6" i="6"/>
  <c r="L2" i="7"/>
  <c r="L4" i="7" s="1"/>
  <c r="B3" i="7" s="1"/>
  <c r="F3" i="7" s="1"/>
  <c r="L4" i="8"/>
  <c r="B3" i="8" s="1"/>
  <c r="F3" i="8" s="1"/>
  <c r="K4" i="8"/>
  <c r="B2" i="8" s="1"/>
  <c r="F2" i="8" s="1"/>
  <c r="F71" i="5"/>
  <c r="G71" i="5" s="1"/>
  <c r="H71" i="5" s="1"/>
  <c r="E72" i="5"/>
  <c r="F5" i="7"/>
  <c r="B26" i="8" l="1"/>
  <c r="D26" i="8" s="1"/>
  <c r="B28" i="8"/>
  <c r="D28" i="8" s="1"/>
  <c r="L23" i="8"/>
  <c r="M22" i="8"/>
  <c r="N22" i="8" s="1"/>
  <c r="K47" i="6"/>
  <c r="L47" i="6" s="1"/>
  <c r="M47" i="6" s="1"/>
  <c r="N47" i="6"/>
  <c r="O47" i="6" s="1"/>
  <c r="J48" i="6"/>
  <c r="L7" i="6"/>
  <c r="M7" i="6" s="1"/>
  <c r="M8" i="6" s="1"/>
  <c r="M6" i="6"/>
  <c r="E73" i="5"/>
  <c r="F72" i="5"/>
  <c r="G72" i="5" s="1"/>
  <c r="H72" i="5" s="1"/>
  <c r="F8" i="6"/>
  <c r="F73" i="5" l="1"/>
  <c r="G73" i="5" s="1"/>
  <c r="M23" i="8"/>
  <c r="N23" i="8" s="1"/>
  <c r="N48" i="6"/>
  <c r="O48" i="6" s="1"/>
  <c r="K48" i="6"/>
  <c r="L48" i="6" s="1"/>
  <c r="M48" i="6" s="1"/>
  <c r="M10" i="6"/>
  <c r="J49" i="6"/>
  <c r="H73" i="5"/>
  <c r="D58" i="8"/>
  <c r="B57" i="8"/>
  <c r="D57" i="8" s="1"/>
  <c r="C42" i="8"/>
  <c r="B1" i="8"/>
  <c r="K24" i="8" s="1"/>
  <c r="L24" i="8" s="1"/>
  <c r="D63" i="7"/>
  <c r="D58" i="7"/>
  <c r="B57" i="7"/>
  <c r="D57" i="7" s="1"/>
  <c r="C42" i="7"/>
  <c r="D65" i="6"/>
  <c r="D60" i="6"/>
  <c r="C44" i="6"/>
  <c r="C3" i="6"/>
  <c r="F1" i="8" l="1"/>
  <c r="B57" i="5"/>
  <c r="D57" i="5" s="1"/>
  <c r="C41" i="5"/>
  <c r="I14" i="8" l="1"/>
  <c r="F11" i="8"/>
  <c r="D19" i="8"/>
  <c r="D18" i="8"/>
  <c r="F19" i="7"/>
  <c r="F18" i="7"/>
  <c r="D19" i="7"/>
  <c r="D18" i="7"/>
  <c r="F11" i="7"/>
  <c r="C2" i="7"/>
  <c r="F2" i="7" s="1"/>
  <c r="B26" i="7" s="1"/>
  <c r="D26" i="7" s="1"/>
  <c r="F30" i="6"/>
  <c r="C4" i="6"/>
  <c r="F4" i="6" s="1"/>
  <c r="D27" i="5"/>
  <c r="F6" i="5"/>
  <c r="B74" i="5" s="1"/>
  <c r="D74" i="5" l="1"/>
  <c r="E74" i="5" s="1"/>
  <c r="C74" i="5"/>
  <c r="B65" i="5"/>
  <c r="D65" i="5" s="1"/>
  <c r="B64" i="5"/>
  <c r="D64" i="5" s="1"/>
  <c r="F9" i="6"/>
  <c r="G49" i="6" s="1"/>
  <c r="B19" i="5"/>
  <c r="F19" i="5" s="1"/>
  <c r="B41" i="5"/>
  <c r="B54" i="5"/>
  <c r="B11" i="5"/>
  <c r="F11" i="5" s="1"/>
  <c r="B12" i="5"/>
  <c r="B22" i="5"/>
  <c r="D22" i="5" s="1"/>
  <c r="B16" i="5"/>
  <c r="B20" i="5"/>
  <c r="F20" i="5" s="1"/>
  <c r="B17" i="5"/>
  <c r="B21" i="5"/>
  <c r="B14" i="5"/>
  <c r="F14" i="5" s="1"/>
  <c r="B18" i="5"/>
  <c r="B23" i="5"/>
  <c r="F6" i="7"/>
  <c r="B28" i="7"/>
  <c r="D28" i="7" s="1"/>
  <c r="F74" i="5" l="1"/>
  <c r="G74" i="5" s="1"/>
  <c r="H74" i="5" s="1"/>
  <c r="H49" i="6"/>
  <c r="B14" i="6"/>
  <c r="B65" i="7"/>
  <c r="B55" i="7"/>
  <c r="B42" i="7"/>
  <c r="D42" i="7" s="1"/>
  <c r="B24" i="6"/>
  <c r="F24" i="6" s="1"/>
  <c r="B57" i="6"/>
  <c r="B67" i="6"/>
  <c r="B44" i="6"/>
  <c r="B16" i="6"/>
  <c r="F16" i="6" s="1"/>
  <c r="B19" i="6"/>
  <c r="D19" i="6" s="1"/>
  <c r="B13" i="6"/>
  <c r="F13" i="6" s="1"/>
  <c r="B26" i="6"/>
  <c r="F26" i="6" s="1"/>
  <c r="B23" i="6"/>
  <c r="F23" i="6" s="1"/>
  <c r="D17" i="5"/>
  <c r="F17" i="5"/>
  <c r="B49" i="5"/>
  <c r="D49" i="5" s="1"/>
  <c r="D41" i="5"/>
  <c r="B55" i="5"/>
  <c r="D55" i="5" s="1"/>
  <c r="D54" i="5"/>
  <c r="D18" i="5"/>
  <c r="F18" i="5"/>
  <c r="D23" i="5"/>
  <c r="B56" i="5"/>
  <c r="D56" i="5" s="1"/>
  <c r="D16" i="5"/>
  <c r="F16" i="5"/>
  <c r="B13" i="7"/>
  <c r="F13" i="7" s="1"/>
  <c r="B20" i="7"/>
  <c r="F20" i="7" s="1"/>
  <c r="B15" i="7"/>
  <c r="B21" i="7"/>
  <c r="F21" i="7" s="1"/>
  <c r="B22" i="7"/>
  <c r="B16" i="7"/>
  <c r="B12" i="7"/>
  <c r="B10" i="7"/>
  <c r="F10" i="7" s="1"/>
  <c r="B17" i="7"/>
  <c r="B50" i="7" s="1"/>
  <c r="D50" i="7" s="1"/>
  <c r="D25" i="7"/>
  <c r="D24" i="7"/>
  <c r="D29" i="7" s="1"/>
  <c r="D62" i="5" l="1"/>
  <c r="D66" i="5" s="1"/>
  <c r="F36" i="5" s="1"/>
  <c r="F25" i="5"/>
  <c r="N49" i="6"/>
  <c r="O49" i="6" s="1"/>
  <c r="B22" i="6" s="1"/>
  <c r="F22" i="6" s="1"/>
  <c r="K49" i="6"/>
  <c r="L49" i="6" s="1"/>
  <c r="F14" i="6"/>
  <c r="D28" i="5"/>
  <c r="F30" i="5" s="1"/>
  <c r="D52" i="7"/>
  <c r="F22" i="7" s="1"/>
  <c r="D55" i="7"/>
  <c r="B56" i="7"/>
  <c r="D56" i="7" s="1"/>
  <c r="B66" i="7"/>
  <c r="D66" i="7" s="1"/>
  <c r="D65" i="7"/>
  <c r="F19" i="6"/>
  <c r="D26" i="6"/>
  <c r="B59" i="6"/>
  <c r="D59" i="6" s="1"/>
  <c r="B58" i="6"/>
  <c r="D58" i="6" s="1"/>
  <c r="D57" i="6"/>
  <c r="D44" i="6"/>
  <c r="B68" i="6"/>
  <c r="D68" i="6" s="1"/>
  <c r="D67" i="6"/>
  <c r="D51" i="5"/>
  <c r="F21" i="5" s="1"/>
  <c r="F28" i="5" s="1"/>
  <c r="F37" i="5" s="1"/>
  <c r="D58" i="5"/>
  <c r="F31" i="5" s="1"/>
  <c r="D23" i="7"/>
  <c r="F23" i="7"/>
  <c r="D15" i="7"/>
  <c r="F15" i="7"/>
  <c r="F17" i="7"/>
  <c r="D17" i="7"/>
  <c r="D16" i="7"/>
  <c r="F16" i="7"/>
  <c r="D22" i="6" l="1"/>
  <c r="B36" i="5"/>
  <c r="B34" i="5" s="1"/>
  <c r="F34" i="5" s="1"/>
  <c r="B18" i="6"/>
  <c r="F18" i="6" s="1"/>
  <c r="M49" i="6"/>
  <c r="B21" i="6" s="1"/>
  <c r="B28" i="6"/>
  <c r="D28" i="6" s="1"/>
  <c r="B27" i="6"/>
  <c r="D27" i="6" s="1"/>
  <c r="F35" i="5"/>
  <c r="D59" i="7"/>
  <c r="F32" i="7" s="1"/>
  <c r="D67" i="7"/>
  <c r="F37" i="7" s="1"/>
  <c r="D69" i="6"/>
  <c r="F39" i="6" s="1"/>
  <c r="D61" i="6"/>
  <c r="F34" i="6" s="1"/>
  <c r="F38" i="7"/>
  <c r="D18" i="6" l="1"/>
  <c r="B20" i="6"/>
  <c r="B52" i="6" s="1"/>
  <c r="D52" i="6" s="1"/>
  <c r="D54" i="6" s="1"/>
  <c r="F25" i="6" s="1"/>
  <c r="F31" i="7"/>
  <c r="F36" i="7" s="1"/>
  <c r="B37" i="7"/>
  <c r="B35" i="7" s="1"/>
  <c r="F35" i="7" s="1"/>
  <c r="D20" i="6"/>
  <c r="F20" i="6"/>
  <c r="D21" i="6" l="1"/>
  <c r="F21" i="6"/>
  <c r="D31" i="6" l="1"/>
  <c r="F33" i="6" s="1"/>
  <c r="B39" i="6" s="1"/>
  <c r="B37" i="6" s="1"/>
  <c r="F37" i="6" s="1"/>
  <c r="F38" i="6" s="1"/>
  <c r="F31" i="6"/>
  <c r="F40" i="6" s="1"/>
  <c r="I15" i="8"/>
  <c r="B4" i="8" s="1"/>
  <c r="F4" i="8" s="1"/>
  <c r="L14" i="8" l="1"/>
  <c r="L15" i="8" s="1"/>
  <c r="B5" i="8" s="1"/>
  <c r="F5" i="8" s="1"/>
  <c r="B24" i="8"/>
  <c r="B25" i="8" s="1"/>
  <c r="D25" i="8" s="1"/>
  <c r="F6" i="8"/>
  <c r="D24" i="8" l="1"/>
  <c r="D29" i="8" s="1"/>
  <c r="I24" i="8"/>
  <c r="J24" i="8" s="1"/>
  <c r="M24" i="8" s="1"/>
  <c r="N24" i="8" s="1"/>
  <c r="F27" i="8" s="1"/>
  <c r="D63" i="8" s="1"/>
  <c r="B13" i="8"/>
  <c r="F13" i="8" s="1"/>
  <c r="B65" i="8"/>
  <c r="B42" i="8"/>
  <c r="D42" i="8" s="1"/>
  <c r="B21" i="8"/>
  <c r="F21" i="8" s="1"/>
  <c r="B55" i="8"/>
  <c r="B10" i="8"/>
  <c r="F10" i="8" s="1"/>
  <c r="B20" i="8"/>
  <c r="F20" i="8" s="1"/>
  <c r="B15" i="8"/>
  <c r="B27" i="8"/>
  <c r="B17" i="8"/>
  <c r="B16" i="8"/>
  <c r="F37" i="8"/>
  <c r="D17" i="8" l="1"/>
  <c r="F17" i="8"/>
  <c r="B50" i="8"/>
  <c r="D50" i="8" s="1"/>
  <c r="D52" i="8" s="1"/>
  <c r="F22" i="8" s="1"/>
  <c r="D15" i="8"/>
  <c r="F15" i="8"/>
  <c r="F38" i="8" s="1"/>
  <c r="D65" i="8"/>
  <c r="B66" i="8"/>
  <c r="D66" i="8" s="1"/>
  <c r="D55" i="8"/>
  <c r="B56" i="8"/>
  <c r="D56" i="8" s="1"/>
  <c r="D16" i="8"/>
  <c r="F16" i="8"/>
  <c r="D59" i="8" l="1"/>
  <c r="F31" i="8" l="1"/>
  <c r="B37" i="8"/>
  <c r="B35" i="8" s="1"/>
  <c r="F35" i="8" s="1"/>
  <c r="F36" i="8" s="1"/>
</calcChain>
</file>

<file path=xl/sharedStrings.xml><?xml version="1.0" encoding="utf-8"?>
<sst xmlns="http://schemas.openxmlformats.org/spreadsheetml/2006/main" count="609" uniqueCount="254">
  <si>
    <t>DUMAINE</t>
  </si>
  <si>
    <t>VALETTE</t>
  </si>
  <si>
    <t>HERMAN</t>
  </si>
  <si>
    <t>DUMOULIN</t>
  </si>
  <si>
    <t>LAMBERT</t>
  </si>
  <si>
    <t>Entrée dans la société</t>
  </si>
  <si>
    <t>Contrat</t>
  </si>
  <si>
    <t>CDI</t>
  </si>
  <si>
    <t>CDD</t>
  </si>
  <si>
    <t>Durée hebdomadaire</t>
  </si>
  <si>
    <t>Statut</t>
  </si>
  <si>
    <t>Non-cadre</t>
  </si>
  <si>
    <t>Cadre</t>
  </si>
  <si>
    <t>Gérant</t>
  </si>
  <si>
    <t>Salaire de base</t>
  </si>
  <si>
    <t>Sortie de la société</t>
  </si>
  <si>
    <t>Fiches résumées des salariés</t>
  </si>
  <si>
    <t>CONDITIONS PARTICULIERES</t>
  </si>
  <si>
    <t>Prime d'ancienneté</t>
  </si>
  <si>
    <t>Changement de taux</t>
  </si>
  <si>
    <t>Assiette de calcul</t>
  </si>
  <si>
    <t>Salaire de base minimum de la catégorie</t>
  </si>
  <si>
    <t>Taux</t>
  </si>
  <si>
    <t>Pas de prime</t>
  </si>
  <si>
    <t>&gt; 10 ans</t>
  </si>
  <si>
    <t>Salaire minimum de la catégorie du salarié</t>
  </si>
  <si>
    <t>SMIC</t>
  </si>
  <si>
    <t>SALAIRES</t>
  </si>
  <si>
    <t>Horaires</t>
  </si>
  <si>
    <t>7 h / jour
lundi à vendredi</t>
  </si>
  <si>
    <t>Fériés</t>
  </si>
  <si>
    <t>Chomés et payés</t>
  </si>
  <si>
    <t>Absences</t>
  </si>
  <si>
    <t>7 Heures supplémentaires à 125%</t>
  </si>
  <si>
    <t>Heures supplémentaires à 150%</t>
  </si>
  <si>
    <t>Salaire brut</t>
  </si>
  <si>
    <t>SANTE</t>
  </si>
  <si>
    <t xml:space="preserve">Complémentaire santé </t>
  </si>
  <si>
    <t xml:space="preserve">Accident du travail - Maladies professionnelles </t>
  </si>
  <si>
    <t>Retraite</t>
  </si>
  <si>
    <t>Réduction heures supplémentaires</t>
  </si>
  <si>
    <t>C.S.G/CRDS non-déductible de l'impôt sur le revenu</t>
  </si>
  <si>
    <t>C.S.G/CRDS déductible de l'impôt sur le revenu</t>
  </si>
  <si>
    <t>Exonération de cotisation employeur</t>
  </si>
  <si>
    <t>Total de cotisations et contributions</t>
  </si>
  <si>
    <t>NET A PAYER AVANT IMPOT SUR LE REVENU</t>
  </si>
  <si>
    <t>dont évolution de la rémunération liée à la suppression des cotisations chômage et maladie</t>
  </si>
  <si>
    <t>IMPOT SUR LE REVENU</t>
  </si>
  <si>
    <t>Bases</t>
  </si>
  <si>
    <t>VALEUR</t>
  </si>
  <si>
    <t>personnalisé</t>
  </si>
  <si>
    <t>Impôt sur le revenu prélevé à la source</t>
  </si>
  <si>
    <t xml:space="preserve">Net payé en euros                                  </t>
  </si>
  <si>
    <t>NET IMPOSABLE (Facultatif)</t>
  </si>
  <si>
    <t>Allègement de cotisations 
employeur</t>
  </si>
  <si>
    <t>Total versé</t>
  </si>
  <si>
    <t>par l'employeur</t>
  </si>
  <si>
    <t>Assiettes</t>
  </si>
  <si>
    <t>Retenues
salariales</t>
  </si>
  <si>
    <t>Retenues
patronales</t>
  </si>
  <si>
    <t>Complémentaire incapacité invalidité décès</t>
  </si>
  <si>
    <t>1,50% sur TA cadres uniquement</t>
  </si>
  <si>
    <t>Prévoyance patronale</t>
  </si>
  <si>
    <t>Prévoyances et mutuelles</t>
  </si>
  <si>
    <t>Taux de prélèvement à la source</t>
  </si>
  <si>
    <t>Personnes assurées par mutuelle</t>
  </si>
  <si>
    <t>2 conjoints</t>
  </si>
  <si>
    <t>2 conjoints
 + 1 enfant</t>
  </si>
  <si>
    <t>C.S.G/CRDS sur heures sup. non-déductible de l'impôt sur le revenu</t>
  </si>
  <si>
    <t>Exonération de cotisation employeur sur heures sup</t>
  </si>
  <si>
    <t>Prime de précarité</t>
  </si>
  <si>
    <t>Exonération de cotisation employeur Allègement FILLON</t>
  </si>
  <si>
    <t>Mois suivant date anniversaire de la date d'embauche</t>
  </si>
  <si>
    <t>ICCP</t>
  </si>
  <si>
    <t xml:space="preserve">Autres contributions dues par l'employeur </t>
  </si>
  <si>
    <r>
      <t>Accident du travail - Maladies professionnelles</t>
    </r>
    <r>
      <rPr>
        <b/>
        <sz val="10"/>
        <color rgb="FFFF0000"/>
        <rFont val="Times New Roman"/>
        <family val="1"/>
      </rPr>
      <t xml:space="preserve"> </t>
    </r>
  </si>
  <si>
    <t xml:space="preserve">Sécurité sociale plafonnée </t>
  </si>
  <si>
    <t xml:space="preserve">Sécurité sociale déplafonnée </t>
  </si>
  <si>
    <t xml:space="preserve">Complémentaire Tranche 1 </t>
  </si>
  <si>
    <t xml:space="preserve">Assurance chômage </t>
  </si>
  <si>
    <t xml:space="preserve">NET IMPOSABLE </t>
  </si>
  <si>
    <t>Sécurité sociale déplafonnée</t>
  </si>
  <si>
    <t>Complémentaire Tranche 1</t>
  </si>
  <si>
    <r>
      <t>Complémentaire Tranche 2</t>
    </r>
    <r>
      <rPr>
        <sz val="11"/>
        <color rgb="FFFF0000"/>
        <rFont val="Times New Roman"/>
        <family val="1"/>
      </rPr>
      <t xml:space="preserve"> </t>
    </r>
  </si>
  <si>
    <t xml:space="preserve">Contribution équilibre technique CET </t>
  </si>
  <si>
    <t xml:space="preserve">APEC </t>
  </si>
  <si>
    <t>APEC</t>
  </si>
  <si>
    <t>Prime d'ancienneté 5%</t>
  </si>
  <si>
    <r>
      <t xml:space="preserve"> </t>
    </r>
    <r>
      <rPr>
        <b/>
        <sz val="11"/>
        <color rgb="FF000000"/>
        <rFont val="Times New Roman"/>
        <family val="1"/>
      </rPr>
      <t>Famille  (3,45% ou 5,25%)</t>
    </r>
  </si>
  <si>
    <r>
      <t xml:space="preserve">Sécurité sociale - Maladie - Maternité - Invalidité décès </t>
    </r>
    <r>
      <rPr>
        <sz val="8"/>
        <color rgb="FF000000"/>
        <rFont val="Times New Roman"/>
        <family val="1"/>
      </rPr>
      <t>(7% ou 13%)</t>
    </r>
  </si>
  <si>
    <r>
      <t>Sécurité sociale - Maladie - Maternité - Invalidité décès</t>
    </r>
    <r>
      <rPr>
        <sz val="8"/>
        <color rgb="FF000000"/>
        <rFont val="Times New Roman"/>
        <family val="1"/>
      </rPr>
      <t xml:space="preserve"> (7% ou 13%)</t>
    </r>
  </si>
  <si>
    <r>
      <t xml:space="preserve"> </t>
    </r>
    <r>
      <rPr>
        <b/>
        <sz val="11"/>
        <color rgb="FF000000"/>
        <rFont val="Times New Roman"/>
        <family val="1"/>
      </rPr>
      <t xml:space="preserve">Famille  </t>
    </r>
    <r>
      <rPr>
        <sz val="11"/>
        <color rgb="FF000000"/>
        <rFont val="Times New Roman"/>
        <family val="1"/>
      </rPr>
      <t>(3,45% ou 5,25%)</t>
    </r>
  </si>
  <si>
    <t>Complémentaire Tranche 1 (3,15%+0,86%) (4,72+1,29)</t>
  </si>
  <si>
    <r>
      <t xml:space="preserve"> </t>
    </r>
    <r>
      <rPr>
        <b/>
        <sz val="10"/>
        <color rgb="FF000000"/>
        <rFont val="Times New Roman"/>
        <family val="1"/>
      </rPr>
      <t>Famille  (3,45% moins de 3,5 smic ou 5,25%)</t>
    </r>
  </si>
  <si>
    <t>Contribution équilibre technique CET (salaire sup à 1PMSS)</t>
  </si>
  <si>
    <t>Calendrier de travail du mois de mai 2020</t>
  </si>
  <si>
    <t>Férié chomé et payé</t>
  </si>
  <si>
    <r>
      <t xml:space="preserve">versement transport : </t>
    </r>
    <r>
      <rPr>
        <b/>
        <sz val="10"/>
        <color rgb="FFFF0000"/>
        <rFont val="Trebuchet MS"/>
        <family val="2"/>
      </rPr>
      <t>Non assujetti du fait de l'effectif</t>
    </r>
  </si>
  <si>
    <t>Dialogue social : 0,016%</t>
  </si>
  <si>
    <t>Solidarité autonomie : 0,30%</t>
  </si>
  <si>
    <t>Apprentissage : 0,68%</t>
  </si>
  <si>
    <t>Formation : 0,55%</t>
  </si>
  <si>
    <r>
      <t xml:space="preserve">Construction : </t>
    </r>
    <r>
      <rPr>
        <b/>
        <sz val="10"/>
        <color rgb="FFFF0000"/>
        <rFont val="Trebuchet MS"/>
        <family val="2"/>
      </rPr>
      <t>Non assujetti du fait de l'effectif</t>
    </r>
  </si>
  <si>
    <t>Fnal 0,10% sur TA</t>
  </si>
  <si>
    <t>AU TOTAL</t>
  </si>
  <si>
    <t xml:space="preserve"> Rubrique dont évolution de la rémunération liée à la suppression des cotisations chômage et maladie</t>
  </si>
  <si>
    <t>Assurance chômage</t>
  </si>
  <si>
    <t>Maladie</t>
  </si>
  <si>
    <t>CSG CRDS</t>
  </si>
  <si>
    <t>Exonération salariale sur heures supplémentaires</t>
  </si>
  <si>
    <t>Rubrique d'évolution</t>
  </si>
  <si>
    <t>Réduction générale de cotisation</t>
  </si>
  <si>
    <t>Abattement sur heures supplémentaires</t>
  </si>
  <si>
    <t xml:space="preserve"> -   € </t>
  </si>
  <si>
    <t>Allègement dû à la réduction d'allocation familiale</t>
  </si>
  <si>
    <t>Allègement dû à la réduction de cotisation maladie</t>
  </si>
  <si>
    <t>Allègement total</t>
  </si>
  <si>
    <t xml:space="preserve"> Rubrique Allègement de cotisations employeur</t>
  </si>
  <si>
    <t xml:space="preserve">Salaire de base </t>
  </si>
  <si>
    <t>Le gérant, son conjoint et ses enfants détiennent ensemble 800 parts sociales sur les 1000 parts composant le capital social de l'entreprise</t>
  </si>
  <si>
    <t>Les autres parts sont détenues par des tiers extérieurs à l'entreprise.</t>
  </si>
  <si>
    <t>Ancienneté &lt; 3 ans</t>
  </si>
  <si>
    <t>3 à 5 ans</t>
  </si>
  <si>
    <t>&gt; 5 à 10 ans</t>
  </si>
  <si>
    <t>Mutuelle salariale de base</t>
  </si>
  <si>
    <t>20 € adulte et 10 € / enfant</t>
  </si>
  <si>
    <t>Mutuelle patronale de base</t>
  </si>
  <si>
    <t>24 € adulte et 12 € / enfant</t>
  </si>
  <si>
    <t>Mutuelle salariale complémentaire option 1</t>
  </si>
  <si>
    <t>7 € adulte et 3 € / enfant</t>
  </si>
  <si>
    <t>Mutuelle patronale complémentaire option 1</t>
  </si>
  <si>
    <t>5 € adulte et 4 € / enfant</t>
  </si>
  <si>
    <t>Mutuelle salariale complémentaire option 2</t>
  </si>
  <si>
    <t xml:space="preserve">4 € adulte et gratuit pour enfants </t>
  </si>
  <si>
    <t>Mutuelle patronale complémentaire option 2</t>
  </si>
  <si>
    <t xml:space="preserve">6 € adulte et gratuit pour enfants </t>
  </si>
  <si>
    <t>TAUX ACCIDENT DU TRAVAIL</t>
  </si>
  <si>
    <t>Congés payés</t>
  </si>
  <si>
    <t>Les indemnités sont calculées sur la base du maintien de salaire
La régularisation sera effectuée lors de la prise de la cinquième semaine</t>
  </si>
  <si>
    <t>2 adultes et 1 enfant</t>
  </si>
  <si>
    <t>1 adulte</t>
  </si>
  <si>
    <t>2 adultes et 3 enfants</t>
  </si>
  <si>
    <t>Choix</t>
  </si>
  <si>
    <t>Base + option 1 pour tous</t>
  </si>
  <si>
    <t>Base</t>
  </si>
  <si>
    <t>Base + option 2 pour tous</t>
  </si>
  <si>
    <t>Base + option 1 pour adultes
Base + option 1 et 2 pour les enfants</t>
  </si>
  <si>
    <t>Base + option1 et 2 pour tous</t>
  </si>
  <si>
    <t>NON SALARIE CAR IL DETIENT 80% DES PARTS SOCIALES</t>
  </si>
  <si>
    <t>Mutuelle de base</t>
  </si>
  <si>
    <t>salariales</t>
  </si>
  <si>
    <t>Adultes</t>
  </si>
  <si>
    <t>Enfants</t>
  </si>
  <si>
    <t>Patronales</t>
  </si>
  <si>
    <t>Option 1</t>
  </si>
  <si>
    <t>TOTAUX</t>
  </si>
  <si>
    <t xml:space="preserve">Calcul de l'allègement </t>
  </si>
  <si>
    <t>Salaires</t>
  </si>
  <si>
    <t>cumul</t>
  </si>
  <si>
    <t>SMIC cumulé</t>
  </si>
  <si>
    <t>coef 
arrondi</t>
  </si>
  <si>
    <t>Réduction
 cumulée</t>
  </si>
  <si>
    <t>Réduction 
du mois</t>
  </si>
  <si>
    <t>janvier</t>
  </si>
  <si>
    <t>février</t>
  </si>
  <si>
    <t>mars</t>
  </si>
  <si>
    <t>avril</t>
  </si>
  <si>
    <t>mai</t>
  </si>
  <si>
    <t>Retenues pour congés payés</t>
  </si>
  <si>
    <t>Indemnité pour congés payés</t>
  </si>
  <si>
    <t>Rémunération par journée ouvrable</t>
  </si>
  <si>
    <t>Cinquième semaine
 de congés payés</t>
  </si>
  <si>
    <t>Assiette règle du dixième</t>
  </si>
  <si>
    <t>Prime</t>
  </si>
  <si>
    <t>Assiette</t>
  </si>
  <si>
    <t>Règle du dixième</t>
  </si>
  <si>
    <t>Indemnitées versées</t>
  </si>
  <si>
    <t>Aout 19</t>
  </si>
  <si>
    <t>Indemnité de CP</t>
  </si>
  <si>
    <t>Heures</t>
  </si>
  <si>
    <t>HS</t>
  </si>
  <si>
    <t>HS 125%</t>
  </si>
  <si>
    <t>Semaine du 11 au 15</t>
  </si>
  <si>
    <t>Semaine du 25 au 29</t>
  </si>
  <si>
    <t>HC</t>
  </si>
  <si>
    <t>HC 125%</t>
  </si>
  <si>
    <t>HC 150%</t>
  </si>
  <si>
    <t>HS 150%</t>
  </si>
  <si>
    <t>Heures supplémentaires à 125%</t>
  </si>
  <si>
    <t>C.S.G/CRDS non-déductible sur heures supplémentaires</t>
  </si>
  <si>
    <t>Heures complémentaires à 110%</t>
  </si>
  <si>
    <t>Heures complémentaires à 125%</t>
  </si>
  <si>
    <t>Janvier</t>
  </si>
  <si>
    <t>Février</t>
  </si>
  <si>
    <t>Mars</t>
  </si>
  <si>
    <t>Avril</t>
  </si>
  <si>
    <t>Mai</t>
  </si>
  <si>
    <t>Totaux</t>
  </si>
  <si>
    <t>Assiette de la précarité</t>
  </si>
  <si>
    <t>Assiette CP</t>
  </si>
  <si>
    <t>Réduction générale de cotisations patronales</t>
  </si>
  <si>
    <t>BRUTS</t>
  </si>
  <si>
    <t>CUMULS</t>
  </si>
  <si>
    <t>REDUCT CUM</t>
  </si>
  <si>
    <t>Réduction mois</t>
  </si>
  <si>
    <t>Juillet 19</t>
  </si>
  <si>
    <t>AUTRES PRESENTATION POSSIBLE</t>
  </si>
  <si>
    <t>Régularisation ICCP</t>
  </si>
  <si>
    <t>PLAFONDS</t>
  </si>
  <si>
    <t>T1 CUMULEE</t>
  </si>
  <si>
    <t>T1 MOIS</t>
  </si>
  <si>
    <t>T2 MOIS</t>
  </si>
  <si>
    <t>CET cumulé</t>
  </si>
  <si>
    <t>CET mois</t>
  </si>
  <si>
    <t>Heures supplémentaires exo à 25%</t>
  </si>
  <si>
    <t>Absence maladie</t>
  </si>
  <si>
    <t>Complément maladie</t>
  </si>
  <si>
    <t>Santé</t>
  </si>
  <si>
    <t>Sécurité Sociale - Maladie, Maternité, Invalidité, Décès</t>
  </si>
  <si>
    <t>Complément Sécurité Sociale Maladie</t>
  </si>
  <si>
    <t>Complémentaire Incapacité, Invalidité, Décès</t>
  </si>
  <si>
    <t>Complémentaire Santé</t>
  </si>
  <si>
    <t>Accident du travail/Maladies professionnelles</t>
  </si>
  <si>
    <t>Sécurité Sociale plafonnée</t>
  </si>
  <si>
    <t>Sécurité Sociale déplafonnée</t>
  </si>
  <si>
    <t>Retraite complémentaire T1</t>
  </si>
  <si>
    <t>Retraite complémentaire T2</t>
  </si>
  <si>
    <t>Famille</t>
  </si>
  <si>
    <t>Allocations Familiales</t>
  </si>
  <si>
    <t>Complément Allocations Familiales</t>
  </si>
  <si>
    <t>Assurance Chômage</t>
  </si>
  <si>
    <t>Autres contributions dues par l'employeur</t>
  </si>
  <si>
    <t>Cotisations statutaires ou prévues par la CCN</t>
  </si>
  <si>
    <t>Exonération salariale sur les HS</t>
  </si>
  <si>
    <t>Exonération de cotisations Employeur</t>
  </si>
  <si>
    <t>CSG déductible</t>
  </si>
  <si>
    <t>Net Imposable</t>
  </si>
  <si>
    <t>CSG non déductible sur HS</t>
  </si>
  <si>
    <t>CSG non déductible</t>
  </si>
  <si>
    <t>CRDS non déductible</t>
  </si>
  <si>
    <t>Total des charges</t>
  </si>
  <si>
    <t>Transport public</t>
  </si>
  <si>
    <t>Acompte</t>
  </si>
  <si>
    <t>NET A PAYER AVANT IMPÔT SUR LE REVENU</t>
  </si>
  <si>
    <t>Dont évolution de la rémunération liée à la suppression des cotisations salariales chômage et maladie</t>
  </si>
  <si>
    <t>CET</t>
  </si>
  <si>
    <t>Supplementaire</t>
  </si>
  <si>
    <t>Complémentaire Tranche 2 (3,15%+0,86%) (4,72+1,29)</t>
  </si>
  <si>
    <t>Supplémentaire</t>
  </si>
  <si>
    <t xml:space="preserve">Exonération de cotisation employeur </t>
  </si>
  <si>
    <t>C.S.G/CRDS . non-déductible de l'IR sur heures supplémentaires</t>
  </si>
  <si>
    <t>Réduction cotisations heures supplémentaires</t>
  </si>
  <si>
    <t>Réduction heures complémentaires</t>
  </si>
  <si>
    <t>Option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</si>
</sst>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0.00\ &quot;€&quot;;\-#,##0.00\ &quot;€&quot;"/>
    <numFmt numFmtId="8" formatCode="#,##0.00\ &quot;€&quot;;[Red]\-#,##0.00\ &quot;€&quot;"/>
    <numFmt numFmtId="44" formatCode="_-* #,##0.00\ &quot;€&quot;_-;\-* #,##0.00\ &quot;€&quot;_-;_-* &quot;-&quot;??\ &quot;€&quot;_-;_-@_-"/>
    <numFmt numFmtId="164" formatCode="_-* #,##0\ &quot;€&quot;_-;\-* #,##0\ &quot;€&quot;_-;_-* &quot;-&quot;??\ &quot;€&quot;_-;_-@_-"/>
    <numFmt numFmtId="165" formatCode="0.000%"/>
    <numFmt numFmtId="166" formatCode="#,##0.00\ &quot;€&quot;"/>
    <numFmt numFmtId="167" formatCode="dddd\-dd\-mmm"/>
    <numFmt numFmtId="168" formatCode="_-* #,##0.00\ [$€-40C]_-;\-* #,##0.00\ [$€-40C]_-;_-* &quot;-&quot;??\ [$€-40C]_-;_-@_-"/>
    <numFmt numFmtId="169" formatCode="0.000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u/>
      <sz val="14"/>
      <color theme="1"/>
      <name val="Calibri"/>
      <family val="2"/>
      <scheme val="minor"/>
    </font>
    <font>
      <sz val="10"/>
      <color rgb="FF000000"/>
      <name val="Times New Roman"/>
      <family val="1"/>
    </font>
    <font>
      <b/>
      <sz val="10"/>
      <color rgb="FF000000"/>
      <name val="Times New Roman"/>
      <family val="1"/>
    </font>
    <font>
      <sz val="10"/>
      <name val="Times New Roman"/>
      <family val="1"/>
    </font>
    <font>
      <b/>
      <strike/>
      <sz val="10"/>
      <color rgb="FF000000"/>
      <name val="Times New Roman"/>
      <family val="1"/>
    </font>
    <font>
      <b/>
      <sz val="10"/>
      <color rgb="FFFF0000"/>
      <name val="Times New Roman"/>
      <family val="1"/>
    </font>
    <font>
      <sz val="11"/>
      <color theme="1"/>
      <name val="Times New Roman"/>
      <family val="1"/>
    </font>
    <font>
      <sz val="10"/>
      <color theme="1"/>
      <name val="Times New Roman"/>
      <family val="1"/>
    </font>
    <font>
      <b/>
      <sz val="10"/>
      <name val="Times New Roman"/>
      <family val="1"/>
    </font>
    <font>
      <sz val="11"/>
      <color rgb="FF000000"/>
      <name val="Times New Roman"/>
      <family val="1"/>
    </font>
    <font>
      <sz val="11"/>
      <name val="Times New Roman"/>
      <family val="1"/>
    </font>
    <font>
      <b/>
      <sz val="11"/>
      <color rgb="FF000000"/>
      <name val="Times New Roman"/>
      <family val="1"/>
    </font>
    <font>
      <sz val="11"/>
      <color rgb="FFFF0000"/>
      <name val="Times New Roman"/>
      <family val="1"/>
    </font>
    <font>
      <b/>
      <strike/>
      <sz val="11"/>
      <color rgb="FF000000"/>
      <name val="Times New Roman"/>
      <family val="1"/>
    </font>
    <font>
      <b/>
      <sz val="11"/>
      <color rgb="FFFF0000"/>
      <name val="Times New Roman"/>
      <family val="1"/>
    </font>
    <font>
      <b/>
      <i/>
      <sz val="10"/>
      <name val="Times New Roman"/>
      <family val="1"/>
    </font>
    <font>
      <b/>
      <i/>
      <sz val="10"/>
      <color rgb="FF000000"/>
      <name val="Times New Roman"/>
      <family val="1"/>
    </font>
    <font>
      <b/>
      <i/>
      <sz val="10"/>
      <color theme="1"/>
      <name val="Times New Roman"/>
      <family val="1"/>
    </font>
    <font>
      <i/>
      <sz val="10"/>
      <name val="Times New Roman"/>
      <family val="1"/>
    </font>
    <font>
      <i/>
      <sz val="10"/>
      <color rgb="FF000000"/>
      <name val="Times New Roman"/>
      <family val="1"/>
    </font>
    <font>
      <b/>
      <sz val="11"/>
      <name val="Times New Roman"/>
      <family val="1"/>
    </font>
    <font>
      <sz val="8"/>
      <color rgb="FF000000"/>
      <name val="Times New Roman"/>
      <family val="1"/>
    </font>
    <font>
      <b/>
      <sz val="11"/>
      <color theme="1"/>
      <name val="Times New Roman"/>
      <family val="1"/>
    </font>
    <font>
      <b/>
      <sz val="10"/>
      <color theme="1"/>
      <name val="Times New Roman"/>
      <family val="1"/>
    </font>
    <font>
      <b/>
      <sz val="14"/>
      <color rgb="FFFF0000"/>
      <name val="Times New Roman"/>
      <family val="1"/>
    </font>
    <font>
      <sz val="10"/>
      <color theme="1"/>
      <name val="Trebuchet MS"/>
      <family val="2"/>
    </font>
    <font>
      <b/>
      <sz val="10"/>
      <color theme="1"/>
      <name val="Trebuchet MS"/>
      <family val="2"/>
    </font>
    <font>
      <b/>
      <sz val="10"/>
      <color rgb="FF000000"/>
      <name val="Trebuchet MS"/>
      <family val="2"/>
    </font>
    <font>
      <b/>
      <sz val="10"/>
      <color rgb="FFFF0000"/>
      <name val="Trebuchet MS"/>
      <family val="2"/>
    </font>
    <font>
      <b/>
      <sz val="16"/>
      <color rgb="FFFF0000"/>
      <name val="Times New Roman"/>
      <family val="1"/>
    </font>
    <font>
      <sz val="10"/>
      <color theme="1"/>
      <name val="Calibri"/>
      <family val="2"/>
      <scheme val="minor"/>
    </font>
    <font>
      <sz val="10"/>
      <color rgb="FF000000"/>
      <name val="Calibri"/>
      <family val="2"/>
      <scheme val="minor"/>
    </font>
    <font>
      <sz val="8"/>
      <name val="Calibri"/>
      <family val="2"/>
      <scheme val="minor"/>
    </font>
    <font>
      <sz val="10"/>
      <color rgb="FFFF0000"/>
      <name val="Times New Roman"/>
      <family val="1"/>
    </font>
    <font>
      <b/>
      <sz val="8"/>
      <color theme="1"/>
      <name val="Times New Roman"/>
      <family val="1"/>
    </font>
    <font>
      <b/>
      <sz val="11"/>
      <color rgb="FFFF0000"/>
      <name val="Calibri"/>
      <family val="2"/>
      <scheme val="minor"/>
    </font>
    <font>
      <sz val="13.5"/>
      <color theme="1"/>
      <name val="Calibri"/>
      <family val="2"/>
      <scheme val="minor"/>
    </font>
    <font>
      <b/>
      <sz val="13.5"/>
      <color theme="1"/>
      <name val="Calibri"/>
      <family val="2"/>
      <scheme val="minor"/>
    </font>
    <font>
      <sz val="13.5"/>
      <color theme="1"/>
      <name val="Candara"/>
      <family val="2"/>
    </font>
    <font>
      <b/>
      <sz val="13.5"/>
      <color theme="1"/>
      <name val="Candara"/>
      <family val="2"/>
    </font>
    <font>
      <b/>
      <sz val="24"/>
      <color theme="1"/>
      <name val="Calibri"/>
      <family val="2"/>
      <scheme val="minor"/>
    </font>
    <font>
      <b/>
      <sz val="24"/>
      <color theme="1"/>
      <name val="Cambria"/>
      <family val="1"/>
    </font>
    <font>
      <i/>
      <sz val="13.5"/>
      <color theme="1"/>
      <name val="Cambria"/>
      <family val="1"/>
    </font>
    <font>
      <b/>
      <sz val="13.5"/>
      <color theme="1"/>
      <name val="Cambria"/>
      <family val="1"/>
    </font>
    <font>
      <b/>
      <sz val="13.5"/>
      <color rgb="FFFF0000"/>
      <name val="Candara"/>
      <family val="2"/>
    </font>
    <font>
      <b/>
      <i/>
      <strike/>
      <sz val="10"/>
      <color rgb="FFFF0000"/>
      <name val="Times New Roman"/>
      <family val="1"/>
    </font>
    <font>
      <strike/>
      <sz val="10"/>
      <color rgb="FFFF0000"/>
      <name val="Times New Roman"/>
      <family val="1"/>
    </font>
    <font>
      <i/>
      <strike/>
      <sz val="10"/>
      <color rgb="FFFF0000"/>
      <name val="Times New Roman"/>
      <family val="1"/>
    </font>
  </fonts>
  <fills count="6">
    <fill>
      <patternFill patternType="none"/>
    </fill>
    <fill>
      <patternFill patternType="gray125"/>
    </fill>
    <fill>
      <patternFill patternType="solid">
        <fgColor rgb="FFFFFFFF"/>
        <bgColor indexed="64"/>
      </patternFill>
    </fill>
    <fill>
      <patternFill patternType="solid">
        <fgColor rgb="FFEBEBEB"/>
        <bgColor indexed="64"/>
      </patternFill>
    </fill>
    <fill>
      <patternFill patternType="solid">
        <fgColor rgb="FFFFFF00"/>
        <bgColor indexed="64"/>
      </patternFill>
    </fill>
    <fill>
      <patternFill patternType="solid">
        <fgColor theme="0"/>
        <bgColor indexed="64"/>
      </patternFill>
    </fill>
  </fills>
  <borders count="8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medium">
        <color auto="1"/>
      </left>
      <right style="medium">
        <color auto="1"/>
      </right>
      <top style="medium">
        <color auto="1"/>
      </top>
      <bottom style="medium">
        <color rgb="FF000000"/>
      </bottom>
      <diagonal/>
    </border>
    <border>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auto="1"/>
      </right>
      <top style="thin">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right/>
      <top style="thin">
        <color rgb="FF000000"/>
      </top>
      <bottom style="thin">
        <color rgb="FF000000"/>
      </bottom>
      <diagonal/>
    </border>
    <border>
      <left style="thin">
        <color rgb="FF000000"/>
      </left>
      <right style="medium">
        <color rgb="FF000000"/>
      </right>
      <top/>
      <bottom/>
      <diagonal/>
    </border>
    <border>
      <left style="thick">
        <color rgb="FF000000"/>
      </left>
      <right style="thick">
        <color rgb="FF000000"/>
      </right>
      <top style="thick">
        <color rgb="FF000000"/>
      </top>
      <bottom style="thick">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medium">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ck">
        <color rgb="FF000000"/>
      </left>
      <right/>
      <top/>
      <bottom/>
      <diagonal/>
    </border>
    <border>
      <left style="medium">
        <color rgb="FF000000"/>
      </left>
      <right/>
      <top style="medium">
        <color rgb="FF000000"/>
      </top>
      <bottom/>
      <diagonal/>
    </border>
    <border>
      <left style="medium">
        <color rgb="FF000000"/>
      </left>
      <right/>
      <top/>
      <bottom/>
      <diagonal/>
    </border>
    <border>
      <left style="thick">
        <color rgb="FF000000"/>
      </left>
      <right/>
      <top style="thick">
        <color rgb="FF000000"/>
      </top>
      <bottom style="thick">
        <color rgb="FF000000"/>
      </bottom>
      <diagonal/>
    </border>
    <border>
      <left style="thick">
        <color rgb="FF000000"/>
      </left>
      <right/>
      <top style="thick">
        <color rgb="FF000000"/>
      </top>
      <bottom style="medium">
        <color rgb="FF000000"/>
      </bottom>
      <diagonal/>
    </border>
    <border>
      <left style="thick">
        <color rgb="FF000000"/>
      </left>
      <right/>
      <top/>
      <bottom style="thick">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8">
    <xf numFmtId="0" fontId="0" fillId="0" borderId="0" xfId="0"/>
    <xf numFmtId="0" fontId="0" fillId="0" borderId="0" xfId="0" applyAlignment="1">
      <alignment vertical="center"/>
    </xf>
    <xf numFmtId="0" fontId="2" fillId="0" borderId="0" xfId="0" applyFont="1" applyAlignment="1">
      <alignment horizontal="center" vertical="center"/>
    </xf>
    <xf numFmtId="14" fontId="0" fillId="0" borderId="0" xfId="0" applyNumberFormat="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164" fontId="0" fillId="0" borderId="5" xfId="1" applyNumberFormat="1" applyFont="1" applyBorder="1" applyAlignment="1">
      <alignment horizontal="center" vertical="center"/>
    </xf>
    <xf numFmtId="164" fontId="0" fillId="0" borderId="6" xfId="1" applyNumberFormat="1" applyFont="1" applyBorder="1" applyAlignment="1">
      <alignment horizontal="center" vertical="center"/>
    </xf>
    <xf numFmtId="164" fontId="0" fillId="0" borderId="6" xfId="1" applyNumberFormat="1"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6" xfId="0" applyBorder="1" applyAlignment="1">
      <alignment vertical="center"/>
    </xf>
    <xf numFmtId="9" fontId="0" fillId="0" borderId="6" xfId="0" applyNumberFormat="1" applyBorder="1" applyAlignment="1">
      <alignment horizontal="center" vertical="center"/>
    </xf>
    <xf numFmtId="9" fontId="0" fillId="0" borderId="9" xfId="0" applyNumberFormat="1" applyBorder="1" applyAlignment="1">
      <alignment horizontal="center" vertical="center"/>
    </xf>
    <xf numFmtId="0" fontId="5" fillId="0" borderId="10" xfId="0" applyFont="1" applyBorder="1" applyAlignment="1">
      <alignment vertical="center"/>
    </xf>
    <xf numFmtId="0" fontId="0" fillId="0" borderId="11" xfId="0" applyBorder="1" applyAlignment="1">
      <alignment vertical="center"/>
    </xf>
    <xf numFmtId="0" fontId="0" fillId="0" borderId="3" xfId="0" applyBorder="1" applyAlignment="1">
      <alignment horizontal="center" vertical="center"/>
    </xf>
    <xf numFmtId="0" fontId="11" fillId="0" borderId="1" xfId="0" applyFont="1" applyBorder="1"/>
    <xf numFmtId="0" fontId="11" fillId="0" borderId="4" xfId="0" applyFont="1" applyBorder="1"/>
    <xf numFmtId="10" fontId="0" fillId="0" borderId="8" xfId="0" applyNumberFormat="1" applyBorder="1" applyAlignment="1">
      <alignment horizontal="center" vertical="center"/>
    </xf>
    <xf numFmtId="9" fontId="0" fillId="0" borderId="8" xfId="0" applyNumberFormat="1" applyBorder="1" applyAlignment="1">
      <alignment horizontal="center"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wrapText="1"/>
    </xf>
    <xf numFmtId="10" fontId="0" fillId="0" borderId="11" xfId="2" applyNumberFormat="1" applyFont="1" applyBorder="1" applyAlignment="1">
      <alignment horizontal="center" vertical="center"/>
    </xf>
    <xf numFmtId="44" fontId="12" fillId="0" borderId="8" xfId="1" applyFont="1" applyBorder="1" applyAlignment="1">
      <alignment vertical="center"/>
    </xf>
    <xf numFmtId="9" fontId="12" fillId="0" borderId="8" xfId="0" applyNumberFormat="1" applyFont="1" applyBorder="1" applyAlignment="1">
      <alignment vertical="center"/>
    </xf>
    <xf numFmtId="0" fontId="11" fillId="0" borderId="2" xfId="0" applyFont="1" applyBorder="1"/>
    <xf numFmtId="44" fontId="11" fillId="0" borderId="3" xfId="1" applyFont="1" applyBorder="1"/>
    <xf numFmtId="0" fontId="11" fillId="0" borderId="0" xfId="0" applyFont="1"/>
    <xf numFmtId="0" fontId="11" fillId="0" borderId="5" xfId="0" applyFont="1" applyBorder="1"/>
    <xf numFmtId="44" fontId="11" fillId="0" borderId="5" xfId="1" applyFont="1" applyBorder="1"/>
    <xf numFmtId="44" fontId="11" fillId="0" borderId="6" xfId="0" applyNumberFormat="1" applyFont="1" applyBorder="1"/>
    <xf numFmtId="0" fontId="11" fillId="0" borderId="6" xfId="0" applyFont="1" applyBorder="1"/>
    <xf numFmtId="0" fontId="14" fillId="2" borderId="12" xfId="0" applyFont="1" applyFill="1" applyBorder="1" applyAlignment="1">
      <alignment horizontal="left" vertical="center" wrapText="1" readingOrder="1"/>
    </xf>
    <xf numFmtId="0" fontId="15" fillId="2" borderId="13" xfId="0" applyFont="1" applyFill="1" applyBorder="1" applyAlignment="1">
      <alignment horizontal="right" vertical="center" wrapText="1"/>
    </xf>
    <xf numFmtId="0" fontId="14" fillId="2" borderId="13" xfId="0" applyFont="1" applyFill="1" applyBorder="1" applyAlignment="1">
      <alignment horizontal="left" vertical="center" wrapText="1" readingOrder="1"/>
    </xf>
    <xf numFmtId="44" fontId="14" fillId="2" borderId="14" xfId="0" applyNumberFormat="1" applyFont="1" applyFill="1" applyBorder="1" applyAlignment="1">
      <alignment horizontal="left" vertical="center" wrapText="1" readingOrder="1"/>
    </xf>
    <xf numFmtId="0" fontId="14" fillId="2" borderId="21" xfId="0" applyFont="1" applyFill="1" applyBorder="1" applyAlignment="1">
      <alignment horizontal="left" vertical="center" wrapText="1" readingOrder="1"/>
    </xf>
    <xf numFmtId="0" fontId="16" fillId="2" borderId="22" xfId="0" applyFont="1" applyFill="1" applyBorder="1" applyAlignment="1">
      <alignment horizontal="center" vertical="center" wrapText="1" readingOrder="1"/>
    </xf>
    <xf numFmtId="0" fontId="16" fillId="2" borderId="17" xfId="0" applyFont="1" applyFill="1" applyBorder="1" applyAlignment="1">
      <alignment horizontal="center" vertical="center" wrapText="1" readingOrder="1"/>
    </xf>
    <xf numFmtId="0" fontId="16" fillId="2" borderId="15" xfId="0" applyFont="1" applyFill="1" applyBorder="1" applyAlignment="1">
      <alignment horizontal="left" vertical="center" wrapText="1" readingOrder="1"/>
    </xf>
    <xf numFmtId="0" fontId="15" fillId="2" borderId="16" xfId="0" applyFont="1" applyFill="1" applyBorder="1" applyAlignment="1">
      <alignment horizontal="center" vertical="center" wrapText="1"/>
    </xf>
    <xf numFmtId="0" fontId="16" fillId="2" borderId="16" xfId="0" applyFont="1" applyFill="1" applyBorder="1" applyAlignment="1">
      <alignment horizontal="center" vertical="center" wrapText="1" readingOrder="1"/>
    </xf>
    <xf numFmtId="0" fontId="14" fillId="2" borderId="15" xfId="0" applyFont="1" applyFill="1" applyBorder="1" applyAlignment="1">
      <alignment horizontal="left" vertical="center" wrapText="1" readingOrder="1"/>
    </xf>
    <xf numFmtId="0" fontId="15" fillId="2" borderId="16" xfId="0" applyFont="1" applyFill="1" applyBorder="1" applyAlignment="1">
      <alignment vertical="center" wrapText="1"/>
    </xf>
    <xf numFmtId="10" fontId="14" fillId="2" borderId="16" xfId="0" applyNumberFormat="1" applyFont="1" applyFill="1" applyBorder="1" applyAlignment="1">
      <alignment horizontal="center" vertical="center" wrapText="1" readingOrder="1"/>
    </xf>
    <xf numFmtId="0" fontId="14" fillId="2" borderId="16" xfId="0" applyFont="1" applyFill="1" applyBorder="1" applyAlignment="1">
      <alignment horizontal="center" vertical="center" wrapText="1" readingOrder="1"/>
    </xf>
    <xf numFmtId="0" fontId="18" fillId="2" borderId="15" xfId="0" applyFont="1" applyFill="1" applyBorder="1" applyAlignment="1">
      <alignment horizontal="left" vertical="center" wrapText="1" readingOrder="1"/>
    </xf>
    <xf numFmtId="0" fontId="16" fillId="2" borderId="16" xfId="0" applyFont="1" applyFill="1" applyBorder="1" applyAlignment="1">
      <alignment horizontal="right" vertical="center" wrapText="1" readingOrder="1"/>
    </xf>
    <xf numFmtId="0" fontId="19" fillId="2" borderId="15" xfId="0" applyFont="1" applyFill="1" applyBorder="1" applyAlignment="1">
      <alignment horizontal="left" vertical="center" wrapText="1" readingOrder="1"/>
    </xf>
    <xf numFmtId="0" fontId="16" fillId="3" borderId="19" xfId="0" applyFont="1" applyFill="1" applyBorder="1" applyAlignment="1">
      <alignment horizontal="center" vertical="center" wrapText="1" readingOrder="1"/>
    </xf>
    <xf numFmtId="0" fontId="16" fillId="3" borderId="22" xfId="0" applyFont="1" applyFill="1" applyBorder="1" applyAlignment="1">
      <alignment horizontal="center" vertical="center" wrapText="1" readingOrder="1"/>
    </xf>
    <xf numFmtId="0" fontId="14" fillId="2" borderId="16" xfId="0" applyFont="1" applyFill="1" applyBorder="1" applyAlignment="1">
      <alignment horizontal="left" vertical="center" wrapText="1" readingOrder="1"/>
    </xf>
    <xf numFmtId="0" fontId="16" fillId="2" borderId="16" xfId="0" applyFont="1" applyFill="1" applyBorder="1" applyAlignment="1">
      <alignment horizontal="left" vertical="center" wrapText="1" readingOrder="1"/>
    </xf>
    <xf numFmtId="0" fontId="16" fillId="2" borderId="16" xfId="0" applyFont="1" applyFill="1" applyBorder="1" applyAlignment="1">
      <alignment horizontal="justify" vertical="center" wrapText="1" readingOrder="1"/>
    </xf>
    <xf numFmtId="0" fontId="16" fillId="2" borderId="19" xfId="0" applyFont="1" applyFill="1" applyBorder="1" applyAlignment="1">
      <alignment horizontal="left" vertical="center" wrapText="1" readingOrder="1"/>
    </xf>
    <xf numFmtId="0" fontId="16" fillId="2" borderId="25" xfId="0" applyFont="1" applyFill="1" applyBorder="1" applyAlignment="1">
      <alignment horizontal="left" vertical="center" wrapText="1" readingOrder="1"/>
    </xf>
    <xf numFmtId="44" fontId="15" fillId="2" borderId="16" xfId="1" applyFont="1" applyFill="1" applyBorder="1" applyAlignment="1">
      <alignment horizontal="right" vertical="center" wrapText="1"/>
    </xf>
    <xf numFmtId="44" fontId="16" fillId="2" borderId="16" xfId="1" applyFont="1" applyFill="1" applyBorder="1" applyAlignment="1">
      <alignment horizontal="right" vertical="center" wrapText="1" readingOrder="1"/>
    </xf>
    <xf numFmtId="44" fontId="15" fillId="2" borderId="16" xfId="1" applyFont="1" applyFill="1" applyBorder="1" applyAlignment="1">
      <alignment horizontal="center" vertical="center" wrapText="1"/>
    </xf>
    <xf numFmtId="44" fontId="15" fillId="2" borderId="16" xfId="1" applyFont="1" applyFill="1" applyBorder="1" applyAlignment="1">
      <alignment vertical="center" wrapText="1"/>
    </xf>
    <xf numFmtId="44" fontId="15" fillId="2" borderId="17" xfId="1" applyFont="1" applyFill="1" applyBorder="1" applyAlignment="1">
      <alignment horizontal="right" vertical="center" wrapText="1"/>
    </xf>
    <xf numFmtId="44" fontId="14" fillId="2" borderId="16" xfId="1" applyFont="1" applyFill="1" applyBorder="1" applyAlignment="1">
      <alignment horizontal="right" vertical="center" wrapText="1" readingOrder="1"/>
    </xf>
    <xf numFmtId="44" fontId="15" fillId="2" borderId="17" xfId="0" applyNumberFormat="1" applyFont="1" applyFill="1" applyBorder="1" applyAlignment="1">
      <alignment horizontal="right" vertical="center" wrapText="1"/>
    </xf>
    <xf numFmtId="44" fontId="11" fillId="0" borderId="9" xfId="1" applyFont="1" applyBorder="1"/>
    <xf numFmtId="165" fontId="14" fillId="2" borderId="16" xfId="0" applyNumberFormat="1" applyFont="1" applyFill="1" applyBorder="1" applyAlignment="1">
      <alignment horizontal="center" vertical="center" wrapText="1" readingOrder="1"/>
    </xf>
    <xf numFmtId="14" fontId="0" fillId="0" borderId="5" xfId="0" applyNumberFormat="1" applyBorder="1" applyAlignment="1">
      <alignment horizontal="center" vertical="center"/>
    </xf>
    <xf numFmtId="14" fontId="0" fillId="0" borderId="6" xfId="0" applyNumberFormat="1" applyBorder="1" applyAlignment="1">
      <alignment horizontal="center" vertical="center"/>
    </xf>
    <xf numFmtId="0" fontId="11" fillId="0" borderId="32" xfId="0" applyFont="1" applyBorder="1"/>
    <xf numFmtId="0" fontId="11" fillId="0" borderId="33" xfId="0" applyFont="1" applyBorder="1"/>
    <xf numFmtId="0" fontId="14" fillId="2" borderId="35" xfId="0" applyFont="1" applyFill="1" applyBorder="1" applyAlignment="1">
      <alignment horizontal="left" vertical="center" wrapText="1" readingOrder="1"/>
    </xf>
    <xf numFmtId="0" fontId="16" fillId="2" borderId="37" xfId="0" applyFont="1" applyFill="1" applyBorder="1" applyAlignment="1">
      <alignment horizontal="center" vertical="center" wrapText="1" readingOrder="1"/>
    </xf>
    <xf numFmtId="44" fontId="14" fillId="2" borderId="37" xfId="1" applyFont="1" applyFill="1" applyBorder="1" applyAlignment="1">
      <alignment horizontal="right" vertical="center" wrapText="1" readingOrder="1"/>
    </xf>
    <xf numFmtId="44" fontId="16" fillId="2" borderId="37" xfId="1" applyFont="1" applyFill="1" applyBorder="1" applyAlignment="1">
      <alignment horizontal="right" vertical="center" wrapText="1" readingOrder="1"/>
    </xf>
    <xf numFmtId="0" fontId="16" fillId="3" borderId="38" xfId="0" applyFont="1" applyFill="1" applyBorder="1" applyAlignment="1">
      <alignment horizontal="right" vertical="center" wrapText="1" readingOrder="1"/>
    </xf>
    <xf numFmtId="0" fontId="16" fillId="3" borderId="36" xfId="0" applyFont="1" applyFill="1" applyBorder="1" applyAlignment="1">
      <alignment horizontal="right" vertical="center" wrapText="1" readingOrder="1"/>
    </xf>
    <xf numFmtId="0" fontId="16" fillId="2" borderId="37" xfId="0" applyFont="1" applyFill="1" applyBorder="1" applyAlignment="1">
      <alignment horizontal="right" vertical="center" wrapText="1" readingOrder="1"/>
    </xf>
    <xf numFmtId="0" fontId="16" fillId="2" borderId="37" xfId="0" applyFont="1" applyFill="1" applyBorder="1" applyAlignment="1">
      <alignment horizontal="left" vertical="center" wrapText="1" readingOrder="1"/>
    </xf>
    <xf numFmtId="0" fontId="16" fillId="2" borderId="38" xfId="0" applyFont="1" applyFill="1" applyBorder="1" applyAlignment="1">
      <alignment horizontal="left" vertical="center" wrapText="1" readingOrder="1"/>
    </xf>
    <xf numFmtId="0" fontId="16" fillId="2" borderId="39" xfId="0" applyFont="1" applyFill="1" applyBorder="1" applyAlignment="1">
      <alignment horizontal="left" vertical="center" wrapText="1" readingOrder="1"/>
    </xf>
    <xf numFmtId="165" fontId="14" fillId="2" borderId="16" xfId="0" applyNumberFormat="1" applyFont="1" applyFill="1" applyBorder="1" applyAlignment="1">
      <alignment horizontal="right" vertical="center" wrapText="1" readingOrder="1"/>
    </xf>
    <xf numFmtId="9" fontId="12" fillId="0" borderId="9" xfId="0" applyNumberFormat="1" applyFont="1" applyBorder="1" applyAlignment="1">
      <alignment vertical="center"/>
    </xf>
    <xf numFmtId="44" fontId="11" fillId="0" borderId="6" xfId="1" applyFont="1" applyBorder="1"/>
    <xf numFmtId="44" fontId="11" fillId="0" borderId="2" xfId="1" applyFont="1" applyBorder="1"/>
    <xf numFmtId="165" fontId="15" fillId="2" borderId="37" xfId="1" applyNumberFormat="1" applyFont="1" applyFill="1" applyBorder="1" applyAlignment="1">
      <alignment horizontal="right" vertical="center" wrapText="1"/>
    </xf>
    <xf numFmtId="44" fontId="25" fillId="2" borderId="16" xfId="1" applyFont="1" applyFill="1" applyBorder="1" applyAlignment="1">
      <alignment horizontal="right" vertical="center" wrapText="1"/>
    </xf>
    <xf numFmtId="44" fontId="13" fillId="0" borderId="17" xfId="0" applyNumberFormat="1" applyFont="1" applyFill="1" applyBorder="1" applyAlignment="1">
      <alignment horizontal="right" vertical="center" wrapText="1"/>
    </xf>
    <xf numFmtId="10" fontId="13" fillId="0" borderId="17" xfId="0" applyNumberFormat="1" applyFont="1" applyFill="1" applyBorder="1" applyAlignment="1">
      <alignment horizontal="right" vertical="center" wrapText="1"/>
    </xf>
    <xf numFmtId="44" fontId="15" fillId="2" borderId="20" xfId="0" applyNumberFormat="1" applyFont="1" applyFill="1" applyBorder="1" applyAlignment="1">
      <alignment horizontal="right" vertical="center" wrapText="1"/>
    </xf>
    <xf numFmtId="0" fontId="21" fillId="0" borderId="15" xfId="0" applyFont="1" applyFill="1" applyBorder="1" applyAlignment="1">
      <alignment horizontal="left" vertical="center" wrapText="1" readingOrder="1"/>
    </xf>
    <xf numFmtId="10" fontId="21" fillId="0" borderId="16" xfId="0" applyNumberFormat="1" applyFont="1" applyFill="1" applyBorder="1" applyAlignment="1">
      <alignment horizontal="center" vertical="center" wrapText="1" readingOrder="1"/>
    </xf>
    <xf numFmtId="8" fontId="21" fillId="0" borderId="16" xfId="0" applyNumberFormat="1" applyFont="1" applyFill="1" applyBorder="1" applyAlignment="1">
      <alignment horizontal="right" vertical="center" wrapText="1" readingOrder="1"/>
    </xf>
    <xf numFmtId="8" fontId="21" fillId="0" borderId="37" xfId="0" applyNumberFormat="1" applyFont="1" applyFill="1" applyBorder="1" applyAlignment="1">
      <alignment horizontal="right" vertical="center" wrapText="1" readingOrder="1"/>
    </xf>
    <xf numFmtId="0" fontId="9" fillId="0" borderId="15" xfId="0" applyFont="1" applyFill="1" applyBorder="1" applyAlignment="1">
      <alignment horizontal="left" vertical="center" wrapText="1" readingOrder="1"/>
    </xf>
    <xf numFmtId="44" fontId="8" fillId="0" borderId="16" xfId="0" applyNumberFormat="1" applyFont="1" applyFill="1" applyBorder="1" applyAlignment="1">
      <alignment horizontal="right" vertical="center" wrapText="1"/>
    </xf>
    <xf numFmtId="0" fontId="6" fillId="0" borderId="16" xfId="0" applyFont="1" applyFill="1" applyBorder="1" applyAlignment="1">
      <alignment horizontal="center" vertical="center" wrapText="1" readingOrder="1"/>
    </xf>
    <xf numFmtId="0" fontId="8" fillId="0" borderId="16" xfId="0" applyFont="1" applyFill="1" applyBorder="1" applyAlignment="1">
      <alignment horizontal="right" vertical="center" wrapText="1"/>
    </xf>
    <xf numFmtId="44" fontId="8" fillId="0" borderId="17" xfId="0" applyNumberFormat="1" applyFont="1" applyFill="1" applyBorder="1" applyAlignment="1">
      <alignment horizontal="right" vertical="center" wrapText="1"/>
    </xf>
    <xf numFmtId="0" fontId="7" fillId="0" borderId="15" xfId="0" applyFont="1" applyFill="1" applyBorder="1" applyAlignment="1">
      <alignment horizontal="left" vertical="center" wrapText="1" readingOrder="1"/>
    </xf>
    <xf numFmtId="10" fontId="6" fillId="0" borderId="16" xfId="0" applyNumberFormat="1" applyFont="1" applyFill="1" applyBorder="1" applyAlignment="1">
      <alignment horizontal="center" vertical="center" wrapText="1" readingOrder="1"/>
    </xf>
    <xf numFmtId="8" fontId="6" fillId="0" borderId="16" xfId="0" applyNumberFormat="1" applyFont="1" applyFill="1" applyBorder="1" applyAlignment="1">
      <alignment horizontal="right" vertical="center" wrapText="1" readingOrder="1"/>
    </xf>
    <xf numFmtId="8" fontId="6" fillId="0" borderId="37" xfId="0" applyNumberFormat="1" applyFont="1" applyFill="1" applyBorder="1" applyAlignment="1">
      <alignment horizontal="right" vertical="center" wrapText="1" readingOrder="1"/>
    </xf>
    <xf numFmtId="44" fontId="23" fillId="0" borderId="16" xfId="0" applyNumberFormat="1" applyFont="1" applyFill="1" applyBorder="1" applyAlignment="1">
      <alignment horizontal="right" vertical="center" wrapText="1"/>
    </xf>
    <xf numFmtId="10" fontId="24" fillId="0" borderId="16" xfId="0" applyNumberFormat="1" applyFont="1" applyFill="1" applyBorder="1" applyAlignment="1">
      <alignment horizontal="center" vertical="center" wrapText="1" readingOrder="1"/>
    </xf>
    <xf numFmtId="8" fontId="24" fillId="0" borderId="16" xfId="0" applyNumberFormat="1" applyFont="1" applyFill="1" applyBorder="1" applyAlignment="1">
      <alignment horizontal="right" vertical="center" wrapText="1" readingOrder="1"/>
    </xf>
    <xf numFmtId="8" fontId="24" fillId="0" borderId="37" xfId="0" applyNumberFormat="1" applyFont="1" applyFill="1" applyBorder="1" applyAlignment="1">
      <alignment horizontal="right" vertical="center" wrapText="1" readingOrder="1"/>
    </xf>
    <xf numFmtId="0" fontId="20" fillId="0" borderId="16" xfId="0" applyFont="1" applyFill="1" applyBorder="1" applyAlignment="1">
      <alignment horizontal="right" vertical="center" wrapText="1"/>
    </xf>
    <xf numFmtId="0" fontId="21" fillId="0" borderId="16" xfId="0" applyFont="1" applyFill="1" applyBorder="1" applyAlignment="1">
      <alignment horizontal="center" vertical="center" wrapText="1" readingOrder="1"/>
    </xf>
    <xf numFmtId="0" fontId="21" fillId="0" borderId="16" xfId="0" applyFont="1" applyFill="1" applyBorder="1" applyAlignment="1">
      <alignment horizontal="right" vertical="center" wrapText="1" readingOrder="1"/>
    </xf>
    <xf numFmtId="0" fontId="21" fillId="0" borderId="37" xfId="0" applyFont="1" applyFill="1" applyBorder="1" applyAlignment="1">
      <alignment horizontal="right" vertical="center" wrapText="1" readingOrder="1"/>
    </xf>
    <xf numFmtId="0" fontId="7" fillId="0" borderId="16" xfId="0" applyFont="1" applyFill="1" applyBorder="1" applyAlignment="1">
      <alignment horizontal="right" vertical="center" wrapText="1" readingOrder="1"/>
    </xf>
    <xf numFmtId="0" fontId="7" fillId="0" borderId="16" xfId="0" applyFont="1" applyFill="1" applyBorder="1" applyAlignment="1">
      <alignment horizontal="center" vertical="center" wrapText="1" readingOrder="1"/>
    </xf>
    <xf numFmtId="8" fontId="7" fillId="0" borderId="16" xfId="0" applyNumberFormat="1" applyFont="1" applyFill="1" applyBorder="1" applyAlignment="1">
      <alignment horizontal="right" vertical="center" wrapText="1" readingOrder="1"/>
    </xf>
    <xf numFmtId="8" fontId="7" fillId="0" borderId="37" xfId="0" applyNumberFormat="1" applyFont="1" applyFill="1" applyBorder="1" applyAlignment="1">
      <alignment horizontal="right" vertical="center" wrapText="1" readingOrder="1"/>
    </xf>
    <xf numFmtId="44" fontId="13" fillId="0" borderId="17" xfId="1" applyFont="1" applyFill="1" applyBorder="1" applyAlignment="1">
      <alignment horizontal="right" vertical="center" wrapText="1"/>
    </xf>
    <xf numFmtId="0" fontId="7" fillId="0" borderId="37" xfId="0" applyFont="1" applyFill="1" applyBorder="1" applyAlignment="1">
      <alignment horizontal="right" vertical="center" wrapText="1" readingOrder="1"/>
    </xf>
    <xf numFmtId="0" fontId="10" fillId="0" borderId="15" xfId="0" applyFont="1" applyFill="1" applyBorder="1" applyAlignment="1">
      <alignment horizontal="left" vertical="center" wrapText="1" readingOrder="1"/>
    </xf>
    <xf numFmtId="165" fontId="8" fillId="0" borderId="37" xfId="0" applyNumberFormat="1" applyFont="1" applyFill="1" applyBorder="1" applyAlignment="1">
      <alignment horizontal="right" vertical="center" wrapText="1"/>
    </xf>
    <xf numFmtId="0" fontId="22" fillId="0" borderId="5" xfId="0" applyFont="1" applyFill="1" applyBorder="1" applyAlignment="1">
      <alignment horizontal="center" vertical="center"/>
    </xf>
    <xf numFmtId="44" fontId="22" fillId="0" borderId="5" xfId="1" applyFont="1" applyFill="1" applyBorder="1" applyAlignment="1">
      <alignment vertical="center"/>
    </xf>
    <xf numFmtId="0" fontId="22" fillId="0" borderId="5" xfId="0" applyFont="1" applyFill="1" applyBorder="1" applyAlignment="1">
      <alignment vertical="center"/>
    </xf>
    <xf numFmtId="44" fontId="22" fillId="0" borderId="6" xfId="0" applyNumberFormat="1"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2" fillId="0" borderId="32" xfId="0" applyFont="1" applyFill="1" applyBorder="1" applyAlignment="1">
      <alignment vertical="center"/>
    </xf>
    <xf numFmtId="44" fontId="12" fillId="0" borderId="3" xfId="1" applyFont="1" applyFill="1" applyBorder="1" applyAlignment="1">
      <alignment vertical="center"/>
    </xf>
    <xf numFmtId="0" fontId="12" fillId="0" borderId="0" xfId="0" applyFont="1" applyFill="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33" xfId="0" applyFont="1" applyFill="1" applyBorder="1" applyAlignment="1">
      <alignment vertical="center"/>
    </xf>
    <xf numFmtId="44" fontId="12" fillId="0" borderId="6" xfId="1"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44" fontId="12" fillId="0" borderId="8" xfId="1" applyFont="1" applyFill="1" applyBorder="1" applyAlignment="1">
      <alignment vertical="center"/>
    </xf>
    <xf numFmtId="9" fontId="12" fillId="0" borderId="8" xfId="0" applyNumberFormat="1" applyFont="1" applyFill="1" applyBorder="1" applyAlignment="1">
      <alignment vertical="center"/>
    </xf>
    <xf numFmtId="0" fontId="12" fillId="0" borderId="8" xfId="0" applyFont="1" applyFill="1" applyBorder="1" applyAlignment="1">
      <alignment vertical="center"/>
    </xf>
    <xf numFmtId="44" fontId="12" fillId="0" borderId="9" xfId="0" applyNumberFormat="1" applyFont="1" applyFill="1" applyBorder="1" applyAlignment="1">
      <alignment vertical="center"/>
    </xf>
    <xf numFmtId="0" fontId="6" fillId="0" borderId="12" xfId="0" applyFont="1" applyFill="1" applyBorder="1" applyAlignment="1">
      <alignment horizontal="left" vertical="center" wrapText="1" readingOrder="1"/>
    </xf>
    <xf numFmtId="0" fontId="8" fillId="0" borderId="13" xfId="0" applyFont="1" applyFill="1" applyBorder="1" applyAlignment="1">
      <alignment horizontal="right" vertical="center" wrapText="1"/>
    </xf>
    <xf numFmtId="0" fontId="6" fillId="0" borderId="13" xfId="0" applyFont="1" applyFill="1" applyBorder="1" applyAlignment="1">
      <alignment horizontal="left" vertical="center" wrapText="1" readingOrder="1"/>
    </xf>
    <xf numFmtId="0" fontId="6" fillId="0" borderId="35" xfId="0" applyFont="1" applyFill="1" applyBorder="1" applyAlignment="1">
      <alignment horizontal="left" vertical="center" wrapText="1" readingOrder="1"/>
    </xf>
    <xf numFmtId="44" fontId="6" fillId="0" borderId="14" xfId="0" applyNumberFormat="1" applyFont="1" applyFill="1" applyBorder="1" applyAlignment="1">
      <alignment horizontal="left" vertical="center" wrapText="1" readingOrder="1"/>
    </xf>
    <xf numFmtId="0" fontId="6" fillId="0" borderId="21" xfId="0" applyFont="1" applyFill="1" applyBorder="1" applyAlignment="1">
      <alignment horizontal="left" vertical="center" wrapText="1" readingOrder="1"/>
    </xf>
    <xf numFmtId="0" fontId="7" fillId="0" borderId="22" xfId="0" applyFont="1" applyFill="1" applyBorder="1" applyAlignment="1">
      <alignment horizontal="center" vertical="center" wrapText="1" readingOrder="1"/>
    </xf>
    <xf numFmtId="0" fontId="7" fillId="0" borderId="36" xfId="0" applyFont="1" applyFill="1" applyBorder="1" applyAlignment="1">
      <alignment horizontal="center" vertical="center" wrapText="1" readingOrder="1"/>
    </xf>
    <xf numFmtId="0" fontId="7" fillId="0" borderId="17" xfId="0" applyFont="1" applyFill="1" applyBorder="1" applyAlignment="1">
      <alignment horizontal="center" vertical="center" wrapText="1" readingOrder="1"/>
    </xf>
    <xf numFmtId="0" fontId="8" fillId="0" borderId="16" xfId="0" applyFont="1" applyFill="1" applyBorder="1" applyAlignment="1">
      <alignment horizontal="center" vertical="center" wrapText="1"/>
    </xf>
    <xf numFmtId="0" fontId="7" fillId="0" borderId="37" xfId="0" applyFont="1" applyFill="1" applyBorder="1" applyAlignment="1">
      <alignment horizontal="center" vertical="center" wrapText="1" readingOrder="1"/>
    </xf>
    <xf numFmtId="0" fontId="6" fillId="0" borderId="15" xfId="0" applyFont="1" applyFill="1" applyBorder="1" applyAlignment="1">
      <alignment horizontal="left" vertical="center" wrapText="1" readingOrder="1"/>
    </xf>
    <xf numFmtId="0" fontId="8" fillId="0" borderId="16" xfId="0" applyFont="1" applyFill="1" applyBorder="1" applyAlignment="1">
      <alignment vertical="center" wrapText="1"/>
    </xf>
    <xf numFmtId="0" fontId="6" fillId="0" borderId="16" xfId="0" applyFont="1" applyFill="1" applyBorder="1" applyAlignment="1">
      <alignment horizontal="right" vertical="center" wrapText="1" readingOrder="1"/>
    </xf>
    <xf numFmtId="0" fontId="7" fillId="0" borderId="19" xfId="0" applyFont="1" applyFill="1" applyBorder="1" applyAlignment="1">
      <alignment horizontal="center" vertical="center" wrapText="1" readingOrder="1"/>
    </xf>
    <xf numFmtId="0" fontId="7" fillId="0" borderId="38" xfId="0" applyFont="1" applyFill="1" applyBorder="1" applyAlignment="1">
      <alignment horizontal="right" vertical="center" wrapText="1" readingOrder="1"/>
    </xf>
    <xf numFmtId="0" fontId="7" fillId="0" borderId="36" xfId="0" applyFont="1" applyFill="1" applyBorder="1" applyAlignment="1">
      <alignment horizontal="right" vertical="center" wrapText="1" readingOrder="1"/>
    </xf>
    <xf numFmtId="0" fontId="6" fillId="0" borderId="16" xfId="0" applyFont="1" applyFill="1" applyBorder="1" applyAlignment="1">
      <alignment horizontal="left" vertical="center" wrapText="1" readingOrder="1"/>
    </xf>
    <xf numFmtId="0" fontId="7" fillId="0" borderId="16" xfId="0" applyFont="1" applyFill="1" applyBorder="1" applyAlignment="1">
      <alignment horizontal="left" vertical="center" wrapText="1" readingOrder="1"/>
    </xf>
    <xf numFmtId="0" fontId="7" fillId="0" borderId="37" xfId="0" applyFont="1" applyFill="1" applyBorder="1" applyAlignment="1">
      <alignment horizontal="left" vertical="center" wrapText="1" readingOrder="1"/>
    </xf>
    <xf numFmtId="44" fontId="20" fillId="0" borderId="16" xfId="0" applyNumberFormat="1" applyFont="1" applyFill="1" applyBorder="1" applyAlignment="1">
      <alignment horizontal="center" vertical="center" wrapText="1"/>
    </xf>
    <xf numFmtId="0" fontId="7" fillId="0" borderId="16" xfId="0" applyFont="1" applyFill="1" applyBorder="1" applyAlignment="1">
      <alignment horizontal="justify" vertical="center" wrapText="1" readingOrder="1"/>
    </xf>
    <xf numFmtId="0" fontId="7" fillId="0" borderId="19" xfId="0" applyFont="1" applyFill="1" applyBorder="1" applyAlignment="1">
      <alignment horizontal="left" vertical="center" wrapText="1" readingOrder="1"/>
    </xf>
    <xf numFmtId="0" fontId="7" fillId="0" borderId="38" xfId="0" applyFont="1" applyFill="1" applyBorder="1" applyAlignment="1">
      <alignment horizontal="left" vertical="center" wrapText="1" readingOrder="1"/>
    </xf>
    <xf numFmtId="0" fontId="7" fillId="0" borderId="25" xfId="0" applyFont="1" applyFill="1" applyBorder="1" applyAlignment="1">
      <alignment horizontal="left" vertical="center" wrapText="1" readingOrder="1"/>
    </xf>
    <xf numFmtId="0" fontId="7" fillId="0" borderId="39" xfId="0" applyFont="1" applyFill="1" applyBorder="1" applyAlignment="1">
      <alignment horizontal="left" vertical="center" wrapText="1" readingOrder="1"/>
    </xf>
    <xf numFmtId="0" fontId="0" fillId="0" borderId="5" xfId="0" applyBorder="1" applyAlignment="1">
      <alignment horizontal="center" vertical="center"/>
    </xf>
    <xf numFmtId="44" fontId="20" fillId="0" borderId="17" xfId="0" applyNumberFormat="1" applyFont="1" applyFill="1" applyBorder="1" applyAlignment="1">
      <alignment horizontal="right" vertical="center" wrapText="1"/>
    </xf>
    <xf numFmtId="44" fontId="7" fillId="0" borderId="17" xfId="0" applyNumberFormat="1" applyFont="1" applyFill="1" applyBorder="1" applyAlignment="1">
      <alignment horizontal="center" vertical="center" wrapText="1" readingOrder="1"/>
    </xf>
    <xf numFmtId="44" fontId="8" fillId="0" borderId="17" xfId="1" applyNumberFormat="1" applyFont="1" applyFill="1" applyBorder="1" applyAlignment="1">
      <alignment horizontal="right" vertical="center" wrapText="1"/>
    </xf>
    <xf numFmtId="44" fontId="20" fillId="0" borderId="17" xfId="1" applyNumberFormat="1" applyFont="1" applyFill="1" applyBorder="1" applyAlignment="1">
      <alignment horizontal="right" vertical="center" wrapText="1"/>
    </xf>
    <xf numFmtId="44" fontId="7" fillId="0" borderId="16" xfId="0" applyNumberFormat="1" applyFont="1" applyFill="1" applyBorder="1" applyAlignment="1">
      <alignment horizontal="right" vertical="center" wrapText="1" readingOrder="1"/>
    </xf>
    <xf numFmtId="9" fontId="25" fillId="2" borderId="16" xfId="0" applyNumberFormat="1" applyFont="1" applyFill="1" applyBorder="1" applyAlignment="1">
      <alignment horizontal="center" vertical="center" wrapText="1"/>
    </xf>
    <xf numFmtId="10" fontId="25" fillId="2" borderId="16" xfId="0" applyNumberFormat="1" applyFont="1" applyFill="1" applyBorder="1" applyAlignment="1">
      <alignment horizontal="center" vertical="center" wrapText="1"/>
    </xf>
    <xf numFmtId="2" fontId="11" fillId="0" borderId="2" xfId="0" applyNumberFormat="1" applyFont="1" applyBorder="1"/>
    <xf numFmtId="44" fontId="11" fillId="0" borderId="5" xfId="1" applyFont="1" applyBorder="1" applyAlignment="1">
      <alignment horizontal="right"/>
    </xf>
    <xf numFmtId="166" fontId="11" fillId="0" borderId="2" xfId="0" applyNumberFormat="1" applyFont="1" applyBorder="1" applyAlignment="1">
      <alignment horizontal="right"/>
    </xf>
    <xf numFmtId="44" fontId="27" fillId="0" borderId="40" xfId="0" applyNumberFormat="1" applyFont="1" applyBorder="1"/>
    <xf numFmtId="0" fontId="14" fillId="2" borderId="42" xfId="0" applyFont="1" applyFill="1" applyBorder="1" applyAlignment="1">
      <alignment horizontal="left" vertical="center" wrapText="1" readingOrder="1"/>
    </xf>
    <xf numFmtId="0" fontId="11" fillId="0" borderId="41" xfId="0" applyFont="1" applyBorder="1"/>
    <xf numFmtId="44" fontId="12" fillId="0" borderId="34" xfId="0" applyNumberFormat="1" applyFont="1" applyBorder="1" applyAlignment="1">
      <alignment vertical="center"/>
    </xf>
    <xf numFmtId="44" fontId="11" fillId="0" borderId="43" xfId="1" applyFont="1" applyBorder="1"/>
    <xf numFmtId="44" fontId="15" fillId="2" borderId="20" xfId="1" applyFont="1" applyFill="1" applyBorder="1" applyAlignment="1">
      <alignment horizontal="right" vertical="center" wrapText="1"/>
    </xf>
    <xf numFmtId="44" fontId="25" fillId="2" borderId="44" xfId="1" applyFont="1" applyFill="1" applyBorder="1" applyAlignment="1">
      <alignment horizontal="right" vertical="center" wrapText="1"/>
    </xf>
    <xf numFmtId="44" fontId="25" fillId="2" borderId="16" xfId="1" applyFont="1" applyFill="1" applyBorder="1" applyAlignment="1">
      <alignment horizontal="center" vertical="center" wrapText="1"/>
    </xf>
    <xf numFmtId="44" fontId="25" fillId="2" borderId="17" xfId="0" applyNumberFormat="1" applyFont="1" applyFill="1" applyBorder="1" applyAlignment="1">
      <alignment horizontal="right" vertical="center" wrapText="1"/>
    </xf>
    <xf numFmtId="44" fontId="15" fillId="2" borderId="23" xfId="0" applyNumberFormat="1" applyFont="1" applyFill="1" applyBorder="1" applyAlignment="1">
      <alignment horizontal="right" vertical="center" wrapText="1"/>
    </xf>
    <xf numFmtId="44" fontId="25" fillId="2" borderId="44" xfId="0" applyNumberFormat="1" applyFont="1" applyFill="1" applyBorder="1" applyAlignment="1">
      <alignment horizontal="right" vertical="center" wrapText="1"/>
    </xf>
    <xf numFmtId="44" fontId="16" fillId="4" borderId="16" xfId="1" applyFont="1" applyFill="1" applyBorder="1" applyAlignment="1">
      <alignment horizontal="right" vertical="center" wrapText="1" readingOrder="1"/>
    </xf>
    <xf numFmtId="0" fontId="16" fillId="4" borderId="16" xfId="0" applyFont="1" applyFill="1" applyBorder="1" applyAlignment="1">
      <alignment horizontal="center" vertical="center" wrapText="1" readingOrder="1"/>
    </xf>
    <xf numFmtId="44" fontId="16" fillId="4" borderId="37" xfId="1" applyFont="1" applyFill="1" applyBorder="1" applyAlignment="1">
      <alignment horizontal="right" vertical="center" wrapText="1" readingOrder="1"/>
    </xf>
    <xf numFmtId="44" fontId="15" fillId="4" borderId="23" xfId="1" applyFont="1" applyFill="1" applyBorder="1" applyAlignment="1">
      <alignment horizontal="right" vertical="center" wrapText="1"/>
    </xf>
    <xf numFmtId="44" fontId="12" fillId="0" borderId="45" xfId="0" applyNumberFormat="1" applyFont="1" applyFill="1" applyBorder="1" applyAlignment="1">
      <alignment vertical="center"/>
    </xf>
    <xf numFmtId="0" fontId="8" fillId="0" borderId="20" xfId="0" applyFont="1" applyFill="1" applyBorder="1" applyAlignment="1">
      <alignment horizontal="right" vertical="center" wrapText="1"/>
    </xf>
    <xf numFmtId="44" fontId="7" fillId="0" borderId="44" xfId="0" applyNumberFormat="1" applyFont="1" applyFill="1" applyBorder="1" applyAlignment="1">
      <alignment horizontal="right" vertical="center" wrapText="1" readingOrder="1"/>
    </xf>
    <xf numFmtId="44" fontId="13" fillId="0" borderId="20" xfId="0" applyNumberFormat="1" applyFont="1" applyFill="1" applyBorder="1" applyAlignment="1">
      <alignment horizontal="right" vertical="center" wrapText="1"/>
    </xf>
    <xf numFmtId="44" fontId="13" fillId="0" borderId="23" xfId="0" applyNumberFormat="1" applyFont="1" applyFill="1" applyBorder="1" applyAlignment="1">
      <alignment horizontal="right" vertical="center" wrapText="1"/>
    </xf>
    <xf numFmtId="44" fontId="13" fillId="0" borderId="44" xfId="0" applyNumberFormat="1" applyFont="1" applyFill="1" applyBorder="1" applyAlignment="1">
      <alignment horizontal="right" vertical="center" wrapText="1"/>
    </xf>
    <xf numFmtId="44" fontId="11" fillId="0" borderId="2" xfId="0" applyNumberFormat="1" applyFont="1" applyBorder="1"/>
    <xf numFmtId="166" fontId="11" fillId="0" borderId="5" xfId="0" applyNumberFormat="1" applyFont="1" applyBorder="1"/>
    <xf numFmtId="166" fontId="11" fillId="0" borderId="6" xfId="0" applyNumberFormat="1" applyFont="1" applyBorder="1"/>
    <xf numFmtId="44" fontId="16" fillId="2" borderId="46" xfId="1" applyFont="1" applyFill="1" applyBorder="1" applyAlignment="1">
      <alignment horizontal="right" vertical="center" wrapText="1" readingOrder="1"/>
    </xf>
    <xf numFmtId="44" fontId="14" fillId="2" borderId="19" xfId="1" applyFont="1" applyFill="1" applyBorder="1" applyAlignment="1">
      <alignment horizontal="right" vertical="center" wrapText="1" readingOrder="1"/>
    </xf>
    <xf numFmtId="44" fontId="16" fillId="2" borderId="22" xfId="1" applyFont="1" applyFill="1" applyBorder="1" applyAlignment="1">
      <alignment horizontal="right" vertical="center" wrapText="1" readingOrder="1"/>
    </xf>
    <xf numFmtId="44" fontId="16" fillId="2" borderId="44" xfId="1" applyFont="1" applyFill="1" applyBorder="1" applyAlignment="1">
      <alignment horizontal="right" vertical="center" wrapText="1" readingOrder="1"/>
    </xf>
    <xf numFmtId="44" fontId="15" fillId="2" borderId="47" xfId="1" applyFont="1" applyFill="1" applyBorder="1" applyAlignment="1">
      <alignment horizontal="right" vertical="center" wrapText="1"/>
    </xf>
    <xf numFmtId="44" fontId="25" fillId="2" borderId="44" xfId="1" applyNumberFormat="1" applyFont="1" applyFill="1" applyBorder="1" applyAlignment="1">
      <alignment horizontal="right" vertical="center" wrapText="1"/>
    </xf>
    <xf numFmtId="166" fontId="14" fillId="2" borderId="16" xfId="1" applyNumberFormat="1" applyFont="1" applyFill="1" applyBorder="1" applyAlignment="1">
      <alignment horizontal="right" vertical="center" wrapText="1" readingOrder="1"/>
    </xf>
    <xf numFmtId="44" fontId="25" fillId="2" borderId="48" xfId="1" applyFont="1" applyFill="1" applyBorder="1" applyAlignment="1">
      <alignment horizontal="right" vertical="center" wrapText="1"/>
    </xf>
    <xf numFmtId="165" fontId="6" fillId="0" borderId="37" xfId="0" applyNumberFormat="1" applyFont="1" applyFill="1" applyBorder="1" applyAlignment="1">
      <alignment horizontal="right" vertical="center" wrapText="1" readingOrder="1"/>
    </xf>
    <xf numFmtId="165" fontId="24" fillId="0" borderId="37" xfId="0" applyNumberFormat="1" applyFont="1" applyFill="1" applyBorder="1" applyAlignment="1">
      <alignment horizontal="right" vertical="center" wrapText="1" readingOrder="1"/>
    </xf>
    <xf numFmtId="44" fontId="12" fillId="0" borderId="0" xfId="1" applyFont="1" applyFill="1" applyBorder="1" applyAlignment="1">
      <alignment vertical="center"/>
    </xf>
    <xf numFmtId="44" fontId="22" fillId="0" borderId="0" xfId="0" applyNumberFormat="1" applyFont="1" applyFill="1" applyBorder="1" applyAlignment="1">
      <alignment vertical="center"/>
    </xf>
    <xf numFmtId="0" fontId="12" fillId="0" borderId="0" xfId="0" applyFont="1" applyFill="1" applyBorder="1" applyAlignment="1">
      <alignment vertical="center"/>
    </xf>
    <xf numFmtId="44" fontId="12" fillId="0" borderId="0" xfId="0" applyNumberFormat="1" applyFont="1" applyFill="1" applyBorder="1" applyAlignment="1">
      <alignment vertical="center"/>
    </xf>
    <xf numFmtId="44" fontId="6" fillId="0" borderId="0" xfId="0" applyNumberFormat="1" applyFont="1" applyFill="1" applyBorder="1" applyAlignment="1">
      <alignment horizontal="left" vertical="center" wrapText="1" readingOrder="1"/>
    </xf>
    <xf numFmtId="0" fontId="7" fillId="0" borderId="0" xfId="0" applyFont="1" applyFill="1" applyBorder="1" applyAlignment="1">
      <alignment horizontal="center" vertical="center" wrapText="1" readingOrder="1"/>
    </xf>
    <xf numFmtId="44" fontId="7" fillId="0" borderId="0" xfId="0" applyNumberFormat="1" applyFont="1" applyFill="1" applyBorder="1" applyAlignment="1">
      <alignment horizontal="center" vertical="center" wrapText="1" readingOrder="1"/>
    </xf>
    <xf numFmtId="44" fontId="8" fillId="0" borderId="0" xfId="0" applyNumberFormat="1" applyFont="1" applyFill="1" applyBorder="1" applyAlignment="1">
      <alignment horizontal="right" vertical="center" wrapText="1"/>
    </xf>
    <xf numFmtId="44" fontId="8" fillId="0" borderId="0" xfId="1" applyNumberFormat="1" applyFont="1" applyFill="1" applyBorder="1" applyAlignment="1">
      <alignment horizontal="right" vertical="center" wrapText="1"/>
    </xf>
    <xf numFmtId="44" fontId="20" fillId="0" borderId="0" xfId="0" applyNumberFormat="1" applyFont="1" applyFill="1" applyBorder="1" applyAlignment="1">
      <alignment horizontal="right" vertical="center" wrapText="1"/>
    </xf>
    <xf numFmtId="44" fontId="20" fillId="0" borderId="0" xfId="1" applyNumberFormat="1" applyFont="1" applyFill="1" applyBorder="1" applyAlignment="1">
      <alignment horizontal="right" vertical="center" wrapText="1"/>
    </xf>
    <xf numFmtId="44" fontId="13" fillId="0" borderId="0" xfId="1" applyFont="1" applyFill="1" applyBorder="1" applyAlignment="1">
      <alignment horizontal="right" vertical="center" wrapText="1"/>
    </xf>
    <xf numFmtId="0" fontId="8" fillId="0" borderId="0" xfId="0" applyFont="1" applyFill="1" applyBorder="1" applyAlignment="1">
      <alignment horizontal="right" vertical="center" wrapText="1"/>
    </xf>
    <xf numFmtId="44" fontId="7" fillId="0" borderId="0" xfId="0" applyNumberFormat="1" applyFont="1" applyFill="1" applyBorder="1" applyAlignment="1">
      <alignment horizontal="right" vertical="center" wrapText="1" readingOrder="1"/>
    </xf>
    <xf numFmtId="44" fontId="13" fillId="0" borderId="0" xfId="0" applyNumberFormat="1" applyFont="1" applyFill="1" applyBorder="1" applyAlignment="1">
      <alignment horizontal="right" vertical="center" wrapText="1"/>
    </xf>
    <xf numFmtId="0" fontId="11" fillId="0" borderId="0" xfId="0" applyFont="1" applyAlignment="1">
      <alignment vertical="center"/>
    </xf>
    <xf numFmtId="0" fontId="30" fillId="2" borderId="12" xfId="0" applyFont="1" applyFill="1" applyBorder="1" applyAlignment="1">
      <alignment vertical="center" wrapText="1"/>
    </xf>
    <xf numFmtId="0" fontId="30" fillId="2" borderId="15" xfId="0" applyFont="1" applyFill="1" applyBorder="1" applyAlignment="1">
      <alignment vertical="center" wrapText="1"/>
    </xf>
    <xf numFmtId="0" fontId="30" fillId="2" borderId="51" xfId="0" applyFont="1" applyFill="1" applyBorder="1" applyAlignment="1">
      <alignment vertical="center" wrapText="1"/>
    </xf>
    <xf numFmtId="0" fontId="27" fillId="0" borderId="0" xfId="0" applyFont="1" applyAlignment="1">
      <alignment vertical="center"/>
    </xf>
    <xf numFmtId="0" fontId="11" fillId="0" borderId="10" xfId="0" applyFont="1" applyBorder="1" applyAlignment="1">
      <alignment vertical="center"/>
    </xf>
    <xf numFmtId="168" fontId="27" fillId="0" borderId="54" xfId="0" applyNumberFormat="1" applyFont="1" applyBorder="1" applyAlignment="1">
      <alignment vertical="center"/>
    </xf>
    <xf numFmtId="10" fontId="27" fillId="0" borderId="54" xfId="0" applyNumberFormat="1" applyFont="1" applyBorder="1" applyAlignment="1">
      <alignment vertical="center"/>
    </xf>
    <xf numFmtId="168" fontId="27" fillId="0" borderId="11" xfId="0" applyNumberFormat="1" applyFont="1" applyBorder="1" applyAlignment="1">
      <alignment vertical="center"/>
    </xf>
    <xf numFmtId="0" fontId="11" fillId="0" borderId="54" xfId="0" applyFont="1" applyBorder="1" applyAlignment="1">
      <alignment vertical="center"/>
    </xf>
    <xf numFmtId="8" fontId="19" fillId="4" borderId="11" xfId="0" applyNumberFormat="1" applyFont="1" applyFill="1" applyBorder="1" applyAlignment="1">
      <alignment vertical="center"/>
    </xf>
    <xf numFmtId="0" fontId="11" fillId="0" borderId="12" xfId="0" applyFont="1" applyBorder="1" applyAlignment="1">
      <alignment vertical="center"/>
    </xf>
    <xf numFmtId="10" fontId="11" fillId="0" borderId="13" xfId="0" applyNumberFormat="1" applyFont="1" applyBorder="1" applyAlignment="1">
      <alignment vertical="center"/>
    </xf>
    <xf numFmtId="44" fontId="11" fillId="0" borderId="14" xfId="0" applyNumberFormat="1" applyFont="1" applyBorder="1" applyAlignment="1">
      <alignment vertical="center"/>
    </xf>
    <xf numFmtId="0" fontId="11" fillId="0" borderId="15" xfId="0" applyFont="1" applyBorder="1" applyAlignment="1">
      <alignment vertical="center"/>
    </xf>
    <xf numFmtId="44" fontId="11" fillId="0" borderId="16" xfId="0" applyNumberFormat="1" applyFont="1" applyBorder="1" applyAlignment="1">
      <alignment vertical="center"/>
    </xf>
    <xf numFmtId="10" fontId="11" fillId="0" borderId="16" xfId="0" applyNumberFormat="1" applyFont="1" applyBorder="1" applyAlignment="1">
      <alignment vertical="center"/>
    </xf>
    <xf numFmtId="44" fontId="11" fillId="0" borderId="17" xfId="0" applyNumberFormat="1" applyFont="1" applyBorder="1" applyAlignment="1">
      <alignment vertical="center"/>
    </xf>
    <xf numFmtId="168" fontId="14" fillId="2" borderId="16" xfId="0" applyNumberFormat="1" applyFont="1" applyFill="1" applyBorder="1" applyAlignment="1">
      <alignment horizontal="right" vertical="center" wrapText="1" readingOrder="1"/>
    </xf>
    <xf numFmtId="8" fontId="14" fillId="2" borderId="16" xfId="0" applyNumberFormat="1" applyFont="1" applyFill="1" applyBorder="1" applyAlignment="1">
      <alignment horizontal="right" vertical="center" wrapText="1" readingOrder="1"/>
    </xf>
    <xf numFmtId="44" fontId="11" fillId="0" borderId="52" xfId="0" applyNumberFormat="1" applyFont="1" applyBorder="1" applyAlignment="1">
      <alignment vertical="center"/>
    </xf>
    <xf numFmtId="169" fontId="11" fillId="0" borderId="52" xfId="0" applyNumberFormat="1" applyFont="1" applyBorder="1" applyAlignment="1">
      <alignment vertical="center"/>
    </xf>
    <xf numFmtId="44" fontId="19" fillId="4" borderId="53" xfId="1" applyFont="1" applyFill="1" applyBorder="1" applyAlignment="1">
      <alignment vertical="center"/>
    </xf>
    <xf numFmtId="8" fontId="8" fillId="0" borderId="17" xfId="0" applyNumberFormat="1" applyFont="1" applyFill="1" applyBorder="1" applyAlignment="1">
      <alignment horizontal="right" vertical="center" wrapText="1"/>
    </xf>
    <xf numFmtId="0" fontId="12" fillId="0" borderId="12" xfId="0" applyFont="1" applyFill="1" applyBorder="1" applyAlignment="1">
      <alignment vertical="center"/>
    </xf>
    <xf numFmtId="0" fontId="12" fillId="0" borderId="13" xfId="0" applyFont="1" applyFill="1" applyBorder="1" applyAlignment="1">
      <alignment vertical="center"/>
    </xf>
    <xf numFmtId="44" fontId="12" fillId="0" borderId="14" xfId="0" applyNumberFormat="1" applyFont="1" applyFill="1" applyBorder="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8" fontId="12" fillId="0" borderId="16" xfId="0" applyNumberFormat="1" applyFont="1" applyFill="1" applyBorder="1" applyAlignment="1">
      <alignment vertical="center"/>
    </xf>
    <xf numFmtId="0" fontId="12" fillId="0" borderId="17" xfId="0" applyFont="1" applyFill="1" applyBorder="1" applyAlignment="1">
      <alignment vertical="center"/>
    </xf>
    <xf numFmtId="44" fontId="12" fillId="0" borderId="16" xfId="0" applyNumberFormat="1" applyFont="1" applyFill="1" applyBorder="1" applyAlignment="1">
      <alignment vertical="center"/>
    </xf>
    <xf numFmtId="10" fontId="12" fillId="0" borderId="16" xfId="0" applyNumberFormat="1" applyFont="1" applyFill="1" applyBorder="1" applyAlignment="1">
      <alignment vertical="center"/>
    </xf>
    <xf numFmtId="8" fontId="12" fillId="0" borderId="17" xfId="0" applyNumberFormat="1" applyFont="1" applyFill="1" applyBorder="1" applyAlignment="1">
      <alignment vertical="center"/>
    </xf>
    <xf numFmtId="0" fontId="12" fillId="0" borderId="52" xfId="0" applyFont="1" applyFill="1" applyBorder="1" applyAlignment="1">
      <alignment vertical="center"/>
    </xf>
    <xf numFmtId="8" fontId="13" fillId="0" borderId="23" xfId="0" applyNumberFormat="1" applyFont="1" applyFill="1" applyBorder="1" applyAlignment="1">
      <alignment horizontal="right" vertical="center" wrapText="1"/>
    </xf>
    <xf numFmtId="44" fontId="10" fillId="4" borderId="53" xfId="0" applyNumberFormat="1" applyFont="1" applyFill="1" applyBorder="1" applyAlignment="1">
      <alignment vertical="center"/>
    </xf>
    <xf numFmtId="0" fontId="27" fillId="0" borderId="51" xfId="0" applyFont="1" applyBorder="1" applyAlignment="1">
      <alignment vertical="center"/>
    </xf>
    <xf numFmtId="0" fontId="28" fillId="0" borderId="51" xfId="0" applyFont="1" applyFill="1" applyBorder="1" applyAlignment="1">
      <alignment vertical="center"/>
    </xf>
    <xf numFmtId="165" fontId="14" fillId="2" borderId="37" xfId="1" applyNumberFormat="1" applyFont="1" applyFill="1" applyBorder="1" applyAlignment="1">
      <alignment horizontal="right" vertical="center" wrapText="1" readingOrder="1"/>
    </xf>
    <xf numFmtId="165" fontId="16" fillId="2" borderId="16" xfId="0" applyNumberFormat="1" applyFont="1" applyFill="1" applyBorder="1" applyAlignment="1">
      <alignment horizontal="right" vertical="center" wrapText="1" readingOrder="1"/>
    </xf>
    <xf numFmtId="8" fontId="15" fillId="2" borderId="17" xfId="1" applyNumberFormat="1" applyFont="1" applyFill="1" applyBorder="1" applyAlignment="1">
      <alignment horizontal="right" vertical="center" wrapText="1"/>
    </xf>
    <xf numFmtId="165" fontId="15" fillId="2" borderId="37" xfId="1" applyNumberFormat="1" applyFont="1" applyFill="1" applyBorder="1" applyAlignment="1">
      <alignment vertical="center" wrapText="1"/>
    </xf>
    <xf numFmtId="44" fontId="14" fillId="2" borderId="46" xfId="1" applyFont="1" applyFill="1" applyBorder="1" applyAlignment="1">
      <alignment horizontal="right" vertical="center" wrapText="1" readingOrder="1"/>
    </xf>
    <xf numFmtId="7" fontId="12" fillId="0" borderId="14" xfId="0" applyNumberFormat="1" applyFont="1" applyFill="1" applyBorder="1" applyAlignment="1">
      <alignment vertical="center"/>
    </xf>
    <xf numFmtId="0" fontId="0" fillId="0" borderId="8" xfId="0" applyBorder="1" applyAlignment="1">
      <alignment vertical="center"/>
    </xf>
    <xf numFmtId="0" fontId="2" fillId="0" borderId="0" xfId="0" applyFont="1" applyAlignment="1">
      <alignment vertical="center"/>
    </xf>
    <xf numFmtId="0" fontId="0" fillId="0" borderId="3" xfId="0" applyBorder="1" applyAlignment="1">
      <alignment vertical="center"/>
    </xf>
    <xf numFmtId="0" fontId="5" fillId="0" borderId="58" xfId="0" applyFont="1" applyBorder="1" applyAlignment="1">
      <alignment vertical="center"/>
    </xf>
    <xf numFmtId="0" fontId="0" fillId="0" borderId="45" xfId="0" applyBorder="1" applyAlignment="1">
      <alignment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167" fontId="0" fillId="4" borderId="4" xfId="0" applyNumberFormat="1" applyFill="1" applyBorder="1" applyAlignment="1">
      <alignment horizontal="lef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60" xfId="0" applyBorder="1" applyAlignment="1">
      <alignment horizontal="center" vertical="center"/>
    </xf>
    <xf numFmtId="0" fontId="0" fillId="0" borderId="3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5" xfId="0" applyBorder="1" applyAlignment="1">
      <alignment vertical="center"/>
    </xf>
    <xf numFmtId="0" fontId="0" fillId="0" borderId="65" xfId="0" applyBorder="1" applyAlignment="1">
      <alignment vertical="center"/>
    </xf>
    <xf numFmtId="0" fontId="0" fillId="0" borderId="65" xfId="0" applyBorder="1" applyAlignment="1">
      <alignment horizontal="center" vertical="center"/>
    </xf>
    <xf numFmtId="167" fontId="0" fillId="4" borderId="30" xfId="0" applyNumberFormat="1" applyFill="1"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center" vertical="center"/>
    </xf>
    <xf numFmtId="167" fontId="0" fillId="4" borderId="7" xfId="0" applyNumberFormat="1" applyFill="1" applyBorder="1" applyAlignment="1">
      <alignment horizontal="left" vertical="center"/>
    </xf>
    <xf numFmtId="0" fontId="0" fillId="0" borderId="9" xfId="0" applyBorder="1" applyAlignment="1">
      <alignment horizontal="center" vertical="center"/>
    </xf>
    <xf numFmtId="0" fontId="7" fillId="0" borderId="19" xfId="0" applyFont="1" applyFill="1" applyBorder="1" applyAlignment="1">
      <alignment horizontal="center" vertical="center" wrapText="1" readingOrder="1"/>
    </xf>
    <xf numFmtId="0" fontId="7" fillId="0" borderId="22" xfId="0" applyFont="1" applyFill="1" applyBorder="1" applyAlignment="1">
      <alignment horizontal="center" vertical="center" wrapText="1" readingOrder="1"/>
    </xf>
    <xf numFmtId="168" fontId="12" fillId="0" borderId="8" xfId="1" applyNumberFormat="1" applyFont="1" applyBorder="1" applyAlignment="1">
      <alignment vertical="center"/>
    </xf>
    <xf numFmtId="0" fontId="27" fillId="4" borderId="0" xfId="0" applyFont="1" applyFill="1"/>
    <xf numFmtId="0" fontId="11" fillId="4" borderId="0" xfId="0" applyFont="1" applyFill="1"/>
    <xf numFmtId="14" fontId="0" fillId="4" borderId="5" xfId="0" applyNumberFormat="1" applyFill="1" applyBorder="1" applyAlignment="1">
      <alignment horizontal="center" vertical="center"/>
    </xf>
    <xf numFmtId="9" fontId="12" fillId="0" borderId="34" xfId="0" applyNumberFormat="1" applyFont="1" applyFill="1" applyBorder="1" applyAlignment="1">
      <alignment vertical="center"/>
    </xf>
    <xf numFmtId="44" fontId="22" fillId="0" borderId="33" xfId="0" applyNumberFormat="1" applyFont="1" applyFill="1" applyBorder="1" applyAlignment="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34" fillId="4"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0" borderId="4" xfId="0" applyFont="1" applyBorder="1" applyAlignment="1">
      <alignment vertical="center"/>
    </xf>
    <xf numFmtId="0" fontId="28" fillId="0" borderId="5"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horizontal="center" vertical="center" wrapText="1"/>
    </xf>
    <xf numFmtId="0" fontId="28" fillId="0" borderId="5" xfId="0" applyFont="1" applyBorder="1" applyAlignment="1">
      <alignment vertical="center" wrapText="1"/>
    </xf>
    <xf numFmtId="0" fontId="28" fillId="0" borderId="6" xfId="0" applyFont="1" applyBorder="1" applyAlignment="1">
      <alignment horizontal="center" vertical="center" wrapText="1"/>
    </xf>
    <xf numFmtId="0" fontId="35" fillId="0" borderId="4" xfId="0" applyFont="1" applyBorder="1" applyAlignment="1">
      <alignment vertical="center"/>
    </xf>
    <xf numFmtId="166" fontId="36" fillId="0" borderId="5" xfId="1" applyNumberFormat="1" applyFont="1" applyBorder="1"/>
    <xf numFmtId="166" fontId="35" fillId="0" borderId="5" xfId="1" applyNumberFormat="1" applyFont="1" applyBorder="1" applyAlignment="1">
      <alignment horizontal="center" vertical="center"/>
    </xf>
    <xf numFmtId="0" fontId="35" fillId="0" borderId="5" xfId="0" applyFont="1" applyBorder="1" applyAlignment="1">
      <alignment vertical="center"/>
    </xf>
    <xf numFmtId="44" fontId="35" fillId="5" borderId="5" xfId="0" applyNumberFormat="1" applyFont="1" applyFill="1" applyBorder="1" applyAlignment="1">
      <alignment vertical="center"/>
    </xf>
    <xf numFmtId="44" fontId="35" fillId="5" borderId="6" xfId="0" applyNumberFormat="1" applyFont="1" applyFill="1" applyBorder="1" applyAlignment="1">
      <alignment vertical="center"/>
    </xf>
    <xf numFmtId="0" fontId="35" fillId="0" borderId="7" xfId="0" applyFont="1" applyBorder="1" applyAlignment="1">
      <alignment vertical="center"/>
    </xf>
    <xf numFmtId="166" fontId="35" fillId="0" borderId="8" xfId="1" applyNumberFormat="1" applyFont="1" applyBorder="1" applyAlignment="1">
      <alignment horizontal="center" vertical="center"/>
    </xf>
    <xf numFmtId="0" fontId="35" fillId="0" borderId="8" xfId="0" applyFont="1" applyBorder="1" applyAlignment="1">
      <alignment vertical="center"/>
    </xf>
    <xf numFmtId="44" fontId="35" fillId="5" borderId="8" xfId="0" applyNumberFormat="1" applyFont="1" applyFill="1" applyBorder="1" applyAlignment="1">
      <alignment vertical="center"/>
    </xf>
    <xf numFmtId="44" fontId="35" fillId="5" borderId="9" xfId="0" applyNumberFormat="1" applyFont="1" applyFill="1" applyBorder="1" applyAlignment="1">
      <alignment vertical="center"/>
    </xf>
    <xf numFmtId="44" fontId="12" fillId="0" borderId="8" xfId="0" applyNumberFormat="1" applyFont="1" applyFill="1" applyBorder="1" applyAlignment="1">
      <alignment vertical="center"/>
    </xf>
    <xf numFmtId="0" fontId="38" fillId="4" borderId="1" xfId="0" applyFont="1" applyFill="1" applyBorder="1" applyAlignment="1">
      <alignment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168" fontId="11" fillId="0" borderId="33" xfId="0" applyNumberFormat="1" applyFont="1" applyBorder="1"/>
    <xf numFmtId="168" fontId="11" fillId="0" borderId="6" xfId="0" applyNumberFormat="1" applyFont="1" applyBorder="1"/>
    <xf numFmtId="0" fontId="11" fillId="0" borderId="5"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11" fillId="0" borderId="6" xfId="0" applyFont="1" applyBorder="1" applyAlignment="1">
      <alignment horizontal="center"/>
    </xf>
    <xf numFmtId="0" fontId="11" fillId="0" borderId="7" xfId="0" applyFont="1" applyBorder="1"/>
    <xf numFmtId="0" fontId="11" fillId="0" borderId="8" xfId="0" applyFont="1" applyBorder="1" applyAlignment="1">
      <alignment horizontal="center"/>
    </xf>
    <xf numFmtId="0" fontId="11" fillId="0" borderId="9" xfId="0" applyFont="1" applyBorder="1" applyAlignment="1">
      <alignment horizontal="center"/>
    </xf>
    <xf numFmtId="2" fontId="11" fillId="0" borderId="5" xfId="0" applyNumberFormat="1" applyFont="1" applyBorder="1"/>
    <xf numFmtId="0" fontId="15" fillId="2" borderId="22" xfId="0" applyFont="1" applyFill="1" applyBorder="1" applyAlignment="1">
      <alignment horizontal="right" vertical="center" wrapText="1"/>
    </xf>
    <xf numFmtId="0" fontId="14" fillId="2" borderId="22" xfId="0" applyFont="1" applyFill="1" applyBorder="1" applyAlignment="1">
      <alignment horizontal="left" vertical="center" wrapText="1" readingOrder="1"/>
    </xf>
    <xf numFmtId="0" fontId="14" fillId="2" borderId="36" xfId="0" applyFont="1" applyFill="1" applyBorder="1" applyAlignment="1">
      <alignment horizontal="left" vertical="center" wrapText="1" readingOrder="1"/>
    </xf>
    <xf numFmtId="44" fontId="14" fillId="2" borderId="23" xfId="0" applyNumberFormat="1" applyFont="1" applyFill="1" applyBorder="1" applyAlignment="1">
      <alignment horizontal="left" vertical="center" wrapText="1" readingOrder="1"/>
    </xf>
    <xf numFmtId="44" fontId="12" fillId="0" borderId="4" xfId="1" applyFont="1" applyBorder="1" applyAlignment="1">
      <alignment vertical="center"/>
    </xf>
    <xf numFmtId="44" fontId="12" fillId="0" borderId="5" xfId="1" applyFont="1" applyBorder="1" applyAlignment="1">
      <alignment vertical="center"/>
    </xf>
    <xf numFmtId="9" fontId="12" fillId="0" borderId="5" xfId="0" applyNumberFormat="1" applyFont="1" applyBorder="1" applyAlignment="1">
      <alignment vertical="center"/>
    </xf>
    <xf numFmtId="44" fontId="12" fillId="0" borderId="5" xfId="0" applyNumberFormat="1" applyFont="1" applyBorder="1" applyAlignment="1">
      <alignment vertical="center"/>
    </xf>
    <xf numFmtId="0" fontId="14" fillId="2" borderId="7" xfId="0" applyFont="1" applyFill="1" applyBorder="1" applyAlignment="1">
      <alignment horizontal="left" vertical="center" wrapText="1" readingOrder="1"/>
    </xf>
    <xf numFmtId="0" fontId="11" fillId="0" borderId="8" xfId="0" applyFont="1" applyBorder="1"/>
    <xf numFmtId="44" fontId="27" fillId="0" borderId="9" xfId="0" applyNumberFormat="1" applyFont="1" applyBorder="1"/>
    <xf numFmtId="44" fontId="11" fillId="0" borderId="5" xfId="0" applyNumberFormat="1" applyFont="1" applyBorder="1"/>
    <xf numFmtId="168" fontId="12" fillId="0" borderId="17" xfId="0" applyNumberFormat="1" applyFont="1" applyFill="1" applyBorder="1" applyAlignment="1">
      <alignment vertical="center"/>
    </xf>
    <xf numFmtId="168" fontId="11" fillId="0" borderId="2" xfId="0" applyNumberFormat="1" applyFont="1" applyBorder="1"/>
    <xf numFmtId="168" fontId="11" fillId="0" borderId="5" xfId="0" applyNumberFormat="1" applyFont="1" applyBorder="1"/>
    <xf numFmtId="168" fontId="11" fillId="0" borderId="9" xfId="0" applyNumberFormat="1" applyFont="1" applyBorder="1"/>
    <xf numFmtId="0" fontId="27" fillId="0" borderId="6" xfId="0" applyFont="1" applyBorder="1" applyAlignment="1">
      <alignment horizontal="center"/>
    </xf>
    <xf numFmtId="10" fontId="11" fillId="0" borderId="5" xfId="0" applyNumberFormat="1" applyFont="1" applyBorder="1"/>
    <xf numFmtId="44" fontId="11" fillId="0" borderId="8" xfId="0" applyNumberFormat="1" applyFont="1" applyBorder="1"/>
    <xf numFmtId="168" fontId="11" fillId="0" borderId="8" xfId="0" applyNumberFormat="1" applyFont="1" applyBorder="1"/>
    <xf numFmtId="0" fontId="39" fillId="0" borderId="2" xfId="0" applyFont="1" applyBorder="1" applyAlignment="1">
      <alignment horizontal="center" vertical="center"/>
    </xf>
    <xf numFmtId="0" fontId="39" fillId="0" borderId="3" xfId="0" applyFont="1" applyBorder="1" applyAlignment="1">
      <alignment horizontal="center" vertical="center"/>
    </xf>
    <xf numFmtId="168" fontId="15" fillId="2" borderId="20" xfId="1" applyNumberFormat="1" applyFont="1" applyFill="1" applyBorder="1" applyAlignment="1">
      <alignment horizontal="right" vertical="center" wrapText="1"/>
    </xf>
    <xf numFmtId="0" fontId="11" fillId="0" borderId="9" xfId="0" applyFont="1" applyBorder="1"/>
    <xf numFmtId="0" fontId="27" fillId="0" borderId="4" xfId="0" applyFont="1" applyBorder="1"/>
    <xf numFmtId="17" fontId="11" fillId="0" borderId="4" xfId="0" quotePrefix="1" applyNumberFormat="1" applyFont="1" applyBorder="1"/>
    <xf numFmtId="0" fontId="19" fillId="4" borderId="72" xfId="0" applyFont="1" applyFill="1" applyBorder="1"/>
    <xf numFmtId="0" fontId="19" fillId="4" borderId="73" xfId="0" applyFont="1" applyFill="1" applyBorder="1"/>
    <xf numFmtId="168" fontId="19" fillId="4" borderId="74" xfId="0" applyNumberFormat="1" applyFont="1" applyFill="1" applyBorder="1"/>
    <xf numFmtId="166" fontId="11" fillId="0" borderId="5" xfId="0" applyNumberFormat="1" applyFont="1" applyBorder="1" applyAlignment="1">
      <alignment horizontal="right"/>
    </xf>
    <xf numFmtId="44" fontId="15" fillId="2" borderId="5" xfId="1" applyFont="1" applyFill="1" applyBorder="1" applyAlignment="1">
      <alignment horizontal="right" vertical="center" wrapText="1"/>
    </xf>
    <xf numFmtId="44" fontId="27" fillId="4" borderId="9" xfId="0" applyNumberFormat="1" applyFont="1" applyFill="1" applyBorder="1"/>
    <xf numFmtId="44" fontId="27" fillId="4" borderId="40" xfId="0" applyNumberFormat="1" applyFont="1" applyFill="1" applyBorder="1"/>
    <xf numFmtId="0" fontId="39" fillId="0" borderId="2" xfId="0" applyFont="1" applyBorder="1" applyAlignment="1">
      <alignment horizontal="center"/>
    </xf>
    <xf numFmtId="0" fontId="39" fillId="0" borderId="3" xfId="0" applyFont="1" applyBorder="1" applyAlignment="1">
      <alignment horizontal="center"/>
    </xf>
    <xf numFmtId="0" fontId="41" fillId="2" borderId="75" xfId="0" applyFont="1" applyFill="1" applyBorder="1" applyAlignment="1">
      <alignment horizontal="left" wrapText="1"/>
    </xf>
    <xf numFmtId="0" fontId="43" fillId="2" borderId="76" xfId="0" applyFont="1" applyFill="1" applyBorder="1" applyAlignment="1">
      <alignment horizontal="left" wrapText="1"/>
    </xf>
    <xf numFmtId="0" fontId="43" fillId="2" borderId="77" xfId="0" applyFont="1" applyFill="1" applyBorder="1" applyAlignment="1">
      <alignment horizontal="left" wrapText="1"/>
    </xf>
    <xf numFmtId="0" fontId="42" fillId="2" borderId="75" xfId="0" applyFont="1" applyFill="1" applyBorder="1" applyAlignment="1">
      <alignment horizontal="left" wrapText="1"/>
    </xf>
    <xf numFmtId="0" fontId="44" fillId="2" borderId="77" xfId="0" applyFont="1" applyFill="1" applyBorder="1" applyAlignment="1">
      <alignment horizontal="left" wrapText="1"/>
    </xf>
    <xf numFmtId="0" fontId="45" fillId="2" borderId="75" xfId="0" applyFont="1" applyFill="1" applyBorder="1" applyAlignment="1">
      <alignment horizontal="left" wrapText="1"/>
    </xf>
    <xf numFmtId="0" fontId="46" fillId="2" borderId="78" xfId="0" applyFont="1" applyFill="1" applyBorder="1" applyAlignment="1">
      <alignment horizontal="left" wrapText="1"/>
    </xf>
    <xf numFmtId="0" fontId="47" fillId="2" borderId="78" xfId="0" applyFont="1" applyFill="1" applyBorder="1" applyAlignment="1">
      <alignment horizontal="left" wrapText="1"/>
    </xf>
    <xf numFmtId="0" fontId="48" fillId="2" borderId="79" xfId="0" applyFont="1" applyFill="1" applyBorder="1" applyAlignment="1">
      <alignment horizontal="left" wrapText="1"/>
    </xf>
    <xf numFmtId="0" fontId="41" fillId="2" borderId="80" xfId="0" applyFont="1" applyFill="1" applyBorder="1" applyAlignment="1">
      <alignment horizontal="left" wrapText="1"/>
    </xf>
    <xf numFmtId="0" fontId="49" fillId="2" borderId="77" xfId="0" applyFont="1" applyFill="1" applyBorder="1" applyAlignment="1">
      <alignment horizontal="left" wrapText="1"/>
    </xf>
    <xf numFmtId="0" fontId="10" fillId="4" borderId="15" xfId="0" applyFont="1" applyFill="1" applyBorder="1" applyAlignment="1">
      <alignment horizontal="left" vertical="center" wrapText="1" readingOrder="1"/>
    </xf>
    <xf numFmtId="0" fontId="50" fillId="4" borderId="15" xfId="0" applyFont="1" applyFill="1" applyBorder="1" applyAlignment="1">
      <alignment horizontal="left" vertical="center" wrapText="1" readingOrder="1"/>
    </xf>
    <xf numFmtId="44" fontId="51" fillId="4" borderId="16" xfId="0" applyNumberFormat="1" applyFont="1" applyFill="1" applyBorder="1" applyAlignment="1">
      <alignment horizontal="right" vertical="center" wrapText="1"/>
    </xf>
    <xf numFmtId="10" fontId="50" fillId="4" borderId="16" xfId="0" applyNumberFormat="1" applyFont="1" applyFill="1" applyBorder="1" applyAlignment="1">
      <alignment horizontal="center" vertical="center" wrapText="1" readingOrder="1"/>
    </xf>
    <xf numFmtId="8" fontId="50" fillId="4" borderId="16" xfId="0" applyNumberFormat="1" applyFont="1" applyFill="1" applyBorder="1" applyAlignment="1">
      <alignment horizontal="right" vertical="center" wrapText="1" readingOrder="1"/>
    </xf>
    <xf numFmtId="165" fontId="52" fillId="4" borderId="37" xfId="0" applyNumberFormat="1" applyFont="1" applyFill="1" applyBorder="1" applyAlignment="1">
      <alignment horizontal="right" vertical="center" wrapText="1" readingOrder="1"/>
    </xf>
    <xf numFmtId="44" fontId="50" fillId="4" borderId="17" xfId="0" applyNumberFormat="1" applyFont="1" applyFill="1" applyBorder="1" applyAlignment="1">
      <alignment horizontal="right" vertical="center" wrapText="1"/>
    </xf>
    <xf numFmtId="0" fontId="13" fillId="0" borderId="15" xfId="0" applyFont="1" applyFill="1" applyBorder="1" applyAlignment="1">
      <alignment horizontal="left" vertical="center" wrapText="1" readingOrder="1"/>
    </xf>
    <xf numFmtId="0" fontId="19" fillId="4" borderId="1" xfId="0" applyFont="1" applyFill="1" applyBorder="1" applyAlignment="1">
      <alignment horizontal="centerContinuous"/>
    </xf>
    <xf numFmtId="0" fontId="17" fillId="4" borderId="2" xfId="0" applyFont="1" applyFill="1" applyBorder="1" applyAlignment="1">
      <alignment horizontal="centerContinuous"/>
    </xf>
    <xf numFmtId="0" fontId="17" fillId="4" borderId="3" xfId="0" applyFont="1" applyFill="1" applyBorder="1" applyAlignment="1">
      <alignment horizontal="centerContinuous"/>
    </xf>
    <xf numFmtId="0" fontId="4" fillId="0" borderId="0" xfId="0" applyFont="1" applyAlignment="1">
      <alignment horizontal="center"/>
    </xf>
    <xf numFmtId="0" fontId="0" fillId="0" borderId="8" xfId="0" applyBorder="1" applyAlignment="1">
      <alignment horizontal="center" vertical="center" wrapText="1"/>
    </xf>
    <xf numFmtId="0" fontId="0" fillId="0" borderId="8" xfId="0"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4" borderId="0" xfId="0" applyFont="1" applyFill="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3" fillId="0" borderId="0" xfId="0" applyFont="1" applyAlignment="1">
      <alignment horizontal="center" vertical="center"/>
    </xf>
    <xf numFmtId="0" fontId="2" fillId="4" borderId="5" xfId="0" applyFont="1" applyFill="1" applyBorder="1" applyAlignment="1">
      <alignment horizontal="center" vertical="center"/>
    </xf>
    <xf numFmtId="0" fontId="0" fillId="0" borderId="6" xfId="0" applyBorder="1" applyAlignment="1">
      <alignment horizontal="center" vertical="center"/>
    </xf>
    <xf numFmtId="0" fontId="0" fillId="0" borderId="59" xfId="0" applyBorder="1" applyAlignment="1">
      <alignment horizontal="center" vertical="center" wrapText="1"/>
    </xf>
    <xf numFmtId="0" fontId="0" fillId="0" borderId="61" xfId="0" applyBorder="1" applyAlignment="1">
      <alignment horizontal="center" vertical="center"/>
    </xf>
    <xf numFmtId="0" fontId="0" fillId="0" borderId="63" xfId="0" applyBorder="1" applyAlignment="1">
      <alignment horizontal="center" vertical="center"/>
    </xf>
    <xf numFmtId="0" fontId="7" fillId="0" borderId="18" xfId="0" applyFont="1" applyFill="1" applyBorder="1" applyAlignment="1">
      <alignment horizontal="center" vertical="center" wrapText="1" readingOrder="1"/>
    </xf>
    <xf numFmtId="0" fontId="7" fillId="0" borderId="21" xfId="0" applyFont="1" applyFill="1" applyBorder="1" applyAlignment="1">
      <alignment horizontal="center" vertical="center" wrapText="1" readingOrder="1"/>
    </xf>
    <xf numFmtId="0" fontId="7" fillId="0" borderId="19" xfId="0" applyFont="1" applyFill="1" applyBorder="1" applyAlignment="1">
      <alignment horizontal="center" vertical="center" wrapText="1" readingOrder="1"/>
    </xf>
    <xf numFmtId="0" fontId="7" fillId="0" borderId="22" xfId="0" applyFont="1" applyFill="1" applyBorder="1" applyAlignment="1">
      <alignment horizontal="center" vertical="center" wrapText="1" readingOrder="1"/>
    </xf>
    <xf numFmtId="0" fontId="7" fillId="0" borderId="19" xfId="0" applyFont="1" applyFill="1" applyBorder="1" applyAlignment="1">
      <alignment horizontal="right" vertical="center" wrapText="1" readingOrder="1"/>
    </xf>
    <xf numFmtId="0" fontId="7" fillId="0" borderId="22" xfId="0" applyFont="1" applyFill="1" applyBorder="1" applyAlignment="1">
      <alignment horizontal="right" vertical="center" wrapText="1" readingOrder="1"/>
    </xf>
    <xf numFmtId="0" fontId="7" fillId="0" borderId="20" xfId="0" applyFont="1" applyFill="1" applyBorder="1" applyAlignment="1">
      <alignment horizontal="center" vertical="center" wrapText="1" readingOrder="1"/>
    </xf>
    <xf numFmtId="0" fontId="7" fillId="0" borderId="23" xfId="0" applyFont="1" applyFill="1" applyBorder="1" applyAlignment="1">
      <alignment horizontal="center" vertical="center" wrapText="1" readingOrder="1"/>
    </xf>
    <xf numFmtId="0" fontId="19" fillId="4" borderId="55" xfId="0" applyFont="1" applyFill="1" applyBorder="1" applyAlignment="1">
      <alignment horizontal="left" vertical="center" wrapText="1" readingOrder="1"/>
    </xf>
    <xf numFmtId="0" fontId="19" fillId="4" borderId="56" xfId="0" applyFont="1" applyFill="1" applyBorder="1" applyAlignment="1">
      <alignment horizontal="left" vertical="center" wrapText="1" readingOrder="1"/>
    </xf>
    <xf numFmtId="0" fontId="19" fillId="4" borderId="57" xfId="0" applyFont="1" applyFill="1" applyBorder="1" applyAlignment="1">
      <alignment horizontal="left" vertical="center" wrapText="1" readingOrder="1"/>
    </xf>
    <xf numFmtId="0" fontId="29" fillId="4" borderId="49" xfId="0" applyFont="1" applyFill="1" applyBorder="1" applyAlignment="1">
      <alignment horizontal="left" vertical="center" wrapText="1" readingOrder="1"/>
    </xf>
    <xf numFmtId="0" fontId="0" fillId="0" borderId="50" xfId="0" applyBorder="1" applyAlignment="1">
      <alignment vertical="center"/>
    </xf>
    <xf numFmtId="44" fontId="31" fillId="2" borderId="13" xfId="0" applyNumberFormat="1" applyFont="1" applyFill="1" applyBorder="1" applyAlignment="1">
      <alignment horizontal="right" vertical="center" wrapText="1"/>
    </xf>
    <xf numFmtId="0" fontId="31" fillId="2" borderId="16" xfId="0" applyFont="1" applyFill="1" applyBorder="1" applyAlignment="1">
      <alignment horizontal="right" vertical="center" wrapText="1"/>
    </xf>
    <xf numFmtId="0" fontId="31" fillId="2" borderId="52" xfId="0" applyFont="1" applyFill="1" applyBorder="1" applyAlignment="1">
      <alignment horizontal="right" vertical="center" wrapText="1"/>
    </xf>
    <xf numFmtId="165" fontId="31" fillId="2" borderId="13" xfId="0" applyNumberFormat="1" applyFont="1" applyFill="1" applyBorder="1" applyAlignment="1">
      <alignment horizontal="center" vertical="center" wrapText="1"/>
    </xf>
    <xf numFmtId="165" fontId="31" fillId="2" borderId="16" xfId="0" applyNumberFormat="1" applyFont="1" applyFill="1" applyBorder="1" applyAlignment="1">
      <alignment horizontal="center" vertical="center" wrapText="1"/>
    </xf>
    <xf numFmtId="165" fontId="31" fillId="2" borderId="52" xfId="0" applyNumberFormat="1" applyFont="1" applyFill="1" applyBorder="1" applyAlignment="1">
      <alignment horizontal="center" vertical="center" wrapText="1"/>
    </xf>
    <xf numFmtId="8" fontId="32" fillId="2" borderId="14" xfId="0" applyNumberFormat="1" applyFont="1" applyFill="1" applyBorder="1" applyAlignment="1">
      <alignment horizontal="right" vertical="center" wrapText="1"/>
    </xf>
    <xf numFmtId="8" fontId="32" fillId="2" borderId="17" xfId="0" applyNumberFormat="1" applyFont="1" applyFill="1" applyBorder="1" applyAlignment="1">
      <alignment horizontal="right" vertical="center" wrapText="1"/>
    </xf>
    <xf numFmtId="8" fontId="32" fillId="2" borderId="53" xfId="0" applyNumberFormat="1" applyFont="1" applyFill="1" applyBorder="1" applyAlignment="1">
      <alignment horizontal="right" vertical="center" wrapText="1"/>
    </xf>
    <xf numFmtId="0" fontId="6" fillId="0" borderId="18" xfId="0" applyFont="1" applyFill="1" applyBorder="1" applyAlignment="1">
      <alignment horizontal="left" vertical="center" wrapText="1" readingOrder="1"/>
    </xf>
    <xf numFmtId="0" fontId="6" fillId="0" borderId="24" xfId="0" applyFont="1" applyFill="1" applyBorder="1" applyAlignment="1">
      <alignment horizontal="left" vertical="center" wrapText="1" readingOrder="1"/>
    </xf>
    <xf numFmtId="44" fontId="6" fillId="0" borderId="19" xfId="0" applyNumberFormat="1" applyFont="1" applyFill="1" applyBorder="1" applyAlignment="1">
      <alignment horizontal="left" vertical="center" wrapText="1" readingOrder="1"/>
    </xf>
    <xf numFmtId="0" fontId="6" fillId="0" borderId="25" xfId="0" applyFont="1" applyFill="1" applyBorder="1" applyAlignment="1">
      <alignment horizontal="left" vertical="center" wrapText="1" readingOrder="1"/>
    </xf>
    <xf numFmtId="0" fontId="7" fillId="0" borderId="19" xfId="0" applyFont="1" applyFill="1" applyBorder="1" applyAlignment="1">
      <alignment horizontal="justify" vertical="center" wrapText="1" readingOrder="1"/>
    </xf>
    <xf numFmtId="0" fontId="7" fillId="0" borderId="25" xfId="0" applyFont="1" applyFill="1" applyBorder="1" applyAlignment="1">
      <alignment horizontal="justify" vertical="center" wrapText="1" readingOrder="1"/>
    </xf>
    <xf numFmtId="44" fontId="8" fillId="0" borderId="20" xfId="0" applyNumberFormat="1" applyFont="1" applyFill="1" applyBorder="1" applyAlignment="1">
      <alignment horizontal="right" vertical="center" wrapText="1"/>
    </xf>
    <xf numFmtId="0" fontId="8" fillId="0" borderId="26" xfId="0" applyFont="1" applyFill="1" applyBorder="1" applyAlignment="1">
      <alignment horizontal="right" vertical="center" wrapText="1"/>
    </xf>
    <xf numFmtId="0" fontId="27" fillId="4" borderId="70" xfId="0" applyFont="1" applyFill="1" applyBorder="1" applyAlignment="1">
      <alignment horizontal="center"/>
    </xf>
    <xf numFmtId="0" fontId="2" fillId="4" borderId="71" xfId="0" applyFont="1" applyFill="1" applyBorder="1" applyAlignment="1">
      <alignment horizontal="center"/>
    </xf>
    <xf numFmtId="0" fontId="16" fillId="2" borderId="18" xfId="0" applyFont="1" applyFill="1" applyBorder="1" applyAlignment="1">
      <alignment horizontal="center" vertical="center" wrapText="1" readingOrder="1"/>
    </xf>
    <xf numFmtId="0" fontId="16" fillId="2" borderId="21" xfId="0" applyFont="1" applyFill="1" applyBorder="1" applyAlignment="1">
      <alignment horizontal="center" vertical="center" wrapText="1" readingOrder="1"/>
    </xf>
    <xf numFmtId="44" fontId="16" fillId="3" borderId="19" xfId="1" applyFont="1" applyFill="1" applyBorder="1" applyAlignment="1">
      <alignment horizontal="center" vertical="center" wrapText="1" readingOrder="1"/>
    </xf>
    <xf numFmtId="44" fontId="16" fillId="3" borderId="22" xfId="1" applyFont="1" applyFill="1" applyBorder="1" applyAlignment="1">
      <alignment horizontal="center" vertical="center" wrapText="1" readingOrder="1"/>
    </xf>
    <xf numFmtId="0" fontId="16" fillId="3" borderId="19" xfId="0" applyFont="1" applyFill="1" applyBorder="1" applyAlignment="1">
      <alignment horizontal="right" vertical="center" wrapText="1" readingOrder="1"/>
    </xf>
    <xf numFmtId="0" fontId="16" fillId="3" borderId="22" xfId="0" applyFont="1" applyFill="1" applyBorder="1" applyAlignment="1">
      <alignment horizontal="right" vertical="center" wrapText="1" readingOrder="1"/>
    </xf>
    <xf numFmtId="0" fontId="16" fillId="3" borderId="20" xfId="0" applyFont="1" applyFill="1" applyBorder="1" applyAlignment="1">
      <alignment horizontal="center" vertical="center" wrapText="1" readingOrder="1"/>
    </xf>
    <xf numFmtId="0" fontId="16" fillId="3" borderId="23" xfId="0" applyFont="1" applyFill="1" applyBorder="1" applyAlignment="1">
      <alignment horizontal="center" vertical="center" wrapText="1" readingOrder="1"/>
    </xf>
    <xf numFmtId="0" fontId="14" fillId="2" borderId="18" xfId="0" applyFont="1" applyFill="1" applyBorder="1" applyAlignment="1">
      <alignment horizontal="left" vertical="center" wrapText="1" readingOrder="1"/>
    </xf>
    <xf numFmtId="0" fontId="14" fillId="2" borderId="24" xfId="0" applyFont="1" applyFill="1" applyBorder="1" applyAlignment="1">
      <alignment horizontal="left" vertical="center" wrapText="1" readingOrder="1"/>
    </xf>
    <xf numFmtId="44" fontId="14" fillId="2" borderId="19" xfId="1" applyFont="1" applyFill="1" applyBorder="1" applyAlignment="1">
      <alignment horizontal="left" vertical="center" wrapText="1" readingOrder="1"/>
    </xf>
    <xf numFmtId="44" fontId="14" fillId="2" borderId="25" xfId="1" applyFont="1" applyFill="1" applyBorder="1" applyAlignment="1">
      <alignment horizontal="left" vertical="center" wrapText="1" readingOrder="1"/>
    </xf>
    <xf numFmtId="0" fontId="16" fillId="2" borderId="19" xfId="0" applyFont="1" applyFill="1" applyBorder="1" applyAlignment="1">
      <alignment horizontal="justify" vertical="center" wrapText="1" readingOrder="1"/>
    </xf>
    <xf numFmtId="0" fontId="16" fillId="2" borderId="25" xfId="0" applyFont="1" applyFill="1" applyBorder="1" applyAlignment="1">
      <alignment horizontal="justify" vertical="center" wrapText="1" readingOrder="1"/>
    </xf>
    <xf numFmtId="44" fontId="15" fillId="2" borderId="20" xfId="0" applyNumberFormat="1" applyFont="1" applyFill="1" applyBorder="1" applyAlignment="1">
      <alignment horizontal="right" vertical="center" wrapText="1"/>
    </xf>
    <xf numFmtId="0" fontId="15" fillId="2" borderId="26" xfId="0" applyFont="1" applyFill="1" applyBorder="1" applyAlignment="1">
      <alignment horizontal="right" vertical="center" wrapText="1"/>
    </xf>
    <xf numFmtId="44" fontId="25" fillId="2" borderId="20" xfId="0" applyNumberFormat="1" applyFont="1" applyFill="1" applyBorder="1" applyAlignment="1">
      <alignment horizontal="right" vertical="center" wrapText="1"/>
    </xf>
    <xf numFmtId="0" fontId="25" fillId="2" borderId="26" xfId="0" applyFont="1" applyFill="1" applyBorder="1" applyAlignment="1">
      <alignment horizontal="right" vertical="center" wrapText="1"/>
    </xf>
    <xf numFmtId="0" fontId="27"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19" fillId="4" borderId="58" xfId="0" applyFont="1" applyFill="1" applyBorder="1" applyAlignment="1">
      <alignment horizontal="center"/>
    </xf>
    <xf numFmtId="0" fontId="40" fillId="4" borderId="68" xfId="0" applyFont="1" applyFill="1" applyBorder="1" applyAlignment="1">
      <alignment horizontal="center"/>
    </xf>
    <xf numFmtId="0" fontId="40" fillId="4" borderId="69" xfId="0" applyFont="1" applyFill="1" applyBorder="1" applyAlignment="1">
      <alignment horizontal="center"/>
    </xf>
    <xf numFmtId="0" fontId="34" fillId="4"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38100</xdr:rowOff>
    </xdr:from>
    <xdr:to>
      <xdr:col>11</xdr:col>
      <xdr:colOff>257175</xdr:colOff>
      <xdr:row>19</xdr:row>
      <xdr:rowOff>171450</xdr:rowOff>
    </xdr:to>
    <xdr:sp macro="" textlink="">
      <xdr:nvSpPr>
        <xdr:cNvPr id="2" name="ZoneTexte 1">
          <a:extLst>
            <a:ext uri="{FF2B5EF4-FFF2-40B4-BE49-F238E27FC236}">
              <a16:creationId xmlns:a16="http://schemas.microsoft.com/office/drawing/2014/main" id="{5D591D36-47C2-4F59-A2CC-1D8E48F7AC59}"/>
            </a:ext>
          </a:extLst>
        </xdr:cNvPr>
        <xdr:cNvSpPr txBox="1"/>
      </xdr:nvSpPr>
      <xdr:spPr>
        <a:xfrm>
          <a:off x="247650" y="228600"/>
          <a:ext cx="839152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Ce</a:t>
          </a:r>
          <a:r>
            <a:rPr lang="fr-FR" sz="1100" baseline="0"/>
            <a:t> cas est le deuxième d'une série basée sur le type d'épreuves que vous aurez à présenter à l'examen en module CCP Paie</a:t>
          </a:r>
        </a:p>
        <a:p>
          <a:endParaRPr lang="fr-FR" sz="1100" baseline="0"/>
        </a:p>
        <a:p>
          <a:r>
            <a:rPr lang="fr-FR" sz="1600" b="1" baseline="0">
              <a:solidFill>
                <a:srgbClr val="FF0000"/>
              </a:solidFill>
            </a:rPr>
            <a:t>Ne le reliez pas au premier cas : Force 1. J'ai modifié l'énoncé. Les salaires, anciennetés, primes, mutuelles, position du géeant et autres éléments sont totalement différents. Oubliez donc l'énoncé du cas force 1</a:t>
          </a:r>
        </a:p>
        <a:p>
          <a:endParaRPr lang="fr-FR" sz="1100" baseline="0"/>
        </a:p>
        <a:p>
          <a:pPr eaLnBrk="1" fontAlgn="auto" latinLnBrk="0" hangingPunct="1"/>
          <a:r>
            <a:rPr lang="fr-FR" sz="1100" b="1">
              <a:solidFill>
                <a:schemeClr val="dk1"/>
              </a:solidFill>
              <a:effectLst/>
              <a:latin typeface="+mn-lt"/>
              <a:ea typeface="+mn-ea"/>
              <a:cs typeface="+mn-cs"/>
            </a:rPr>
            <a:t>Il s'agit de calculer et présenter </a:t>
          </a:r>
          <a:r>
            <a:rPr lang="fr-FR" sz="1100" b="1" baseline="0">
              <a:solidFill>
                <a:schemeClr val="dk1"/>
              </a:solidFill>
              <a:effectLst/>
              <a:latin typeface="+mn-lt"/>
              <a:ea typeface="+mn-ea"/>
              <a:cs typeface="+mn-cs"/>
            </a:rPr>
            <a:t>les bulletins de paie dans les onglets suivants. Utilisez vos maquettes de bulletins.</a:t>
          </a:r>
          <a:endParaRPr lang="fr-FR">
            <a:effectLst/>
          </a:endParaRPr>
        </a:p>
        <a:p>
          <a:endParaRPr lang="fr-FR" sz="1100" baseline="0"/>
        </a:p>
        <a:p>
          <a:r>
            <a:rPr lang="fr-FR" sz="1100" b="1" baseline="0">
              <a:solidFill>
                <a:schemeClr val="dk1"/>
              </a:solidFill>
              <a:effectLst/>
              <a:latin typeface="+mn-lt"/>
              <a:ea typeface="+mn-ea"/>
              <a:cs typeface="+mn-cs"/>
            </a:rPr>
            <a:t>Prenez l'habitude de détailler sur la feuille du bulletin ou une feuille intercalaire, les calculs importants tels la réduction générale de cotisations, les éventuels calculs de tranches de salaires,  les rubriques d'autres contributions dues à l'employeur, dont évolution de la rémunération .......</a:t>
          </a:r>
          <a:endParaRPr lang="fr-FR">
            <a:effectLst/>
          </a:endParaRPr>
        </a:p>
        <a:p>
          <a:endParaRPr lang="fr-FR" sz="1100" baseline="0"/>
        </a:p>
        <a:p>
          <a:r>
            <a:rPr lang="fr-FR" sz="1100" b="1" baseline="0"/>
            <a:t>La durée est de 4 heures mais si vous n'arrivez pas à le faire en temps, pas de panique, poursuivez malgré tout. </a:t>
          </a:r>
        </a:p>
        <a:p>
          <a:r>
            <a:rPr lang="fr-FR" sz="1100" b="1" baseline="0"/>
            <a:t>C'est le deuxième cas de ce type à effectuer mais avec plus de données que le premier. Il est donc normal que vous ayez des difficultés. A ce stade, traiter parfaitement ce cas en temps relève de l'exploit !!!</a:t>
          </a:r>
        </a:p>
        <a:p>
          <a:r>
            <a:rPr lang="fr-FR" sz="1100" b="1" baseline="0"/>
            <a:t>Pour être à l'aise avec ce type d'épreuve, il faut de la pratique et les choses s'arrangent en général au troisième  cas.</a:t>
          </a:r>
        </a:p>
        <a:p>
          <a:endParaRPr lang="fr-FR" sz="1100" b="1" baseline="0"/>
        </a:p>
        <a:p>
          <a:r>
            <a:rPr lang="fr-FR" sz="1100" b="1" baseline="0"/>
            <a:t>Bon courage</a:t>
          </a:r>
        </a:p>
        <a:p>
          <a:endParaRPr lang="fr-FR" sz="1100" baseline="0"/>
        </a:p>
        <a:p>
          <a:endParaRPr lang="fr-FR"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0</xdr:row>
      <xdr:rowOff>123824</xdr:rowOff>
    </xdr:from>
    <xdr:to>
      <xdr:col>6</xdr:col>
      <xdr:colOff>295274</xdr:colOff>
      <xdr:row>13</xdr:row>
      <xdr:rowOff>171449</xdr:rowOff>
    </xdr:to>
    <xdr:sp macro="" textlink="">
      <xdr:nvSpPr>
        <xdr:cNvPr id="2" name="ZoneTexte 1">
          <a:extLst>
            <a:ext uri="{FF2B5EF4-FFF2-40B4-BE49-F238E27FC236}">
              <a16:creationId xmlns:a16="http://schemas.microsoft.com/office/drawing/2014/main" id="{95EB0973-C41A-4172-9BDC-7DF7567784C6}"/>
            </a:ext>
          </a:extLst>
        </xdr:cNvPr>
        <xdr:cNvSpPr txBox="1"/>
      </xdr:nvSpPr>
      <xdr:spPr>
        <a:xfrm>
          <a:off x="85724" y="123824"/>
          <a:ext cx="7924800" cy="252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baseline="0"/>
            <a:t>Le sujet du cas figure sur cet onglet et les  onglets suivants </a:t>
          </a:r>
        </a:p>
        <a:p>
          <a:endParaRPr lang="fr-FR" sz="1200" b="1" baseline="0"/>
        </a:p>
        <a:p>
          <a:pPr marL="0" marR="0" lvl="0" indent="0" defTabSz="91440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Il s'agit de calculer et présenter </a:t>
          </a:r>
          <a:r>
            <a:rPr lang="fr-FR" sz="1100" b="1" baseline="0">
              <a:solidFill>
                <a:schemeClr val="dk1"/>
              </a:solidFill>
              <a:effectLst/>
              <a:latin typeface="+mn-lt"/>
              <a:ea typeface="+mn-ea"/>
              <a:cs typeface="+mn-cs"/>
            </a:rPr>
            <a:t>les bulletins de paie dans les onglets suivants. Utilisez vos maquettes de bulletins.</a:t>
          </a:r>
          <a:endParaRPr lang="fr-FR" sz="1200">
            <a:effectLst/>
          </a:endParaRPr>
        </a:p>
        <a:p>
          <a:endParaRPr lang="fr-FR" sz="1200" b="1" baseline="0"/>
        </a:p>
        <a:p>
          <a:r>
            <a:rPr lang="fr-FR" sz="1200" b="1" baseline="0"/>
            <a:t>Prenez l'habitude de détailler sur la feuille du bulletin ou une feuille intercalaire, les calculs importants tels la réduction générale de cotisations, les éventuels calculs de tranches de salaires,  les rubriques d'autres contributions dues à l'employeur, dont évolution de la rémunération .......</a:t>
          </a:r>
        </a:p>
        <a:p>
          <a:endParaRPr lang="fr-FR" sz="1200" b="1" baseline="0"/>
        </a:p>
        <a:p>
          <a:r>
            <a:rPr lang="fr-FR" sz="1200" b="1" baseline="0"/>
            <a:t>N'en faites pas de trop, il s'agit simplement de présenter au jury le type de calcul que vous avez utilisé  afin qu'il comprenne votre raisonnement.</a:t>
          </a:r>
        </a:p>
        <a:p>
          <a:endParaRPr lang="fr-FR" sz="1200" b="1" baseline="0"/>
        </a:p>
        <a:p>
          <a:r>
            <a:rPr lang="fr-FR" sz="1200" b="1" baseline="0"/>
            <a:t>Durée : 4 heures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1276350</xdr:colOff>
      <xdr:row>10</xdr:row>
      <xdr:rowOff>28575</xdr:rowOff>
    </xdr:from>
    <xdr:to>
      <xdr:col>4</xdr:col>
      <xdr:colOff>714375</xdr:colOff>
      <xdr:row>22</xdr:row>
      <xdr:rowOff>28575</xdr:rowOff>
    </xdr:to>
    <xdr:sp macro="" textlink="">
      <xdr:nvSpPr>
        <xdr:cNvPr id="2" name="ZoneTexte 1">
          <a:extLst>
            <a:ext uri="{FF2B5EF4-FFF2-40B4-BE49-F238E27FC236}">
              <a16:creationId xmlns:a16="http://schemas.microsoft.com/office/drawing/2014/main" id="{96319756-C703-4E90-B6E2-53A6B9558511}"/>
            </a:ext>
          </a:extLst>
        </xdr:cNvPr>
        <xdr:cNvSpPr txBox="1"/>
      </xdr:nvSpPr>
      <xdr:spPr>
        <a:xfrm>
          <a:off x="1276350" y="3248025"/>
          <a:ext cx="5934075"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Valette prend sa cinquième semaine au mois de mai.</a:t>
          </a:r>
        </a:p>
        <a:p>
          <a:r>
            <a:rPr lang="fr-FR" sz="1100" b="1"/>
            <a:t>Les 4 semaines de congés</a:t>
          </a:r>
          <a:r>
            <a:rPr lang="fr-FR" sz="1100" b="1" baseline="0"/>
            <a:t> précédents avaient été prises et rémunérées ainsi :</a:t>
          </a:r>
        </a:p>
        <a:p>
          <a:endParaRPr lang="fr-FR" sz="1100" b="1" baseline="0"/>
        </a:p>
        <a:p>
          <a:r>
            <a:rPr lang="fr-FR" sz="1100" b="1" baseline="0"/>
            <a:t>3 semaines prises en juillet 2019;  Indemnité versée 2 250 €</a:t>
          </a:r>
        </a:p>
        <a:p>
          <a:r>
            <a:rPr lang="fr-FR" sz="1100" b="1" baseline="0"/>
            <a:t>1 semaine prise en aout 2019; indemnité versée : 750 €</a:t>
          </a:r>
        </a:p>
        <a:p>
          <a:endParaRPr lang="fr-FR" sz="1100" b="1" baseline="0"/>
        </a:p>
        <a:p>
          <a:r>
            <a:rPr lang="fr-FR" sz="1100" b="1" baseline="0"/>
            <a:t>Le salaire brut cumulé de la période de référence (Juin 2018 à mai 2019 s'établissait ainsi :</a:t>
          </a:r>
        </a:p>
        <a:p>
          <a:r>
            <a:rPr lang="fr-FR" sz="1100" b="1" baseline="0"/>
            <a:t>Salaire de base : 39 600 €</a:t>
          </a:r>
        </a:p>
        <a:p>
          <a:r>
            <a:rPr lang="fr-FR" sz="1100" b="1" baseline="0"/>
            <a:t>Prime exceptionnelle : 200 €</a:t>
          </a:r>
        </a:p>
        <a:p>
          <a:r>
            <a:rPr lang="fr-FR" sz="1100" b="1" baseline="0"/>
            <a:t>Prime de rendement : 800 €</a:t>
          </a:r>
        </a:p>
        <a:p>
          <a:r>
            <a:rPr lang="fr-FR" sz="1100" b="1" baseline="0"/>
            <a:t>Soit au total : 40 600 €</a:t>
          </a:r>
          <a:endParaRPr lang="fr-FR" sz="1100" b="1"/>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631ED-52E7-4D0B-A14B-663782952B4D}">
  <sheetPr>
    <tabColor rgb="FFC00000"/>
  </sheetPr>
  <dimension ref="A1"/>
  <sheetViews>
    <sheetView workbookViewId="0">
      <selection activeCell="H26" sqref="H26"/>
    </sheetView>
    <sheetView workbookViewId="1">
      <selection activeCell="H26" sqref="H26"/>
    </sheetView>
  </sheetViews>
  <sheetFormatPr baseColWidth="10"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2"/>
  <sheetViews>
    <sheetView zoomScaleNormal="100" workbookViewId="0">
      <selection activeCell="F8" sqref="F8"/>
    </sheetView>
    <sheetView workbookViewId="1"/>
  </sheetViews>
  <sheetFormatPr baseColWidth="10" defaultRowHeight="15" x14ac:dyDescent="0.25"/>
  <cols>
    <col min="1" max="16384" width="11.42578125" style="33"/>
  </cols>
  <sheetData>
    <row r="2" spans="1:6" x14ac:dyDescent="0.25">
      <c r="A2" s="302" t="s">
        <v>148</v>
      </c>
      <c r="B2" s="303"/>
      <c r="C2" s="303"/>
      <c r="D2" s="303"/>
      <c r="E2" s="303"/>
      <c r="F2" s="30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46B44-6C44-45FD-A012-B974AE88EFFC}">
  <dimension ref="A1:A86"/>
  <sheetViews>
    <sheetView workbookViewId="0"/>
    <sheetView topLeftCell="A34" workbookViewId="1">
      <selection activeCell="F27" sqref="F27"/>
    </sheetView>
  </sheetViews>
  <sheetFormatPr baseColWidth="10" defaultRowHeight="15" x14ac:dyDescent="0.25"/>
  <cols>
    <col min="1" max="1" width="64.28515625" customWidth="1"/>
  </cols>
  <sheetData>
    <row r="1" spans="1:1" ht="18" x14ac:dyDescent="0.3">
      <c r="A1" s="382" t="s">
        <v>14</v>
      </c>
    </row>
    <row r="2" spans="1:1" ht="18" x14ac:dyDescent="0.3">
      <c r="A2" s="383" t="s">
        <v>18</v>
      </c>
    </row>
    <row r="3" spans="1:1" ht="18" x14ac:dyDescent="0.3">
      <c r="A3" s="383" t="s">
        <v>214</v>
      </c>
    </row>
    <row r="4" spans="1:1" ht="18" x14ac:dyDescent="0.3">
      <c r="A4" s="383" t="s">
        <v>215</v>
      </c>
    </row>
    <row r="5" spans="1:1" ht="18" x14ac:dyDescent="0.3">
      <c r="A5" s="383" t="s">
        <v>216</v>
      </c>
    </row>
    <row r="6" spans="1:1" ht="18" x14ac:dyDescent="0.3">
      <c r="A6" s="385"/>
    </row>
    <row r="7" spans="1:1" ht="18" x14ac:dyDescent="0.3">
      <c r="A7" s="383"/>
    </row>
    <row r="8" spans="1:1" ht="18" x14ac:dyDescent="0.3">
      <c r="A8" s="385" t="s">
        <v>217</v>
      </c>
    </row>
    <row r="9" spans="1:1" ht="18" x14ac:dyDescent="0.3">
      <c r="A9" s="383" t="s">
        <v>218</v>
      </c>
    </row>
    <row r="10" spans="1:1" ht="18" x14ac:dyDescent="0.3">
      <c r="A10" s="383" t="s">
        <v>219</v>
      </c>
    </row>
    <row r="11" spans="1:1" ht="18" x14ac:dyDescent="0.3">
      <c r="A11" s="383" t="s">
        <v>220</v>
      </c>
    </row>
    <row r="12" spans="1:1" ht="18" x14ac:dyDescent="0.3">
      <c r="A12" s="383" t="s">
        <v>221</v>
      </c>
    </row>
    <row r="13" spans="1:1" ht="18" x14ac:dyDescent="0.3">
      <c r="A13" s="383"/>
    </row>
    <row r="14" spans="1:1" ht="36" x14ac:dyDescent="0.3">
      <c r="A14" s="385" t="s">
        <v>222</v>
      </c>
    </row>
    <row r="15" spans="1:1" ht="18" x14ac:dyDescent="0.3">
      <c r="A15" s="383"/>
    </row>
    <row r="16" spans="1:1" ht="18" x14ac:dyDescent="0.3">
      <c r="A16" s="385" t="s">
        <v>39</v>
      </c>
    </row>
    <row r="17" spans="1:1" ht="18" x14ac:dyDescent="0.3">
      <c r="A17" s="383" t="s">
        <v>223</v>
      </c>
    </row>
    <row r="18" spans="1:1" ht="18" x14ac:dyDescent="0.3">
      <c r="A18" s="383" t="s">
        <v>224</v>
      </c>
    </row>
    <row r="19" spans="1:1" ht="18" x14ac:dyDescent="0.3">
      <c r="A19" s="383" t="s">
        <v>225</v>
      </c>
    </row>
    <row r="20" spans="1:1" ht="18" x14ac:dyDescent="0.3">
      <c r="A20" s="383" t="s">
        <v>226</v>
      </c>
    </row>
    <row r="21" spans="1:1" ht="18" x14ac:dyDescent="0.3">
      <c r="A21" s="383" t="s">
        <v>245</v>
      </c>
    </row>
    <row r="22" spans="1:1" ht="18" x14ac:dyDescent="0.3">
      <c r="A22" s="383" t="s">
        <v>246</v>
      </c>
    </row>
    <row r="23" spans="1:1" ht="18" x14ac:dyDescent="0.3">
      <c r="A23" s="385" t="s">
        <v>227</v>
      </c>
    </row>
    <row r="24" spans="1:1" ht="18" x14ac:dyDescent="0.3">
      <c r="A24" s="383" t="s">
        <v>228</v>
      </c>
    </row>
    <row r="25" spans="1:1" ht="18" x14ac:dyDescent="0.3">
      <c r="A25" s="391" t="s">
        <v>229</v>
      </c>
    </row>
    <row r="26" spans="1:1" ht="18" x14ac:dyDescent="0.3">
      <c r="A26" s="383"/>
    </row>
    <row r="27" spans="1:1" ht="18" x14ac:dyDescent="0.3">
      <c r="A27" s="385" t="s">
        <v>230</v>
      </c>
    </row>
    <row r="28" spans="1:1" ht="18" x14ac:dyDescent="0.3">
      <c r="A28" s="383" t="s">
        <v>106</v>
      </c>
    </row>
    <row r="29" spans="1:1" ht="18" x14ac:dyDescent="0.3">
      <c r="A29" s="383" t="s">
        <v>86</v>
      </c>
    </row>
    <row r="30" spans="1:1" ht="18" x14ac:dyDescent="0.3">
      <c r="A30" s="383"/>
    </row>
    <row r="31" spans="1:1" ht="18" x14ac:dyDescent="0.3">
      <c r="A31" s="385" t="s">
        <v>231</v>
      </c>
    </row>
    <row r="32" spans="1:1" ht="18" x14ac:dyDescent="0.3">
      <c r="A32" s="383"/>
    </row>
    <row r="33" spans="1:1" ht="18" x14ac:dyDescent="0.3">
      <c r="A33" s="385" t="s">
        <v>232</v>
      </c>
    </row>
    <row r="34" spans="1:1" ht="18" x14ac:dyDescent="0.3">
      <c r="A34" s="383"/>
    </row>
    <row r="35" spans="1:1" ht="18" x14ac:dyDescent="0.3">
      <c r="A35" s="383" t="s">
        <v>233</v>
      </c>
    </row>
    <row r="36" spans="1:1" ht="18" x14ac:dyDescent="0.3">
      <c r="A36" s="385" t="s">
        <v>234</v>
      </c>
    </row>
    <row r="37" spans="1:1" ht="18" x14ac:dyDescent="0.3">
      <c r="A37" s="383"/>
    </row>
    <row r="38" spans="1:1" ht="18" x14ac:dyDescent="0.3">
      <c r="A38" s="383" t="s">
        <v>235</v>
      </c>
    </row>
    <row r="39" spans="1:1" ht="18" x14ac:dyDescent="0.3">
      <c r="A39" s="385" t="s">
        <v>236</v>
      </c>
    </row>
    <row r="40" spans="1:1" ht="18" x14ac:dyDescent="0.3">
      <c r="A40" s="383" t="s">
        <v>237</v>
      </c>
    </row>
    <row r="41" spans="1:1" ht="18" x14ac:dyDescent="0.3">
      <c r="A41" s="383" t="s">
        <v>238</v>
      </c>
    </row>
    <row r="42" spans="1:1" ht="18" x14ac:dyDescent="0.3">
      <c r="A42" s="383" t="s">
        <v>239</v>
      </c>
    </row>
    <row r="43" spans="1:1" ht="18" x14ac:dyDescent="0.3">
      <c r="A43" s="385" t="s">
        <v>240</v>
      </c>
    </row>
    <row r="44" spans="1:1" ht="18" x14ac:dyDescent="0.3">
      <c r="A44" s="383" t="s">
        <v>241</v>
      </c>
    </row>
    <row r="45" spans="1:1" ht="18.75" thickBot="1" x14ac:dyDescent="0.35">
      <c r="A45" s="383" t="s">
        <v>242</v>
      </c>
    </row>
    <row r="46" spans="1:1" ht="61.5" thickTop="1" thickBot="1" x14ac:dyDescent="0.45">
      <c r="A46" s="387" t="s">
        <v>243</v>
      </c>
    </row>
    <row r="47" spans="1:1" ht="36" thickTop="1" thickBot="1" x14ac:dyDescent="0.3">
      <c r="A47" s="388" t="s">
        <v>244</v>
      </c>
    </row>
    <row r="48" spans="1:1" ht="18.75" thickTop="1" thickBot="1" x14ac:dyDescent="0.3">
      <c r="A48" s="389" t="s">
        <v>51</v>
      </c>
    </row>
    <row r="49" spans="1:1" ht="18" x14ac:dyDescent="0.3">
      <c r="A49" s="381"/>
    </row>
    <row r="50" spans="1:1" ht="18" x14ac:dyDescent="0.3">
      <c r="A50" s="381"/>
    </row>
    <row r="51" spans="1:1" ht="18" x14ac:dyDescent="0.3">
      <c r="A51" s="381"/>
    </row>
    <row r="52" spans="1:1" ht="18" x14ac:dyDescent="0.3">
      <c r="A52" s="381"/>
    </row>
    <row r="53" spans="1:1" ht="18" x14ac:dyDescent="0.3">
      <c r="A53" s="381"/>
    </row>
    <row r="54" spans="1:1" ht="18" x14ac:dyDescent="0.3">
      <c r="A54" s="384"/>
    </row>
    <row r="55" spans="1:1" ht="18" x14ac:dyDescent="0.3">
      <c r="A55" s="381"/>
    </row>
    <row r="56" spans="1:1" ht="18" x14ac:dyDescent="0.3">
      <c r="A56" s="381"/>
    </row>
    <row r="57" spans="1:1" ht="18" x14ac:dyDescent="0.3">
      <c r="A57" s="381"/>
    </row>
    <row r="58" spans="1:1" ht="18" x14ac:dyDescent="0.3">
      <c r="A58" s="381"/>
    </row>
    <row r="59" spans="1:1" ht="18" x14ac:dyDescent="0.3">
      <c r="A59" s="381"/>
    </row>
    <row r="60" spans="1:1" ht="18" x14ac:dyDescent="0.3">
      <c r="A60" s="384"/>
    </row>
    <row r="61" spans="1:1" ht="18" x14ac:dyDescent="0.3">
      <c r="A61" s="381"/>
    </row>
    <row r="62" spans="1:1" ht="18" x14ac:dyDescent="0.3">
      <c r="A62" s="381"/>
    </row>
    <row r="63" spans="1:1" ht="18" x14ac:dyDescent="0.3">
      <c r="A63" s="381"/>
    </row>
    <row r="64" spans="1:1" ht="18" x14ac:dyDescent="0.3">
      <c r="A64" s="384"/>
    </row>
    <row r="65" spans="1:1" ht="18" x14ac:dyDescent="0.3">
      <c r="A65" s="381"/>
    </row>
    <row r="66" spans="1:1" ht="18" x14ac:dyDescent="0.3">
      <c r="A66" s="381"/>
    </row>
    <row r="67" spans="1:1" ht="31.5" x14ac:dyDescent="0.5">
      <c r="A67" s="386"/>
    </row>
    <row r="68" spans="1:1" ht="18" x14ac:dyDescent="0.3">
      <c r="A68" s="381"/>
    </row>
    <row r="69" spans="1:1" ht="18" x14ac:dyDescent="0.3">
      <c r="A69" s="384"/>
    </row>
    <row r="70" spans="1:1" ht="18" x14ac:dyDescent="0.3">
      <c r="A70" s="381"/>
    </row>
    <row r="71" spans="1:1" ht="18" x14ac:dyDescent="0.3">
      <c r="A71" s="384"/>
    </row>
    <row r="72" spans="1:1" ht="18" x14ac:dyDescent="0.3">
      <c r="A72" s="381"/>
    </row>
    <row r="73" spans="1:1" ht="18" x14ac:dyDescent="0.3">
      <c r="A73" s="381"/>
    </row>
    <row r="74" spans="1:1" ht="18" x14ac:dyDescent="0.3">
      <c r="A74" s="381"/>
    </row>
    <row r="75" spans="1:1" ht="18" x14ac:dyDescent="0.3">
      <c r="A75" s="381"/>
    </row>
    <row r="76" spans="1:1" ht="18" x14ac:dyDescent="0.3">
      <c r="A76" s="381"/>
    </row>
    <row r="77" spans="1:1" ht="18" x14ac:dyDescent="0.3">
      <c r="A77" s="381"/>
    </row>
    <row r="78" spans="1:1" ht="18" x14ac:dyDescent="0.3">
      <c r="A78" s="381"/>
    </row>
    <row r="79" spans="1:1" ht="18" x14ac:dyDescent="0.3">
      <c r="A79" s="381"/>
    </row>
    <row r="80" spans="1:1" ht="18" x14ac:dyDescent="0.3">
      <c r="A80" s="381"/>
    </row>
    <row r="81" spans="1:1" ht="18" x14ac:dyDescent="0.3">
      <c r="A81" s="381"/>
    </row>
    <row r="82" spans="1:1" ht="18" x14ac:dyDescent="0.3">
      <c r="A82" s="381"/>
    </row>
    <row r="83" spans="1:1" ht="18" x14ac:dyDescent="0.3">
      <c r="A83" s="381"/>
    </row>
    <row r="84" spans="1:1" ht="18" x14ac:dyDescent="0.3">
      <c r="A84" s="381"/>
    </row>
    <row r="85" spans="1:1" ht="18.75" thickBot="1" x14ac:dyDescent="0.35">
      <c r="A85" s="390"/>
    </row>
    <row r="86" spans="1:1" ht="15.75" thickTop="1"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E8F3F-088C-48B2-81E0-B50D1CAE32AA}">
  <dimension ref="A1:J80"/>
  <sheetViews>
    <sheetView zoomScaleNormal="100" workbookViewId="0">
      <selection activeCell="B5" sqref="B5"/>
    </sheetView>
    <sheetView topLeftCell="A10" workbookViewId="1">
      <selection activeCell="A31" sqref="A31"/>
    </sheetView>
  </sheetViews>
  <sheetFormatPr baseColWidth="10" defaultRowHeight="12.75" x14ac:dyDescent="0.25"/>
  <cols>
    <col min="1" max="1" width="55.28515625" style="131" bestFit="1" customWidth="1"/>
    <col min="2" max="2" width="13.7109375" style="131" customWidth="1"/>
    <col min="3" max="3" width="11.42578125" style="131"/>
    <col min="4" max="4" width="21.28515625" style="131" bestFit="1" customWidth="1"/>
    <col min="5" max="5" width="11.7109375" style="131" bestFit="1" customWidth="1"/>
    <col min="6" max="6" width="10.140625" style="131" bestFit="1" customWidth="1"/>
    <col min="7" max="7" width="10.42578125" style="131" bestFit="1" customWidth="1"/>
    <col min="8" max="8" width="14" style="131" bestFit="1" customWidth="1"/>
    <col min="9" max="16384" width="11.42578125" style="131"/>
  </cols>
  <sheetData>
    <row r="1" spans="1:10" ht="15" customHeight="1" x14ac:dyDescent="0.25">
      <c r="A1" s="127" t="s">
        <v>14</v>
      </c>
      <c r="B1" s="128"/>
      <c r="C1" s="128"/>
      <c r="D1" s="128"/>
      <c r="E1" s="129"/>
      <c r="F1" s="130">
        <v>2000</v>
      </c>
      <c r="G1" s="213"/>
    </row>
    <row r="2" spans="1:10" ht="15" customHeight="1" x14ac:dyDescent="0.25">
      <c r="A2" s="132" t="s">
        <v>32</v>
      </c>
      <c r="B2" s="123">
        <v>35</v>
      </c>
      <c r="C2" s="124"/>
      <c r="D2" s="125"/>
      <c r="E2" s="306">
        <f>F1/147</f>
        <v>13.605442176870747</v>
      </c>
      <c r="F2" s="126">
        <f>-B2*E2</f>
        <v>-476.19047619047615</v>
      </c>
      <c r="G2" s="214"/>
    </row>
    <row r="3" spans="1:10" ht="15" customHeight="1" x14ac:dyDescent="0.25">
      <c r="A3" s="132"/>
      <c r="B3" s="133"/>
      <c r="C3" s="133"/>
      <c r="D3" s="133"/>
      <c r="E3" s="134"/>
      <c r="F3" s="135"/>
      <c r="G3" s="213"/>
    </row>
    <row r="4" spans="1:10" ht="15" customHeight="1" x14ac:dyDescent="0.25">
      <c r="A4" s="132"/>
      <c r="B4" s="133"/>
      <c r="C4" s="133"/>
      <c r="D4" s="133"/>
      <c r="E4" s="134"/>
      <c r="F4" s="136"/>
      <c r="G4" s="215"/>
    </row>
    <row r="5" spans="1:10" ht="15" customHeight="1" thickBot="1" x14ac:dyDescent="0.3">
      <c r="A5" s="137" t="s">
        <v>87</v>
      </c>
      <c r="B5" s="138">
        <v>1700</v>
      </c>
      <c r="C5" s="139"/>
      <c r="D5" s="140"/>
      <c r="E5" s="305"/>
      <c r="F5" s="141">
        <f>E5*B5</f>
        <v>0</v>
      </c>
      <c r="G5" s="216"/>
    </row>
    <row r="6" spans="1:10" ht="15" customHeight="1" thickBot="1" x14ac:dyDescent="0.3">
      <c r="F6" s="194">
        <f>F1+F2+F3+F4+F5</f>
        <v>1523.8095238095239</v>
      </c>
      <c r="G6" s="216"/>
    </row>
    <row r="7" spans="1:10" ht="15" customHeight="1" thickBot="1" x14ac:dyDescent="0.3"/>
    <row r="8" spans="1:10" ht="24" customHeight="1" x14ac:dyDescent="0.25">
      <c r="A8" s="142" t="s">
        <v>35</v>
      </c>
      <c r="B8" s="143"/>
      <c r="C8" s="144"/>
      <c r="D8" s="144"/>
      <c r="E8" s="145"/>
      <c r="F8" s="146"/>
      <c r="G8" s="217"/>
      <c r="H8" s="333"/>
      <c r="I8" s="334" t="s">
        <v>150</v>
      </c>
      <c r="J8" s="335" t="s">
        <v>153</v>
      </c>
    </row>
    <row r="9" spans="1:10" ht="25.5" x14ac:dyDescent="0.25">
      <c r="A9" s="147"/>
      <c r="B9" s="300" t="s">
        <v>57</v>
      </c>
      <c r="C9" s="300" t="s">
        <v>22</v>
      </c>
      <c r="D9" s="300" t="s">
        <v>58</v>
      </c>
      <c r="E9" s="149" t="s">
        <v>22</v>
      </c>
      <c r="F9" s="150" t="s">
        <v>59</v>
      </c>
      <c r="G9" s="218"/>
      <c r="H9" s="309" t="s">
        <v>149</v>
      </c>
      <c r="I9" s="133"/>
      <c r="J9" s="136"/>
    </row>
    <row r="10" spans="1:10" ht="15" customHeight="1" x14ac:dyDescent="0.25">
      <c r="A10" s="103" t="s">
        <v>36</v>
      </c>
      <c r="B10" s="151"/>
      <c r="C10" s="116"/>
      <c r="D10" s="116"/>
      <c r="E10" s="152"/>
      <c r="F10" s="170"/>
      <c r="G10" s="219"/>
      <c r="H10" s="132" t="s">
        <v>151</v>
      </c>
      <c r="I10" s="307">
        <f>2*20</f>
        <v>40</v>
      </c>
      <c r="J10" s="308">
        <f>24*2</f>
        <v>48</v>
      </c>
    </row>
    <row r="11" spans="1:10" ht="15" customHeight="1" x14ac:dyDescent="0.25">
      <c r="A11" s="153" t="s">
        <v>90</v>
      </c>
      <c r="B11" s="99">
        <f>$F$6</f>
        <v>1523.8095238095239</v>
      </c>
      <c r="C11" s="154"/>
      <c r="D11" s="154"/>
      <c r="E11" s="122">
        <v>7.0000000000000007E-2</v>
      </c>
      <c r="F11" s="102">
        <f>E11*B11</f>
        <v>106.66666666666669</v>
      </c>
      <c r="G11" s="220"/>
      <c r="H11" s="132" t="s">
        <v>152</v>
      </c>
      <c r="I11" s="307">
        <v>10</v>
      </c>
      <c r="J11" s="308">
        <v>12</v>
      </c>
    </row>
    <row r="12" spans="1:10" ht="15" customHeight="1" x14ac:dyDescent="0.25">
      <c r="A12" s="153" t="s">
        <v>60</v>
      </c>
      <c r="B12" s="99">
        <f t="shared" ref="B12:B26" si="0">$F$6</f>
        <v>1523.8095238095239</v>
      </c>
      <c r="C12" s="104"/>
      <c r="D12" s="155"/>
      <c r="E12" s="211"/>
      <c r="F12" s="102"/>
      <c r="G12" s="220"/>
      <c r="H12" s="309" t="s">
        <v>154</v>
      </c>
      <c r="I12" s="307"/>
      <c r="J12" s="308"/>
    </row>
    <row r="13" spans="1:10" ht="15" customHeight="1" x14ac:dyDescent="0.25">
      <c r="A13" s="153" t="s">
        <v>37</v>
      </c>
      <c r="B13" s="99"/>
      <c r="C13" s="104"/>
      <c r="D13" s="105">
        <f>I15</f>
        <v>67</v>
      </c>
      <c r="E13" s="211"/>
      <c r="F13" s="171">
        <f>J15</f>
        <v>74</v>
      </c>
      <c r="G13" s="221"/>
      <c r="H13" s="132" t="s">
        <v>151</v>
      </c>
      <c r="I13" s="307">
        <f>7*2</f>
        <v>14</v>
      </c>
      <c r="J13" s="308">
        <f>5*2</f>
        <v>10</v>
      </c>
    </row>
    <row r="14" spans="1:10" ht="15" customHeight="1" x14ac:dyDescent="0.25">
      <c r="A14" s="103" t="s">
        <v>75</v>
      </c>
      <c r="B14" s="99">
        <f t="shared" si="0"/>
        <v>1523.8095238095239</v>
      </c>
      <c r="C14" s="104"/>
      <c r="D14" s="101"/>
      <c r="E14" s="122">
        <v>2.7E-2</v>
      </c>
      <c r="F14" s="102">
        <f>E14*B14</f>
        <v>41.142857142857146</v>
      </c>
      <c r="G14" s="220"/>
      <c r="H14" s="132" t="s">
        <v>152</v>
      </c>
      <c r="I14" s="307">
        <v>3</v>
      </c>
      <c r="J14" s="308">
        <v>4</v>
      </c>
    </row>
    <row r="15" spans="1:10" ht="15" customHeight="1" thickBot="1" x14ac:dyDescent="0.3">
      <c r="A15" s="103" t="s">
        <v>39</v>
      </c>
      <c r="B15" s="99"/>
      <c r="C15" s="100"/>
      <c r="D15" s="101"/>
      <c r="E15" s="122"/>
      <c r="F15" s="102"/>
      <c r="G15" s="220"/>
      <c r="H15" s="137" t="s">
        <v>155</v>
      </c>
      <c r="I15" s="310">
        <f>SUM(I10:I14)</f>
        <v>67</v>
      </c>
      <c r="J15" s="311">
        <f>SUM(J10:J14)</f>
        <v>74</v>
      </c>
    </row>
    <row r="16" spans="1:10" ht="15" customHeight="1" x14ac:dyDescent="0.25">
      <c r="A16" s="153" t="s">
        <v>76</v>
      </c>
      <c r="B16" s="99">
        <f t="shared" si="0"/>
        <v>1523.8095238095239</v>
      </c>
      <c r="C16" s="104">
        <v>6.9000000000000006E-2</v>
      </c>
      <c r="D16" s="105">
        <f>B16*C16</f>
        <v>105.14285714285715</v>
      </c>
      <c r="E16" s="211">
        <v>8.5500000000000007E-2</v>
      </c>
      <c r="F16" s="102">
        <f t="shared" ref="F16:F24" si="1">E16*B16</f>
        <v>130.28571428571431</v>
      </c>
      <c r="G16" s="220"/>
    </row>
    <row r="17" spans="1:7" ht="15" customHeight="1" x14ac:dyDescent="0.25">
      <c r="A17" s="153" t="s">
        <v>77</v>
      </c>
      <c r="B17" s="99">
        <f t="shared" si="0"/>
        <v>1523.8095238095239</v>
      </c>
      <c r="C17" s="104">
        <v>4.0000000000000001E-3</v>
      </c>
      <c r="D17" s="105">
        <f>B17*C17</f>
        <v>6.0952380952380958</v>
      </c>
      <c r="E17" s="211">
        <v>1.9E-2</v>
      </c>
      <c r="F17" s="102">
        <f t="shared" si="1"/>
        <v>28.952380952380953</v>
      </c>
      <c r="G17" s="220"/>
    </row>
    <row r="18" spans="1:7" ht="15" customHeight="1" x14ac:dyDescent="0.25">
      <c r="A18" s="153" t="s">
        <v>92</v>
      </c>
      <c r="B18" s="99">
        <f t="shared" si="0"/>
        <v>1523.8095238095239</v>
      </c>
      <c r="C18" s="104">
        <v>4.0099999999999997E-2</v>
      </c>
      <c r="D18" s="105">
        <f>B18*C18</f>
        <v>61.104761904761901</v>
      </c>
      <c r="E18" s="211">
        <v>6.0100000000000001E-2</v>
      </c>
      <c r="F18" s="102">
        <f t="shared" si="1"/>
        <v>91.580952380952382</v>
      </c>
      <c r="G18" s="220"/>
    </row>
    <row r="19" spans="1:7" ht="15" customHeight="1" x14ac:dyDescent="0.25">
      <c r="A19" s="153" t="s">
        <v>247</v>
      </c>
      <c r="B19" s="99"/>
      <c r="C19" s="104"/>
      <c r="D19" s="105"/>
      <c r="E19" s="211"/>
      <c r="F19" s="102"/>
      <c r="G19" s="220"/>
    </row>
    <row r="20" spans="1:7" ht="15" customHeight="1" x14ac:dyDescent="0.25">
      <c r="A20" s="153" t="s">
        <v>245</v>
      </c>
      <c r="B20" s="99"/>
      <c r="C20" s="104"/>
      <c r="D20" s="105"/>
      <c r="E20" s="211"/>
      <c r="F20" s="102"/>
      <c r="G20" s="220"/>
    </row>
    <row r="21" spans="1:7" ht="15" customHeight="1" x14ac:dyDescent="0.25">
      <c r="A21" s="153" t="s">
        <v>248</v>
      </c>
      <c r="B21" s="99"/>
      <c r="C21" s="104"/>
      <c r="D21" s="105"/>
      <c r="E21" s="211"/>
      <c r="F21" s="102"/>
      <c r="G21" s="220"/>
    </row>
    <row r="22" spans="1:7" ht="15" customHeight="1" x14ac:dyDescent="0.25">
      <c r="A22" s="393" t="s">
        <v>40</v>
      </c>
      <c r="B22" s="394"/>
      <c r="C22" s="395">
        <v>0.11310000000000001</v>
      </c>
      <c r="D22" s="396">
        <f>B22*C22</f>
        <v>0</v>
      </c>
      <c r="E22" s="397"/>
      <c r="F22" s="398"/>
      <c r="G22" s="222"/>
    </row>
    <row r="23" spans="1:7" ht="15" customHeight="1" x14ac:dyDescent="0.25">
      <c r="A23" s="98" t="s">
        <v>93</v>
      </c>
      <c r="B23" s="99">
        <f t="shared" si="0"/>
        <v>1523.8095238095239</v>
      </c>
      <c r="C23" s="100"/>
      <c r="D23" s="101"/>
      <c r="E23" s="122">
        <v>3.4500000000000003E-2</v>
      </c>
      <c r="F23" s="102">
        <f t="shared" si="1"/>
        <v>52.571428571428577</v>
      </c>
      <c r="G23" s="220"/>
    </row>
    <row r="24" spans="1:7" ht="15" customHeight="1" x14ac:dyDescent="0.25">
      <c r="A24" s="103" t="s">
        <v>79</v>
      </c>
      <c r="B24" s="99">
        <f t="shared" si="0"/>
        <v>1523.8095238095239</v>
      </c>
      <c r="C24" s="100"/>
      <c r="D24" s="101"/>
      <c r="E24" s="122">
        <v>4.2000000000000003E-2</v>
      </c>
      <c r="F24" s="102">
        <f t="shared" si="1"/>
        <v>64</v>
      </c>
      <c r="G24" s="220"/>
    </row>
    <row r="25" spans="1:7" ht="15" customHeight="1" x14ac:dyDescent="0.25">
      <c r="A25" s="103" t="s">
        <v>86</v>
      </c>
      <c r="B25" s="99"/>
      <c r="C25" s="100"/>
      <c r="D25" s="101"/>
      <c r="E25" s="122"/>
      <c r="F25" s="102"/>
      <c r="G25" s="220"/>
    </row>
    <row r="26" spans="1:7" ht="15" customHeight="1" x14ac:dyDescent="0.25">
      <c r="A26" s="103" t="s">
        <v>74</v>
      </c>
      <c r="B26" s="99">
        <f t="shared" si="0"/>
        <v>1523.8095238095239</v>
      </c>
      <c r="C26" s="100"/>
      <c r="D26" s="101"/>
      <c r="E26" s="122"/>
      <c r="F26" s="251">
        <f>D57</f>
        <v>25.081904761904767</v>
      </c>
      <c r="G26" s="220"/>
    </row>
    <row r="27" spans="1:7" ht="15" customHeight="1" x14ac:dyDescent="0.25">
      <c r="A27" s="103" t="s">
        <v>232</v>
      </c>
      <c r="B27" s="99"/>
      <c r="C27" s="100"/>
      <c r="D27" s="101"/>
      <c r="E27" s="122"/>
      <c r="F27" s="251"/>
      <c r="G27" s="220"/>
    </row>
    <row r="28" spans="1:7" ht="15" customHeight="1" x14ac:dyDescent="0.25">
      <c r="A28" s="392" t="s">
        <v>42</v>
      </c>
      <c r="B28" s="99">
        <f>$F$6*98.25%+F12+F13</f>
        <v>1571.1428571428573</v>
      </c>
      <c r="C28" s="104">
        <v>6.8000000000000005E-2</v>
      </c>
      <c r="D28" s="105">
        <f>B28*C28</f>
        <v>106.83771428571431</v>
      </c>
      <c r="E28" s="106"/>
      <c r="F28" s="102"/>
      <c r="G28" s="220"/>
    </row>
    <row r="29" spans="1:7" ht="15" customHeight="1" x14ac:dyDescent="0.25">
      <c r="A29" s="392" t="s">
        <v>41</v>
      </c>
      <c r="B29" s="99">
        <f>$F$6*98.25%+F12+F13</f>
        <v>1571.1428571428573</v>
      </c>
      <c r="C29" s="104">
        <v>2.9000000000000001E-2</v>
      </c>
      <c r="D29" s="105">
        <f>B29*C29</f>
        <v>45.563142857142864</v>
      </c>
      <c r="E29" s="211"/>
      <c r="F29" s="102"/>
      <c r="G29" s="220"/>
    </row>
    <row r="30" spans="1:7" ht="15" customHeight="1" x14ac:dyDescent="0.25">
      <c r="A30" s="103" t="s">
        <v>250</v>
      </c>
      <c r="B30" s="99"/>
      <c r="C30" s="95">
        <v>9.7000000000000003E-2</v>
      </c>
      <c r="D30" s="96"/>
      <c r="E30" s="97"/>
      <c r="F30" s="102"/>
      <c r="G30" s="220"/>
    </row>
    <row r="31" spans="1:7" ht="15" customHeight="1" x14ac:dyDescent="0.25">
      <c r="A31" s="392" t="s">
        <v>251</v>
      </c>
      <c r="B31" s="99"/>
      <c r="C31" s="95">
        <v>0.11310000000000001</v>
      </c>
      <c r="D31" s="96"/>
      <c r="E31" s="97"/>
      <c r="F31" s="102"/>
      <c r="G31" s="220"/>
    </row>
    <row r="32" spans="1:7" ht="15" customHeight="1" x14ac:dyDescent="0.25">
      <c r="A32" s="94" t="s">
        <v>249</v>
      </c>
      <c r="B32" s="107"/>
      <c r="C32" s="108"/>
      <c r="D32" s="109"/>
      <c r="E32" s="110"/>
      <c r="F32" s="169">
        <f>-H80</f>
        <v>-188.49523809523805</v>
      </c>
      <c r="G32" s="222"/>
    </row>
    <row r="33" spans="1:7" ht="15" customHeight="1" x14ac:dyDescent="0.25">
      <c r="A33" s="393" t="s">
        <v>69</v>
      </c>
      <c r="B33" s="111"/>
      <c r="C33" s="112"/>
      <c r="D33" s="113"/>
      <c r="E33" s="114"/>
      <c r="F33" s="172"/>
      <c r="G33" s="223"/>
    </row>
    <row r="34" spans="1:7" ht="15" customHeight="1" x14ac:dyDescent="0.25">
      <c r="A34" s="103" t="s">
        <v>44</v>
      </c>
      <c r="B34" s="115"/>
      <c r="C34" s="116"/>
      <c r="D34" s="117">
        <f>SUM(D10:D33)</f>
        <v>391.7437142857143</v>
      </c>
      <c r="E34" s="118"/>
      <c r="F34" s="119">
        <f>SUM(F11:F33)</f>
        <v>425.78666666666675</v>
      </c>
      <c r="G34" s="224"/>
    </row>
    <row r="35" spans="1:7" ht="15" customHeight="1" thickBot="1" x14ac:dyDescent="0.3">
      <c r="A35" s="103"/>
      <c r="B35" s="115"/>
      <c r="C35" s="116"/>
      <c r="D35" s="115"/>
      <c r="E35" s="120"/>
      <c r="F35" s="195"/>
      <c r="G35" s="225"/>
    </row>
    <row r="36" spans="1:7" ht="15" customHeight="1" thickBot="1" x14ac:dyDescent="0.3">
      <c r="A36" s="121" t="s">
        <v>45</v>
      </c>
      <c r="B36" s="115"/>
      <c r="C36" s="116"/>
      <c r="D36" s="173"/>
      <c r="E36" s="120"/>
      <c r="F36" s="196">
        <f>F6-D34</f>
        <v>1132.0658095238095</v>
      </c>
      <c r="G36" s="226"/>
    </row>
    <row r="37" spans="1:7" ht="26.25" customHeight="1" x14ac:dyDescent="0.25">
      <c r="A37" s="103" t="s">
        <v>46</v>
      </c>
      <c r="B37" s="115"/>
      <c r="C37" s="116"/>
      <c r="D37" s="115"/>
      <c r="E37" s="120"/>
      <c r="F37" s="198">
        <f>D64</f>
        <v>21.290571428571429</v>
      </c>
      <c r="G37" s="226"/>
    </row>
    <row r="38" spans="1:7" ht="16.5" customHeight="1" x14ac:dyDescent="0.25">
      <c r="A38" s="418" t="s">
        <v>47</v>
      </c>
      <c r="B38" s="420" t="s">
        <v>48</v>
      </c>
      <c r="C38" s="299" t="s">
        <v>22</v>
      </c>
      <c r="D38" s="422"/>
      <c r="E38" s="157"/>
      <c r="F38" s="424" t="s">
        <v>49</v>
      </c>
      <c r="G38" s="218"/>
    </row>
    <row r="39" spans="1:7" x14ac:dyDescent="0.25">
      <c r="A39" s="419"/>
      <c r="B39" s="421"/>
      <c r="C39" s="300" t="s">
        <v>50</v>
      </c>
      <c r="D39" s="423"/>
      <c r="E39" s="158"/>
      <c r="F39" s="425"/>
      <c r="G39" s="218"/>
    </row>
    <row r="40" spans="1:7" ht="21" customHeight="1" thickBot="1" x14ac:dyDescent="0.3">
      <c r="A40" s="121" t="s">
        <v>51</v>
      </c>
      <c r="B40" s="91">
        <f>B42</f>
        <v>1251.6289523809523</v>
      </c>
      <c r="C40" s="92">
        <v>4.4999999999999998E-2</v>
      </c>
      <c r="D40" s="91"/>
      <c r="E40" s="91"/>
      <c r="F40" s="197">
        <f>B40*C40</f>
        <v>56.323302857142856</v>
      </c>
      <c r="G40" s="227"/>
    </row>
    <row r="41" spans="1:7" ht="19.5" customHeight="1" thickBot="1" x14ac:dyDescent="0.3">
      <c r="A41" s="153"/>
      <c r="B41" s="154"/>
      <c r="C41" s="159"/>
      <c r="D41" s="160" t="s">
        <v>52</v>
      </c>
      <c r="E41" s="161"/>
      <c r="F41" s="199">
        <f>F36-F40</f>
        <v>1075.7425066666667</v>
      </c>
      <c r="G41" s="227"/>
    </row>
    <row r="42" spans="1:7" ht="25.5" x14ac:dyDescent="0.25">
      <c r="A42" s="94" t="s">
        <v>80</v>
      </c>
      <c r="B42" s="162">
        <f>F6-D34+D29+F13</f>
        <v>1251.6289523809523</v>
      </c>
      <c r="C42" s="163"/>
      <c r="D42" s="160" t="s">
        <v>54</v>
      </c>
      <c r="E42" s="161"/>
      <c r="F42" s="263">
        <f>D72</f>
        <v>307.35238095238088</v>
      </c>
      <c r="G42" s="227"/>
    </row>
    <row r="43" spans="1:7" x14ac:dyDescent="0.25">
      <c r="A43" s="440"/>
      <c r="B43" s="442"/>
      <c r="C43" s="444"/>
      <c r="D43" s="164" t="s">
        <v>55</v>
      </c>
      <c r="E43" s="165"/>
      <c r="F43" s="446">
        <f>F6+F34</f>
        <v>1949.5961904761907</v>
      </c>
      <c r="G43" s="220"/>
    </row>
    <row r="44" spans="1:7" ht="13.5" thickBot="1" x14ac:dyDescent="0.3">
      <c r="A44" s="441"/>
      <c r="B44" s="443"/>
      <c r="C44" s="445"/>
      <c r="D44" s="166" t="s">
        <v>56</v>
      </c>
      <c r="E44" s="167"/>
      <c r="F44" s="447"/>
      <c r="G44" s="225"/>
    </row>
    <row r="45" spans="1:7" ht="15.75" customHeight="1" x14ac:dyDescent="0.25"/>
    <row r="46" spans="1:7" ht="15.75" customHeight="1" thickBot="1" x14ac:dyDescent="0.3">
      <c r="A46" s="429" t="s">
        <v>74</v>
      </c>
      <c r="B46" s="430"/>
      <c r="C46" s="228"/>
      <c r="D46" s="228"/>
    </row>
    <row r="47" spans="1:7" ht="15.75" customHeight="1" x14ac:dyDescent="0.25">
      <c r="A47" s="229"/>
      <c r="B47" s="431">
        <f>+F6</f>
        <v>1523.8095238095239</v>
      </c>
      <c r="C47" s="434">
        <f>0.3%+0.68%+0.55%+0.016%</f>
        <v>1.5460000000000002E-2</v>
      </c>
      <c r="D47" s="437">
        <f>B47*C47</f>
        <v>23.558095238095241</v>
      </c>
    </row>
    <row r="48" spans="1:7" ht="15.75" customHeight="1" x14ac:dyDescent="0.25">
      <c r="A48" s="230" t="s">
        <v>97</v>
      </c>
      <c r="B48" s="432"/>
      <c r="C48" s="435"/>
      <c r="D48" s="438"/>
    </row>
    <row r="49" spans="1:4" ht="15.75" customHeight="1" x14ac:dyDescent="0.25">
      <c r="A49" s="230" t="s">
        <v>98</v>
      </c>
      <c r="B49" s="432"/>
      <c r="C49" s="435"/>
      <c r="D49" s="438"/>
    </row>
    <row r="50" spans="1:4" ht="15.75" customHeight="1" x14ac:dyDescent="0.25">
      <c r="A50" s="230" t="s">
        <v>99</v>
      </c>
      <c r="B50" s="432"/>
      <c r="C50" s="435"/>
      <c r="D50" s="438"/>
    </row>
    <row r="51" spans="1:4" ht="15" x14ac:dyDescent="0.25">
      <c r="A51" s="230" t="s">
        <v>100</v>
      </c>
      <c r="B51" s="432"/>
      <c r="C51" s="435"/>
      <c r="D51" s="438"/>
    </row>
    <row r="52" spans="1:4" ht="15" x14ac:dyDescent="0.25">
      <c r="A52" s="230" t="s">
        <v>101</v>
      </c>
      <c r="B52" s="432"/>
      <c r="C52" s="435"/>
      <c r="D52" s="438"/>
    </row>
    <row r="53" spans="1:4" ht="15.75" thickBot="1" x14ac:dyDescent="0.3">
      <c r="A53" s="231" t="s">
        <v>102</v>
      </c>
      <c r="B53" s="433"/>
      <c r="C53" s="436"/>
      <c r="D53" s="439"/>
    </row>
    <row r="54" spans="1:4" ht="15.75" thickBot="1" x14ac:dyDescent="0.3">
      <c r="A54" s="228"/>
      <c r="B54" s="232"/>
      <c r="C54" s="232"/>
      <c r="D54" s="232"/>
    </row>
    <row r="55" spans="1:4" ht="15.75" thickBot="1" x14ac:dyDescent="0.3">
      <c r="A55" s="233" t="s">
        <v>103</v>
      </c>
      <c r="B55" s="234">
        <f>B47</f>
        <v>1523.8095238095239</v>
      </c>
      <c r="C55" s="235">
        <v>1E-3</v>
      </c>
      <c r="D55" s="236">
        <f>C55*B55</f>
        <v>1.5238095238095239</v>
      </c>
    </row>
    <row r="56" spans="1:4" ht="15.75" thickBot="1" x14ac:dyDescent="0.3">
      <c r="A56" s="228"/>
      <c r="B56" s="228"/>
      <c r="C56" s="228"/>
      <c r="D56" s="228"/>
    </row>
    <row r="57" spans="1:4" ht="15.75" thickBot="1" x14ac:dyDescent="0.3">
      <c r="A57" s="233" t="s">
        <v>104</v>
      </c>
      <c r="B57" s="237"/>
      <c r="C57" s="237"/>
      <c r="D57" s="238">
        <f>D47+D55</f>
        <v>25.081904761904767</v>
      </c>
    </row>
    <row r="58" spans="1:4" ht="15.75" thickBot="1" x14ac:dyDescent="0.3">
      <c r="A58" s="228"/>
      <c r="B58" s="228"/>
      <c r="C58" s="228"/>
      <c r="D58" s="228"/>
    </row>
    <row r="59" spans="1:4" ht="15" thickBot="1" x14ac:dyDescent="0.3">
      <c r="A59" s="426" t="s">
        <v>105</v>
      </c>
      <c r="B59" s="427"/>
      <c r="C59" s="427"/>
      <c r="D59" s="428"/>
    </row>
    <row r="60" spans="1:4" ht="15" x14ac:dyDescent="0.25">
      <c r="A60" s="239" t="s">
        <v>106</v>
      </c>
      <c r="B60" s="243">
        <f>F6</f>
        <v>1523.8095238095239</v>
      </c>
      <c r="C60" s="240">
        <v>2.4E-2</v>
      </c>
      <c r="D60" s="241">
        <f>C60*B60</f>
        <v>36.571428571428577</v>
      </c>
    </row>
    <row r="61" spans="1:4" ht="15" x14ac:dyDescent="0.25">
      <c r="A61" s="242" t="s">
        <v>107</v>
      </c>
      <c r="B61" s="243">
        <f>B60</f>
        <v>1523.8095238095239</v>
      </c>
      <c r="C61" s="244">
        <v>7.4999999999999997E-3</v>
      </c>
      <c r="D61" s="245">
        <f t="shared" ref="D61:D62" si="2">C61*B61</f>
        <v>11.428571428571429</v>
      </c>
    </row>
    <row r="62" spans="1:4" ht="15" x14ac:dyDescent="0.25">
      <c r="A62" s="242" t="s">
        <v>108</v>
      </c>
      <c r="B62" s="243">
        <f>B28</f>
        <v>1571.1428571428573</v>
      </c>
      <c r="C62" s="244">
        <v>-1.7000000000000001E-2</v>
      </c>
      <c r="D62" s="245">
        <f t="shared" si="2"/>
        <v>-26.709428571428578</v>
      </c>
    </row>
    <row r="63" spans="1:4" ht="15" x14ac:dyDescent="0.25">
      <c r="A63" s="45" t="s">
        <v>109</v>
      </c>
      <c r="B63" s="246">
        <f>B30</f>
        <v>0</v>
      </c>
      <c r="C63" s="50">
        <v>0.11310000000000001</v>
      </c>
      <c r="D63" s="247">
        <f>C63*B63</f>
        <v>0</v>
      </c>
    </row>
    <row r="64" spans="1:4" ht="15.75" thickBot="1" x14ac:dyDescent="0.3">
      <c r="A64" s="265" t="s">
        <v>110</v>
      </c>
      <c r="B64" s="248"/>
      <c r="C64" s="249"/>
      <c r="D64" s="250">
        <f>SUM(D60:D63)</f>
        <v>21.290571428571429</v>
      </c>
    </row>
    <row r="66" spans="1:8" ht="13.5" thickBot="1" x14ac:dyDescent="0.3"/>
    <row r="67" spans="1:8" ht="15" thickBot="1" x14ac:dyDescent="0.3">
      <c r="A67" s="426" t="s">
        <v>117</v>
      </c>
      <c r="B67" s="427"/>
      <c r="C67" s="427"/>
      <c r="D67" s="428"/>
    </row>
    <row r="68" spans="1:8" ht="18" customHeight="1" x14ac:dyDescent="0.25">
      <c r="A68" s="252" t="s">
        <v>111</v>
      </c>
      <c r="B68" s="253"/>
      <c r="C68" s="253"/>
      <c r="D68" s="254">
        <f>H80</f>
        <v>188.49523809523805</v>
      </c>
    </row>
    <row r="69" spans="1:8" ht="18" customHeight="1" x14ac:dyDescent="0.25">
      <c r="A69" s="255" t="s">
        <v>112</v>
      </c>
      <c r="B69" s="256"/>
      <c r="C69" s="257">
        <v>1.5</v>
      </c>
      <c r="D69" s="258" t="s">
        <v>113</v>
      </c>
    </row>
    <row r="70" spans="1:8" ht="18" customHeight="1" x14ac:dyDescent="0.25">
      <c r="A70" s="255" t="s">
        <v>114</v>
      </c>
      <c r="B70" s="259">
        <f>F6</f>
        <v>1523.8095238095239</v>
      </c>
      <c r="C70" s="260">
        <v>1.7999999999999999E-2</v>
      </c>
      <c r="D70" s="261">
        <f>C70*B70</f>
        <v>27.428571428571427</v>
      </c>
    </row>
    <row r="71" spans="1:8" ht="18" customHeight="1" x14ac:dyDescent="0.25">
      <c r="A71" s="255" t="s">
        <v>115</v>
      </c>
      <c r="B71" s="259">
        <f>F6</f>
        <v>1523.8095238095239</v>
      </c>
      <c r="C71" s="260">
        <v>0.06</v>
      </c>
      <c r="D71" s="261">
        <f>C71*B71</f>
        <v>91.428571428571431</v>
      </c>
    </row>
    <row r="72" spans="1:8" ht="18" customHeight="1" thickBot="1" x14ac:dyDescent="0.3">
      <c r="A72" s="266" t="s">
        <v>116</v>
      </c>
      <c r="B72" s="262"/>
      <c r="C72" s="262"/>
      <c r="D72" s="264">
        <f>SUM(D68:D71)</f>
        <v>307.35238095238088</v>
      </c>
    </row>
    <row r="73" spans="1:8" ht="13.5" thickBot="1" x14ac:dyDescent="0.3"/>
    <row r="74" spans="1:8" ht="20.25" x14ac:dyDescent="0.25">
      <c r="A74" s="473" t="s">
        <v>156</v>
      </c>
      <c r="B74" s="474"/>
      <c r="C74" s="474"/>
      <c r="D74" s="474"/>
      <c r="E74" s="474"/>
      <c r="F74" s="474"/>
      <c r="G74" s="474"/>
      <c r="H74" s="475"/>
    </row>
    <row r="75" spans="1:8" ht="25.5" x14ac:dyDescent="0.25">
      <c r="A75" s="315"/>
      <c r="B75" s="316" t="s">
        <v>157</v>
      </c>
      <c r="C75" s="316" t="s">
        <v>158</v>
      </c>
      <c r="D75" s="316" t="s">
        <v>26</v>
      </c>
      <c r="E75" s="317" t="s">
        <v>159</v>
      </c>
      <c r="F75" s="318" t="s">
        <v>160</v>
      </c>
      <c r="G75" s="319" t="s">
        <v>161</v>
      </c>
      <c r="H75" s="320" t="s">
        <v>162</v>
      </c>
    </row>
    <row r="76" spans="1:8" x14ac:dyDescent="0.2">
      <c r="A76" s="321" t="s">
        <v>163</v>
      </c>
      <c r="B76" s="322">
        <v>2000</v>
      </c>
      <c r="C76" s="323">
        <f>B76</f>
        <v>2000</v>
      </c>
      <c r="D76" s="322">
        <f>(35*52/12*10.15)</f>
        <v>1539.4166666666665</v>
      </c>
      <c r="E76" s="323">
        <f>+D76</f>
        <v>1539.4166666666665</v>
      </c>
      <c r="F76" s="324">
        <f>ROUND(0.3205/0.6*((1.6*E76/C76)-1),4)</f>
        <v>0.1237</v>
      </c>
      <c r="G76" s="325">
        <f>F76*C76</f>
        <v>247.4</v>
      </c>
      <c r="H76" s="326">
        <f>G76</f>
        <v>247.4</v>
      </c>
    </row>
    <row r="77" spans="1:8" x14ac:dyDescent="0.2">
      <c r="A77" s="321" t="s">
        <v>164</v>
      </c>
      <c r="B77" s="322">
        <v>2000</v>
      </c>
      <c r="C77" s="323">
        <f>C76+B77</f>
        <v>4000</v>
      </c>
      <c r="D77" s="322">
        <f>(35*52/12*10.15)</f>
        <v>1539.4166666666665</v>
      </c>
      <c r="E77" s="323">
        <f>E76+D77</f>
        <v>3078.833333333333</v>
      </c>
      <c r="F77" s="324">
        <f>ROUND(0.3205/0.6*((1.6*E77/C77)-1),4)</f>
        <v>0.1237</v>
      </c>
      <c r="G77" s="325">
        <f>F77*C77</f>
        <v>494.8</v>
      </c>
      <c r="H77" s="326">
        <f>G77-G76</f>
        <v>247.4</v>
      </c>
    </row>
    <row r="78" spans="1:8" x14ac:dyDescent="0.2">
      <c r="A78" s="321" t="s">
        <v>165</v>
      </c>
      <c r="B78" s="322">
        <v>2000</v>
      </c>
      <c r="C78" s="323">
        <f>C77+B78</f>
        <v>6000</v>
      </c>
      <c r="D78" s="322">
        <f>(35*52/12*10.15)</f>
        <v>1539.4166666666665</v>
      </c>
      <c r="E78" s="323">
        <f>E77+D78</f>
        <v>4618.25</v>
      </c>
      <c r="F78" s="324">
        <f>ROUND(0.3205/0.6*((1.6*E78/C78)-1),4)</f>
        <v>0.1237</v>
      </c>
      <c r="G78" s="325">
        <f>F78*C78</f>
        <v>742.2</v>
      </c>
      <c r="H78" s="326">
        <f>G78-G77</f>
        <v>247.40000000000003</v>
      </c>
    </row>
    <row r="79" spans="1:8" x14ac:dyDescent="0.2">
      <c r="A79" s="321" t="s">
        <v>166</v>
      </c>
      <c r="B79" s="322">
        <v>2000</v>
      </c>
      <c r="C79" s="323">
        <f>C78+B79</f>
        <v>8000</v>
      </c>
      <c r="D79" s="322">
        <f>(35*52/12*10.15)</f>
        <v>1539.4166666666665</v>
      </c>
      <c r="E79" s="323">
        <f>E78+D79</f>
        <v>6157.6666666666661</v>
      </c>
      <c r="F79" s="324">
        <f>ROUND(0.3205/0.6*((1.6*E79/C79)-1),4)</f>
        <v>0.1237</v>
      </c>
      <c r="G79" s="325">
        <f>F79*C79</f>
        <v>989.6</v>
      </c>
      <c r="H79" s="326">
        <f>G79-G78</f>
        <v>247.39999999999998</v>
      </c>
    </row>
    <row r="80" spans="1:8" ht="13.5" thickBot="1" x14ac:dyDescent="0.3">
      <c r="A80" s="327" t="s">
        <v>167</v>
      </c>
      <c r="B80" s="332">
        <f>F6</f>
        <v>1523.8095238095239</v>
      </c>
      <c r="C80" s="328">
        <f>C79+B80</f>
        <v>9523.8095238095229</v>
      </c>
      <c r="D80" s="332">
        <f>1539.42*B80/2000</f>
        <v>1172.8914285714286</v>
      </c>
      <c r="E80" s="328">
        <f>E79+D80</f>
        <v>7330.5580952380951</v>
      </c>
      <c r="F80" s="329">
        <f>ROUND(0.3205/0.6*((1.6*E80/C80)-1),4)</f>
        <v>0.1237</v>
      </c>
      <c r="G80" s="330">
        <f>F80*C80</f>
        <v>1178.0952380952381</v>
      </c>
      <c r="H80" s="331">
        <f>G80-G79</f>
        <v>188.49523809523805</v>
      </c>
    </row>
  </sheetData>
  <mergeCells count="15">
    <mergeCell ref="A38:A39"/>
    <mergeCell ref="B38:B39"/>
    <mergeCell ref="D38:D39"/>
    <mergeCell ref="F38:F39"/>
    <mergeCell ref="A43:A44"/>
    <mergeCell ref="B43:B44"/>
    <mergeCell ref="C43:C44"/>
    <mergeCell ref="F43:F44"/>
    <mergeCell ref="A74:H74"/>
    <mergeCell ref="A46:B46"/>
    <mergeCell ref="B47:B53"/>
    <mergeCell ref="C47:C53"/>
    <mergeCell ref="D47:D53"/>
    <mergeCell ref="A59:D59"/>
    <mergeCell ref="A67:D6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68089-E319-4EE9-9035-B4B1ACE8A0C1}">
  <dimension ref="A16:M28"/>
  <sheetViews>
    <sheetView topLeftCell="A16" workbookViewId="0">
      <selection activeCell="F19" sqref="F19"/>
    </sheetView>
    <sheetView topLeftCell="A16" workbookViewId="1">
      <selection activeCell="D30" sqref="D30"/>
    </sheetView>
  </sheetViews>
  <sheetFormatPr baseColWidth="10" defaultRowHeight="15" x14ac:dyDescent="0.25"/>
  <cols>
    <col min="1" max="1" width="39.140625" bestFit="1" customWidth="1"/>
    <col min="2" max="2" width="16.140625" customWidth="1"/>
    <col min="5" max="5" width="26.140625" customWidth="1"/>
  </cols>
  <sheetData>
    <row r="16" spans="1:6" ht="23.25" x14ac:dyDescent="0.35">
      <c r="A16" s="403" t="s">
        <v>16</v>
      </c>
      <c r="B16" s="403"/>
      <c r="C16" s="403"/>
      <c r="D16" s="403"/>
      <c r="E16" s="403"/>
      <c r="F16" s="403"/>
    </row>
    <row r="17" spans="1:13" ht="24.75" customHeight="1" thickBot="1" x14ac:dyDescent="0.3"/>
    <row r="18" spans="1:13" s="1" customFormat="1" ht="26.25" customHeight="1" x14ac:dyDescent="0.25">
      <c r="A18" s="6"/>
      <c r="B18" s="4" t="s">
        <v>0</v>
      </c>
      <c r="C18" s="4" t="s">
        <v>1</v>
      </c>
      <c r="D18" s="4" t="s">
        <v>2</v>
      </c>
      <c r="E18" s="4" t="s">
        <v>3</v>
      </c>
      <c r="F18" s="5" t="s">
        <v>4</v>
      </c>
      <c r="H18"/>
      <c r="I18"/>
      <c r="J18"/>
      <c r="K18"/>
      <c r="L18"/>
      <c r="M18"/>
    </row>
    <row r="19" spans="1:13" s="1" customFormat="1" ht="26.25" customHeight="1" x14ac:dyDescent="0.25">
      <c r="A19" s="7" t="s">
        <v>5</v>
      </c>
      <c r="B19" s="304">
        <v>43160</v>
      </c>
      <c r="C19" s="71">
        <v>42856</v>
      </c>
      <c r="D19" s="304">
        <v>43221</v>
      </c>
      <c r="E19" s="71">
        <v>43831</v>
      </c>
      <c r="F19" s="72">
        <v>35065</v>
      </c>
      <c r="H19"/>
      <c r="I19"/>
      <c r="J19"/>
      <c r="K19"/>
      <c r="L19"/>
      <c r="M19"/>
    </row>
    <row r="20" spans="1:13" s="1" customFormat="1" ht="26.25" customHeight="1" x14ac:dyDescent="0.25">
      <c r="A20" s="7" t="s">
        <v>6</v>
      </c>
      <c r="B20" s="168" t="s">
        <v>7</v>
      </c>
      <c r="C20" s="168" t="s">
        <v>7</v>
      </c>
      <c r="D20" s="168" t="s">
        <v>7</v>
      </c>
      <c r="E20" s="168" t="s">
        <v>8</v>
      </c>
      <c r="F20" s="285"/>
      <c r="H20"/>
      <c r="I20"/>
      <c r="J20"/>
      <c r="K20"/>
      <c r="L20"/>
      <c r="M20"/>
    </row>
    <row r="21" spans="1:13" s="1" customFormat="1" ht="26.25" customHeight="1" x14ac:dyDescent="0.25">
      <c r="A21" s="7" t="s">
        <v>9</v>
      </c>
      <c r="B21" s="168">
        <v>35</v>
      </c>
      <c r="C21" s="168">
        <v>35</v>
      </c>
      <c r="D21" s="168">
        <v>35</v>
      </c>
      <c r="E21" s="168">
        <v>24</v>
      </c>
      <c r="F21" s="285"/>
      <c r="H21"/>
      <c r="I21"/>
      <c r="J21"/>
      <c r="K21"/>
      <c r="L21"/>
      <c r="M21"/>
    </row>
    <row r="22" spans="1:13" s="1" customFormat="1" ht="26.25" customHeight="1" x14ac:dyDescent="0.25">
      <c r="A22" s="7" t="s">
        <v>64</v>
      </c>
      <c r="B22" s="476">
        <v>4.4999999999999998E-2</v>
      </c>
      <c r="C22" s="476">
        <v>0.13</v>
      </c>
      <c r="D22" s="476">
        <v>3.5000000000000003E-2</v>
      </c>
      <c r="E22" s="476">
        <v>1.4999999999999999E-2</v>
      </c>
      <c r="F22" s="477">
        <v>0.18</v>
      </c>
      <c r="H22"/>
      <c r="I22"/>
      <c r="J22"/>
      <c r="K22"/>
      <c r="L22"/>
      <c r="M22"/>
    </row>
    <row r="23" spans="1:13" s="1" customFormat="1" ht="26.25" customHeight="1" x14ac:dyDescent="0.25">
      <c r="A23" s="7" t="s">
        <v>10</v>
      </c>
      <c r="B23" s="168" t="s">
        <v>11</v>
      </c>
      <c r="C23" s="168" t="s">
        <v>12</v>
      </c>
      <c r="D23" s="168" t="s">
        <v>11</v>
      </c>
      <c r="E23" s="168" t="s">
        <v>11</v>
      </c>
      <c r="F23" s="285" t="s">
        <v>13</v>
      </c>
      <c r="I23"/>
      <c r="J23"/>
      <c r="K23"/>
      <c r="L23"/>
    </row>
    <row r="24" spans="1:13" s="1" customFormat="1" ht="26.25" customHeight="1" x14ac:dyDescent="0.25">
      <c r="A24" s="7" t="s">
        <v>15</v>
      </c>
      <c r="B24" s="168"/>
      <c r="C24" s="168"/>
      <c r="D24" s="168"/>
      <c r="E24" s="71">
        <v>43982</v>
      </c>
      <c r="F24" s="285"/>
      <c r="I24"/>
      <c r="J24"/>
      <c r="K24"/>
      <c r="L24"/>
    </row>
    <row r="25" spans="1:13" s="1" customFormat="1" ht="30" customHeight="1" thickBot="1" x14ac:dyDescent="0.3">
      <c r="A25" s="11" t="s">
        <v>28</v>
      </c>
      <c r="B25" s="404" t="s">
        <v>29</v>
      </c>
      <c r="C25" s="405"/>
      <c r="D25" s="405"/>
      <c r="E25" s="405"/>
      <c r="F25" s="12"/>
    </row>
    <row r="26" spans="1:13" s="1" customFormat="1" ht="21" customHeight="1" x14ac:dyDescent="0.25"/>
    <row r="27" spans="1:13" s="1" customFormat="1" ht="21" customHeight="1" x14ac:dyDescent="0.25">
      <c r="A27" s="274" t="s">
        <v>119</v>
      </c>
    </row>
    <row r="28" spans="1:13" x14ac:dyDescent="0.25">
      <c r="A28" s="274" t="s">
        <v>120</v>
      </c>
    </row>
  </sheetData>
  <mergeCells count="2">
    <mergeCell ref="A16:F16"/>
    <mergeCell ref="B25:E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552B-6B9F-4664-885D-7C7B8AAA2597}">
  <dimension ref="A1:G25"/>
  <sheetViews>
    <sheetView zoomScaleNormal="100" workbookViewId="0">
      <selection activeCell="B9" sqref="B9"/>
    </sheetView>
    <sheetView topLeftCell="A10" workbookViewId="1">
      <selection activeCell="B25" sqref="B25"/>
    </sheetView>
  </sheetViews>
  <sheetFormatPr baseColWidth="10" defaultRowHeight="15" x14ac:dyDescent="0.25"/>
  <cols>
    <col min="1" max="1" width="45" style="1" customWidth="1"/>
    <col min="2" max="2" width="69.28515625" style="1" customWidth="1"/>
    <col min="3" max="16384" width="11.42578125" style="1"/>
  </cols>
  <sheetData>
    <row r="1" spans="1:7" ht="23.25" x14ac:dyDescent="0.25">
      <c r="A1" s="13" t="s">
        <v>17</v>
      </c>
    </row>
    <row r="3" spans="1:7" ht="24" customHeight="1" thickBot="1" x14ac:dyDescent="0.3">
      <c r="A3" s="14" t="s">
        <v>18</v>
      </c>
    </row>
    <row r="4" spans="1:7" ht="24" customHeight="1" x14ac:dyDescent="0.25">
      <c r="A4" s="6" t="s">
        <v>19</v>
      </c>
      <c r="B4" s="20" t="s">
        <v>72</v>
      </c>
      <c r="E4" s="2"/>
    </row>
    <row r="5" spans="1:7" ht="24" customHeight="1" x14ac:dyDescent="0.25">
      <c r="A5" s="7" t="s">
        <v>20</v>
      </c>
      <c r="B5" s="285" t="s">
        <v>21</v>
      </c>
      <c r="E5" s="3"/>
      <c r="F5" s="3"/>
      <c r="G5" s="3"/>
    </row>
    <row r="6" spans="1:7" ht="24" customHeight="1" x14ac:dyDescent="0.25">
      <c r="A6" s="406" t="s">
        <v>22</v>
      </c>
      <c r="B6" s="407"/>
      <c r="E6" s="3"/>
      <c r="F6" s="3"/>
      <c r="G6" s="3"/>
    </row>
    <row r="7" spans="1:7" ht="24" customHeight="1" x14ac:dyDescent="0.25">
      <c r="A7" s="7" t="s">
        <v>121</v>
      </c>
      <c r="B7" s="285" t="s">
        <v>23</v>
      </c>
      <c r="E7" s="3"/>
      <c r="F7" s="3"/>
      <c r="G7" s="3"/>
    </row>
    <row r="8" spans="1:7" customFormat="1" ht="24" customHeight="1" x14ac:dyDescent="0.25">
      <c r="A8" s="1" t="s">
        <v>122</v>
      </c>
      <c r="B8" s="16">
        <v>0.03</v>
      </c>
    </row>
    <row r="9" spans="1:7" ht="24" customHeight="1" x14ac:dyDescent="0.25">
      <c r="A9" s="7" t="s">
        <v>123</v>
      </c>
      <c r="B9" s="16">
        <v>0.05</v>
      </c>
      <c r="E9" s="3"/>
      <c r="F9" s="3"/>
      <c r="G9" s="3"/>
    </row>
    <row r="10" spans="1:7" ht="24" customHeight="1" thickBot="1" x14ac:dyDescent="0.3">
      <c r="A10" s="11" t="s">
        <v>24</v>
      </c>
      <c r="B10" s="17">
        <v>0.1</v>
      </c>
      <c r="E10" s="3"/>
      <c r="F10" s="3"/>
      <c r="G10" s="3"/>
    </row>
    <row r="11" spans="1:7" ht="24" customHeight="1" thickBot="1" x14ac:dyDescent="0.3">
      <c r="E11" s="3"/>
      <c r="F11" s="3"/>
      <c r="G11" s="3"/>
    </row>
    <row r="12" spans="1:7" ht="24" customHeight="1" thickBot="1" x14ac:dyDescent="0.3">
      <c r="A12" s="18" t="s">
        <v>30</v>
      </c>
      <c r="B12" s="19" t="s">
        <v>31</v>
      </c>
    </row>
    <row r="14" spans="1:7" ht="24" customHeight="1" thickBot="1" x14ac:dyDescent="0.3">
      <c r="A14" s="14" t="s">
        <v>63</v>
      </c>
    </row>
    <row r="15" spans="1:7" ht="21.75" customHeight="1" x14ac:dyDescent="0.25">
      <c r="A15" s="6" t="s">
        <v>62</v>
      </c>
      <c r="B15" s="275" t="s">
        <v>61</v>
      </c>
    </row>
    <row r="16" spans="1:7" ht="21.75" customHeight="1" x14ac:dyDescent="0.25">
      <c r="A16" s="7" t="s">
        <v>124</v>
      </c>
      <c r="B16" s="15" t="s">
        <v>125</v>
      </c>
    </row>
    <row r="17" spans="1:2" ht="21.75" customHeight="1" x14ac:dyDescent="0.25">
      <c r="A17" s="7" t="s">
        <v>126</v>
      </c>
      <c r="B17" s="15" t="s">
        <v>127</v>
      </c>
    </row>
    <row r="18" spans="1:2" ht="21.75" customHeight="1" x14ac:dyDescent="0.25">
      <c r="A18" s="7" t="s">
        <v>128</v>
      </c>
      <c r="B18" s="15" t="s">
        <v>129</v>
      </c>
    </row>
    <row r="19" spans="1:2" ht="21.75" customHeight="1" x14ac:dyDescent="0.25">
      <c r="A19" s="7" t="s">
        <v>130</v>
      </c>
      <c r="B19" s="15" t="s">
        <v>131</v>
      </c>
    </row>
    <row r="20" spans="1:2" ht="21.75" customHeight="1" x14ac:dyDescent="0.25">
      <c r="A20" s="7" t="s">
        <v>132</v>
      </c>
      <c r="B20" s="15" t="s">
        <v>133</v>
      </c>
    </row>
    <row r="21" spans="1:2" ht="21.75" customHeight="1" thickBot="1" x14ac:dyDescent="0.3">
      <c r="A21" s="11" t="s">
        <v>134</v>
      </c>
      <c r="B21" s="12" t="s">
        <v>135</v>
      </c>
    </row>
    <row r="22" spans="1:2" ht="15.75" thickBot="1" x14ac:dyDescent="0.3"/>
    <row r="23" spans="1:2" ht="19.5" thickBot="1" x14ac:dyDescent="0.3">
      <c r="A23" s="18" t="s">
        <v>136</v>
      </c>
      <c r="B23" s="28">
        <v>2.7E-2</v>
      </c>
    </row>
    <row r="24" spans="1:2" ht="15.75" thickBot="1" x14ac:dyDescent="0.3"/>
    <row r="25" spans="1:2" ht="30.75" thickBot="1" x14ac:dyDescent="0.3">
      <c r="A25" s="276" t="s">
        <v>137</v>
      </c>
      <c r="B25" s="277" t="s">
        <v>138</v>
      </c>
    </row>
  </sheetData>
  <mergeCells count="1">
    <mergeCell ref="A6:B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24569-9E27-4C3F-AC76-772FE2510BFF}">
  <dimension ref="A1:F10"/>
  <sheetViews>
    <sheetView tabSelected="1" workbookViewId="0">
      <selection activeCell="F13" sqref="F13"/>
    </sheetView>
    <sheetView workbookViewId="1">
      <selection activeCell="F12" sqref="F12"/>
    </sheetView>
  </sheetViews>
  <sheetFormatPr baseColWidth="10" defaultRowHeight="15" x14ac:dyDescent="0.25"/>
  <cols>
    <col min="1" max="1" width="39.140625" style="1" bestFit="1" customWidth="1"/>
    <col min="2" max="2" width="23.42578125" style="1" bestFit="1" customWidth="1"/>
    <col min="3" max="3" width="11.42578125" style="1"/>
    <col min="4" max="4" width="23.42578125" style="1" bestFit="1" customWidth="1"/>
    <col min="5" max="5" width="33.28515625" style="1" bestFit="1" customWidth="1"/>
    <col min="6" max="6" width="28.28515625" style="1" customWidth="1"/>
    <col min="7" max="16384" width="11.42578125" style="1"/>
  </cols>
  <sheetData>
    <row r="1" spans="1:6" ht="23.25" x14ac:dyDescent="0.25">
      <c r="A1" s="408" t="s">
        <v>27</v>
      </c>
      <c r="B1" s="408"/>
      <c r="C1" s="408"/>
      <c r="D1" s="408"/>
      <c r="E1" s="408"/>
      <c r="F1" s="408"/>
    </row>
    <row r="3" spans="1:6" ht="15.75" thickBot="1" x14ac:dyDescent="0.3"/>
    <row r="4" spans="1:6" ht="26.25" customHeight="1" x14ac:dyDescent="0.25">
      <c r="A4" s="6"/>
      <c r="B4" s="4" t="s">
        <v>0</v>
      </c>
      <c r="C4" s="4" t="s">
        <v>1</v>
      </c>
      <c r="D4" s="4" t="s">
        <v>2</v>
      </c>
      <c r="E4" s="4" t="s">
        <v>3</v>
      </c>
      <c r="F4" s="5" t="s">
        <v>4</v>
      </c>
    </row>
    <row r="5" spans="1:6" ht="24.75" customHeight="1" x14ac:dyDescent="0.25">
      <c r="A5" s="7" t="s">
        <v>14</v>
      </c>
      <c r="B5" s="8">
        <v>2000</v>
      </c>
      <c r="C5" s="8">
        <v>3400</v>
      </c>
      <c r="D5" s="8">
        <v>2500</v>
      </c>
      <c r="E5" s="8" t="s">
        <v>26</v>
      </c>
      <c r="F5" s="9">
        <v>5000</v>
      </c>
    </row>
    <row r="6" spans="1:6" ht="24.75" customHeight="1" x14ac:dyDescent="0.25">
      <c r="A6" s="7" t="s">
        <v>25</v>
      </c>
      <c r="B6" s="8">
        <v>1700</v>
      </c>
      <c r="C6" s="8">
        <v>2800</v>
      </c>
      <c r="D6" s="8">
        <v>2000</v>
      </c>
      <c r="E6" s="8" t="s">
        <v>26</v>
      </c>
      <c r="F6" s="10"/>
    </row>
    <row r="7" spans="1:6" ht="39" customHeight="1" x14ac:dyDescent="0.25">
      <c r="A7" s="25" t="s">
        <v>65</v>
      </c>
      <c r="B7" s="26" t="s">
        <v>139</v>
      </c>
      <c r="C7" s="26" t="s">
        <v>140</v>
      </c>
      <c r="D7" s="26" t="s">
        <v>66</v>
      </c>
      <c r="E7" s="26" t="s">
        <v>141</v>
      </c>
      <c r="F7" s="278" t="s">
        <v>67</v>
      </c>
    </row>
    <row r="8" spans="1:6" ht="39" customHeight="1" x14ac:dyDescent="0.25">
      <c r="A8" s="25" t="s">
        <v>142</v>
      </c>
      <c r="B8" s="26" t="s">
        <v>143</v>
      </c>
      <c r="C8" s="26" t="s">
        <v>144</v>
      </c>
      <c r="D8" s="26" t="s">
        <v>145</v>
      </c>
      <c r="E8" s="279" t="s">
        <v>146</v>
      </c>
      <c r="F8" s="27" t="s">
        <v>147</v>
      </c>
    </row>
    <row r="9" spans="1:6" ht="24.75" customHeight="1" thickBot="1" x14ac:dyDescent="0.3">
      <c r="A9" s="11" t="s">
        <v>64</v>
      </c>
      <c r="B9" s="23">
        <v>4.4999999999999998E-2</v>
      </c>
      <c r="C9" s="24">
        <v>0.13</v>
      </c>
      <c r="D9" s="23">
        <v>3.5000000000000003E-2</v>
      </c>
      <c r="E9" s="23">
        <v>1.4999999999999999E-2</v>
      </c>
      <c r="F9" s="17">
        <v>0.18</v>
      </c>
    </row>
    <row r="10" spans="1:6" ht="21" customHeight="1" x14ac:dyDescent="0.25"/>
  </sheetData>
  <mergeCells count="1">
    <mergeCell ref="A1:F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2DF0E-CD33-40D4-A122-2C1CEC300428}">
  <dimension ref="A1:H39"/>
  <sheetViews>
    <sheetView topLeftCell="A16" workbookViewId="0">
      <selection activeCell="D19" sqref="D19"/>
    </sheetView>
    <sheetView topLeftCell="A10" workbookViewId="1">
      <selection sqref="A1:F1"/>
    </sheetView>
  </sheetViews>
  <sheetFormatPr baseColWidth="10" defaultRowHeight="15" x14ac:dyDescent="0.25"/>
  <cols>
    <col min="1" max="1" width="20.42578125" style="281" bestFit="1" customWidth="1"/>
    <col min="2" max="2" width="13" style="1" bestFit="1" customWidth="1"/>
    <col min="3" max="3" width="17.28515625" style="1" customWidth="1"/>
    <col min="4" max="4" width="13" style="1" bestFit="1" customWidth="1"/>
    <col min="5" max="16384" width="11.42578125" style="1"/>
  </cols>
  <sheetData>
    <row r="1" spans="1:8" ht="18.75" x14ac:dyDescent="0.25">
      <c r="A1" s="412" t="s">
        <v>95</v>
      </c>
      <c r="B1" s="412"/>
      <c r="C1" s="412"/>
      <c r="D1" s="412"/>
      <c r="E1" s="412"/>
      <c r="F1" s="412"/>
    </row>
    <row r="2" spans="1:8" ht="18.75" x14ac:dyDescent="0.25">
      <c r="A2" s="280"/>
      <c r="B2" s="280"/>
      <c r="C2" s="280"/>
      <c r="D2" s="280"/>
      <c r="E2" s="280"/>
      <c r="F2" s="280"/>
    </row>
    <row r="3" spans="1:8" ht="15.75" thickBot="1" x14ac:dyDescent="0.3"/>
    <row r="4" spans="1:8" x14ac:dyDescent="0.25">
      <c r="A4" s="282"/>
      <c r="B4" s="4" t="s">
        <v>0</v>
      </c>
      <c r="C4" s="4" t="s">
        <v>1</v>
      </c>
      <c r="D4" s="4" t="s">
        <v>2</v>
      </c>
      <c r="E4" s="4" t="s">
        <v>3</v>
      </c>
      <c r="F4" s="5" t="s">
        <v>4</v>
      </c>
    </row>
    <row r="5" spans="1:8" x14ac:dyDescent="0.25">
      <c r="A5" s="283">
        <v>43948</v>
      </c>
      <c r="B5" s="168">
        <v>7</v>
      </c>
      <c r="C5" s="168">
        <v>7</v>
      </c>
      <c r="D5" s="168">
        <v>7</v>
      </c>
      <c r="E5" s="168">
        <v>4.8</v>
      </c>
      <c r="F5" s="285">
        <v>9</v>
      </c>
    </row>
    <row r="6" spans="1:8" x14ac:dyDescent="0.25">
      <c r="A6" s="283">
        <v>43949</v>
      </c>
      <c r="B6" s="168">
        <v>7</v>
      </c>
      <c r="C6" s="168">
        <v>7</v>
      </c>
      <c r="D6" s="168">
        <v>7</v>
      </c>
      <c r="E6" s="168">
        <v>4.8</v>
      </c>
      <c r="F6" s="285">
        <v>9</v>
      </c>
    </row>
    <row r="7" spans="1:8" x14ac:dyDescent="0.25">
      <c r="A7" s="283">
        <v>43950</v>
      </c>
      <c r="B7" s="168">
        <v>7</v>
      </c>
      <c r="C7" s="168">
        <v>7</v>
      </c>
      <c r="D7" s="168">
        <v>7</v>
      </c>
      <c r="E7" s="168">
        <v>4.8</v>
      </c>
      <c r="F7" s="285">
        <v>9</v>
      </c>
    </row>
    <row r="8" spans="1:8" x14ac:dyDescent="0.25">
      <c r="A8" s="283">
        <v>43951</v>
      </c>
      <c r="B8" s="168">
        <v>7</v>
      </c>
      <c r="C8" s="168">
        <v>7</v>
      </c>
      <c r="D8" s="168">
        <v>7</v>
      </c>
      <c r="E8" s="168">
        <v>4.8</v>
      </c>
      <c r="F8" s="285">
        <v>9</v>
      </c>
      <c r="G8" s="284"/>
    </row>
    <row r="9" spans="1:8" x14ac:dyDescent="0.25">
      <c r="A9" s="283">
        <v>43952</v>
      </c>
      <c r="B9" s="413" t="s">
        <v>96</v>
      </c>
      <c r="C9" s="413"/>
      <c r="D9" s="413"/>
      <c r="E9" s="413"/>
      <c r="F9" s="414"/>
      <c r="G9" s="284"/>
    </row>
    <row r="10" spans="1:8" x14ac:dyDescent="0.25">
      <c r="A10" s="283">
        <v>43953</v>
      </c>
      <c r="B10" s="168"/>
      <c r="C10" s="168"/>
      <c r="D10" s="168"/>
      <c r="E10" s="168"/>
      <c r="F10" s="285"/>
      <c r="G10" s="284"/>
    </row>
    <row r="11" spans="1:8" x14ac:dyDescent="0.25">
      <c r="A11" s="283">
        <v>43954</v>
      </c>
      <c r="B11" s="168"/>
      <c r="C11" s="168"/>
      <c r="D11" s="168"/>
      <c r="E11" s="168"/>
      <c r="F11" s="285"/>
      <c r="G11" s="284"/>
    </row>
    <row r="12" spans="1:8" x14ac:dyDescent="0.25">
      <c r="A12" s="283">
        <v>43955</v>
      </c>
      <c r="B12" s="168">
        <v>7</v>
      </c>
      <c r="C12" s="168">
        <v>7</v>
      </c>
      <c r="D12" s="168">
        <v>7</v>
      </c>
      <c r="E12" s="168">
        <v>4.8</v>
      </c>
      <c r="F12" s="285">
        <v>9</v>
      </c>
      <c r="G12" s="284"/>
    </row>
    <row r="13" spans="1:8" x14ac:dyDescent="0.25">
      <c r="A13" s="283">
        <v>43956</v>
      </c>
      <c r="B13" s="168">
        <v>7</v>
      </c>
      <c r="C13" s="168">
        <v>7</v>
      </c>
      <c r="D13" s="168">
        <v>7</v>
      </c>
      <c r="E13" s="168">
        <v>4.8</v>
      </c>
      <c r="F13" s="285">
        <v>9</v>
      </c>
      <c r="G13" s="284"/>
    </row>
    <row r="14" spans="1:8" x14ac:dyDescent="0.25">
      <c r="A14" s="283">
        <v>43957</v>
      </c>
      <c r="B14" s="168">
        <v>7</v>
      </c>
      <c r="C14" s="168">
        <v>7</v>
      </c>
      <c r="D14" s="168">
        <v>7</v>
      </c>
      <c r="E14" s="168">
        <v>4.8</v>
      </c>
      <c r="F14" s="285">
        <v>9</v>
      </c>
      <c r="G14" s="284"/>
    </row>
    <row r="15" spans="1:8" x14ac:dyDescent="0.25">
      <c r="A15" s="283">
        <v>43958</v>
      </c>
      <c r="B15" s="168">
        <v>7</v>
      </c>
      <c r="C15" s="168">
        <v>7</v>
      </c>
      <c r="D15" s="168">
        <v>7</v>
      </c>
      <c r="E15" s="168">
        <v>4.8</v>
      </c>
      <c r="F15" s="285">
        <v>9</v>
      </c>
      <c r="G15" s="284"/>
      <c r="H15" s="284"/>
    </row>
    <row r="16" spans="1:8" x14ac:dyDescent="0.25">
      <c r="A16" s="283">
        <v>43959</v>
      </c>
      <c r="B16" s="413" t="s">
        <v>96</v>
      </c>
      <c r="C16" s="413"/>
      <c r="D16" s="413"/>
      <c r="E16" s="413"/>
      <c r="F16" s="414"/>
      <c r="G16" s="284"/>
    </row>
    <row r="17" spans="1:7" x14ac:dyDescent="0.25">
      <c r="A17" s="283">
        <v>43960</v>
      </c>
      <c r="B17" s="168"/>
      <c r="C17" s="168"/>
      <c r="D17" s="168"/>
      <c r="E17" s="168"/>
      <c r="F17" s="285"/>
      <c r="G17" s="284"/>
    </row>
    <row r="18" spans="1:7" ht="15.75" thickBot="1" x14ac:dyDescent="0.3">
      <c r="A18" s="283">
        <v>43961</v>
      </c>
      <c r="B18" s="168"/>
      <c r="C18" s="26"/>
      <c r="D18" s="26"/>
      <c r="E18" s="26"/>
      <c r="F18" s="285"/>
      <c r="G18" s="284"/>
    </row>
    <row r="19" spans="1:7" x14ac:dyDescent="0.25">
      <c r="A19" s="283">
        <v>43962</v>
      </c>
      <c r="B19" s="286">
        <v>7</v>
      </c>
      <c r="C19" s="415" t="s">
        <v>171</v>
      </c>
      <c r="D19" s="287">
        <v>9</v>
      </c>
      <c r="E19" s="287">
        <v>6</v>
      </c>
      <c r="F19" s="288">
        <v>10</v>
      </c>
      <c r="G19" s="284"/>
    </row>
    <row r="20" spans="1:7" x14ac:dyDescent="0.25">
      <c r="A20" s="283">
        <v>43963</v>
      </c>
      <c r="B20" s="286">
        <v>7</v>
      </c>
      <c r="C20" s="416"/>
      <c r="D20" s="289">
        <v>9</v>
      </c>
      <c r="E20" s="289">
        <v>6</v>
      </c>
      <c r="F20" s="288">
        <v>10</v>
      </c>
      <c r="G20" s="284"/>
    </row>
    <row r="21" spans="1:7" x14ac:dyDescent="0.25">
      <c r="A21" s="283">
        <v>43964</v>
      </c>
      <c r="B21" s="286">
        <v>7</v>
      </c>
      <c r="C21" s="416"/>
      <c r="D21" s="289">
        <v>9</v>
      </c>
      <c r="E21" s="289">
        <v>6</v>
      </c>
      <c r="F21" s="288">
        <v>10</v>
      </c>
      <c r="G21" s="284"/>
    </row>
    <row r="22" spans="1:7" x14ac:dyDescent="0.25">
      <c r="A22" s="283">
        <v>43965</v>
      </c>
      <c r="B22" s="286">
        <v>7</v>
      </c>
      <c r="C22" s="416"/>
      <c r="D22" s="289">
        <v>10</v>
      </c>
      <c r="E22" s="289">
        <v>4.8</v>
      </c>
      <c r="F22" s="288">
        <v>10</v>
      </c>
      <c r="G22" s="284"/>
    </row>
    <row r="23" spans="1:7" ht="15.75" thickBot="1" x14ac:dyDescent="0.3">
      <c r="A23" s="283">
        <v>43966</v>
      </c>
      <c r="B23" s="286">
        <v>7</v>
      </c>
      <c r="C23" s="417"/>
      <c r="D23" s="290">
        <v>6</v>
      </c>
      <c r="E23" s="290">
        <v>4.8</v>
      </c>
      <c r="F23" s="288">
        <v>10</v>
      </c>
      <c r="G23" s="284"/>
    </row>
    <row r="24" spans="1:7" x14ac:dyDescent="0.25">
      <c r="A24" s="283">
        <v>43967</v>
      </c>
      <c r="B24" s="291"/>
      <c r="C24" s="292"/>
      <c r="D24" s="293"/>
      <c r="E24" s="292"/>
      <c r="F24" s="15"/>
      <c r="G24" s="284"/>
    </row>
    <row r="25" spans="1:7" x14ac:dyDescent="0.25">
      <c r="A25" s="283">
        <v>43968</v>
      </c>
      <c r="B25" s="291"/>
      <c r="C25" s="291"/>
      <c r="D25" s="168"/>
      <c r="E25" s="291"/>
      <c r="F25" s="15"/>
      <c r="G25" s="284"/>
    </row>
    <row r="26" spans="1:7" x14ac:dyDescent="0.25">
      <c r="A26" s="283">
        <v>43969</v>
      </c>
      <c r="B26" s="168">
        <v>7</v>
      </c>
      <c r="C26" s="168">
        <v>7</v>
      </c>
      <c r="D26" s="168">
        <v>7</v>
      </c>
      <c r="E26" s="168">
        <v>4.8</v>
      </c>
      <c r="F26" s="285">
        <v>12</v>
      </c>
      <c r="G26" s="284"/>
    </row>
    <row r="27" spans="1:7" x14ac:dyDescent="0.25">
      <c r="A27" s="283">
        <v>43970</v>
      </c>
      <c r="B27" s="168">
        <v>7</v>
      </c>
      <c r="C27" s="168">
        <v>7</v>
      </c>
      <c r="D27" s="168">
        <v>7</v>
      </c>
      <c r="E27" s="168">
        <v>4.8</v>
      </c>
      <c r="F27" s="285">
        <v>12</v>
      </c>
      <c r="G27" s="284"/>
    </row>
    <row r="28" spans="1:7" x14ac:dyDescent="0.25">
      <c r="A28" s="283">
        <v>43971</v>
      </c>
      <c r="B28" s="168">
        <v>7</v>
      </c>
      <c r="C28" s="168">
        <v>7</v>
      </c>
      <c r="D28" s="168">
        <v>7</v>
      </c>
      <c r="E28" s="168">
        <v>4.8</v>
      </c>
      <c r="F28" s="285">
        <v>12</v>
      </c>
      <c r="G28" s="284"/>
    </row>
    <row r="29" spans="1:7" x14ac:dyDescent="0.25">
      <c r="A29" s="283">
        <v>43972</v>
      </c>
      <c r="B29" s="413" t="s">
        <v>96</v>
      </c>
      <c r="C29" s="413"/>
      <c r="D29" s="413"/>
      <c r="E29" s="413"/>
      <c r="F29" s="414"/>
      <c r="G29" s="284"/>
    </row>
    <row r="30" spans="1:7" x14ac:dyDescent="0.25">
      <c r="A30" s="283">
        <v>43973</v>
      </c>
      <c r="B30" s="168">
        <v>7</v>
      </c>
      <c r="C30" s="168">
        <v>7</v>
      </c>
      <c r="D30" s="168">
        <v>7</v>
      </c>
      <c r="E30" s="168">
        <v>4.8</v>
      </c>
      <c r="F30" s="285">
        <v>12</v>
      </c>
      <c r="G30" s="284"/>
    </row>
    <row r="31" spans="1:7" x14ac:dyDescent="0.25">
      <c r="A31" s="283">
        <v>43974</v>
      </c>
      <c r="B31" s="168"/>
      <c r="C31" s="168"/>
      <c r="D31" s="168"/>
      <c r="E31" s="168"/>
      <c r="F31" s="285"/>
      <c r="G31" s="284"/>
    </row>
    <row r="32" spans="1:7" ht="15.75" thickBot="1" x14ac:dyDescent="0.3">
      <c r="A32" s="283">
        <v>43975</v>
      </c>
      <c r="B32" s="26"/>
      <c r="C32" s="168"/>
      <c r="D32" s="26"/>
      <c r="E32" s="168"/>
      <c r="F32" s="285"/>
      <c r="G32" s="284"/>
    </row>
    <row r="33" spans="1:7" x14ac:dyDescent="0.25">
      <c r="A33" s="294">
        <v>43976</v>
      </c>
      <c r="B33" s="409" t="s">
        <v>32</v>
      </c>
      <c r="C33" s="295">
        <v>7</v>
      </c>
      <c r="D33" s="287">
        <v>10</v>
      </c>
      <c r="E33" s="296">
        <v>4.8</v>
      </c>
      <c r="F33" s="285">
        <v>15</v>
      </c>
      <c r="G33" s="284"/>
    </row>
    <row r="34" spans="1:7" x14ac:dyDescent="0.25">
      <c r="A34" s="294">
        <v>43977</v>
      </c>
      <c r="B34" s="410"/>
      <c r="C34" s="295">
        <v>7</v>
      </c>
      <c r="D34" s="289">
        <v>10</v>
      </c>
      <c r="E34" s="296">
        <v>4.8</v>
      </c>
      <c r="F34" s="285">
        <v>5</v>
      </c>
      <c r="G34" s="284"/>
    </row>
    <row r="35" spans="1:7" x14ac:dyDescent="0.25">
      <c r="A35" s="294">
        <v>43978</v>
      </c>
      <c r="B35" s="410"/>
      <c r="C35" s="295">
        <v>7</v>
      </c>
      <c r="D35" s="289">
        <v>10</v>
      </c>
      <c r="E35" s="296">
        <v>4.8</v>
      </c>
      <c r="F35" s="285">
        <v>2</v>
      </c>
      <c r="G35" s="284"/>
    </row>
    <row r="36" spans="1:7" x14ac:dyDescent="0.25">
      <c r="A36" s="294">
        <v>43979</v>
      </c>
      <c r="B36" s="410"/>
      <c r="C36" s="295">
        <v>7</v>
      </c>
      <c r="D36" s="289">
        <v>10</v>
      </c>
      <c r="E36" s="296">
        <v>4.8</v>
      </c>
      <c r="F36" s="285">
        <v>9</v>
      </c>
      <c r="G36" s="284"/>
    </row>
    <row r="37" spans="1:7" ht="15.75" thickBot="1" x14ac:dyDescent="0.3">
      <c r="A37" s="294">
        <v>43980</v>
      </c>
      <c r="B37" s="411"/>
      <c r="C37" s="295">
        <v>7</v>
      </c>
      <c r="D37" s="290">
        <v>8</v>
      </c>
      <c r="E37" s="296">
        <v>4.8</v>
      </c>
      <c r="F37" s="285">
        <v>10</v>
      </c>
      <c r="G37" s="284"/>
    </row>
    <row r="38" spans="1:7" x14ac:dyDescent="0.25">
      <c r="A38" s="283">
        <v>43981</v>
      </c>
      <c r="B38" s="293"/>
      <c r="C38" s="168"/>
      <c r="D38" s="293"/>
      <c r="E38" s="168"/>
      <c r="F38" s="285">
        <v>12</v>
      </c>
      <c r="G38" s="284"/>
    </row>
    <row r="39" spans="1:7" ht="15.75" thickBot="1" x14ac:dyDescent="0.3">
      <c r="A39" s="297">
        <v>43982</v>
      </c>
      <c r="B39" s="273"/>
      <c r="C39" s="273"/>
      <c r="D39" s="273"/>
      <c r="E39" s="273"/>
      <c r="F39" s="298">
        <v>4</v>
      </c>
      <c r="G39" s="284"/>
    </row>
  </sheetData>
  <mergeCells count="6">
    <mergeCell ref="B33:B37"/>
    <mergeCell ref="A1:F1"/>
    <mergeCell ref="B9:F9"/>
    <mergeCell ref="B16:F16"/>
    <mergeCell ref="C19:C23"/>
    <mergeCell ref="B29:F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4"/>
  <sheetViews>
    <sheetView zoomScaleNormal="100" workbookViewId="0">
      <selection activeCell="B5" sqref="B5"/>
    </sheetView>
    <sheetView topLeftCell="A16" workbookViewId="1">
      <selection activeCell="E2" sqref="E2"/>
    </sheetView>
  </sheetViews>
  <sheetFormatPr baseColWidth="10" defaultRowHeight="12.75" x14ac:dyDescent="0.25"/>
  <cols>
    <col min="1" max="1" width="55.28515625" style="131" bestFit="1" customWidth="1"/>
    <col min="2" max="2" width="13.7109375" style="131" customWidth="1"/>
    <col min="3" max="3" width="11.42578125" style="131"/>
    <col min="4" max="4" width="21.28515625" style="131" bestFit="1" customWidth="1"/>
    <col min="5" max="5" width="11.7109375" style="131" bestFit="1" customWidth="1"/>
    <col min="6" max="6" width="10.140625" style="131" bestFit="1" customWidth="1"/>
    <col min="7" max="7" width="10.42578125" style="131" bestFit="1" customWidth="1"/>
    <col min="8" max="8" width="14" style="131" bestFit="1" customWidth="1"/>
    <col min="9" max="16384" width="11.42578125" style="131"/>
  </cols>
  <sheetData>
    <row r="1" spans="1:10" ht="15" customHeight="1" x14ac:dyDescent="0.25">
      <c r="A1" s="127" t="s">
        <v>14</v>
      </c>
      <c r="B1" s="128"/>
      <c r="C1" s="128"/>
      <c r="D1" s="128"/>
      <c r="E1" s="129"/>
      <c r="F1" s="130">
        <v>2000</v>
      </c>
      <c r="G1" s="213"/>
    </row>
    <row r="2" spans="1:10" ht="15" customHeight="1" x14ac:dyDescent="0.25">
      <c r="A2" s="132" t="s">
        <v>32</v>
      </c>
      <c r="B2" s="123">
        <v>35</v>
      </c>
      <c r="C2" s="124"/>
      <c r="D2" s="125"/>
      <c r="E2" s="306">
        <f>F1/147</f>
        <v>13.605442176870747</v>
      </c>
      <c r="F2" s="126">
        <f>-B2*E2</f>
        <v>-476.19047619047615</v>
      </c>
      <c r="G2" s="214"/>
    </row>
    <row r="3" spans="1:10" ht="15" customHeight="1" x14ac:dyDescent="0.25">
      <c r="A3" s="132"/>
      <c r="B3" s="133"/>
      <c r="C3" s="133"/>
      <c r="D3" s="133"/>
      <c r="E3" s="134"/>
      <c r="F3" s="135"/>
      <c r="G3" s="213"/>
    </row>
    <row r="4" spans="1:10" ht="15" customHeight="1" x14ac:dyDescent="0.25">
      <c r="A4" s="132"/>
      <c r="B4" s="133"/>
      <c r="C4" s="133"/>
      <c r="D4" s="133"/>
      <c r="E4" s="134"/>
      <c r="F4" s="136"/>
      <c r="G4" s="215"/>
    </row>
    <row r="5" spans="1:10" ht="15" customHeight="1" thickBot="1" x14ac:dyDescent="0.3">
      <c r="A5" s="137" t="s">
        <v>87</v>
      </c>
      <c r="B5" s="138">
        <v>1700</v>
      </c>
      <c r="C5" s="139"/>
      <c r="D5" s="140"/>
      <c r="E5" s="305"/>
      <c r="F5" s="141">
        <f>E5*B5</f>
        <v>0</v>
      </c>
      <c r="G5" s="216"/>
    </row>
    <row r="6" spans="1:10" ht="15" customHeight="1" thickBot="1" x14ac:dyDescent="0.3">
      <c r="F6" s="194">
        <f>F1+F2+F3+F4+F5</f>
        <v>1523.8095238095239</v>
      </c>
      <c r="G6" s="216"/>
    </row>
    <row r="7" spans="1:10" ht="15" customHeight="1" thickBot="1" x14ac:dyDescent="0.3"/>
    <row r="8" spans="1:10" ht="24" customHeight="1" x14ac:dyDescent="0.25">
      <c r="A8" s="142" t="s">
        <v>35</v>
      </c>
      <c r="B8" s="143"/>
      <c r="C8" s="144"/>
      <c r="D8" s="144"/>
      <c r="E8" s="145"/>
      <c r="F8" s="146"/>
      <c r="G8" s="217"/>
      <c r="H8" s="333"/>
      <c r="I8" s="334" t="s">
        <v>150</v>
      </c>
      <c r="J8" s="335" t="s">
        <v>153</v>
      </c>
    </row>
    <row r="9" spans="1:10" ht="25.5" x14ac:dyDescent="0.25">
      <c r="A9" s="147"/>
      <c r="B9" s="148" t="s">
        <v>57</v>
      </c>
      <c r="C9" s="148" t="s">
        <v>22</v>
      </c>
      <c r="D9" s="148" t="s">
        <v>58</v>
      </c>
      <c r="E9" s="149" t="s">
        <v>22</v>
      </c>
      <c r="F9" s="150" t="s">
        <v>59</v>
      </c>
      <c r="G9" s="218"/>
      <c r="H9" s="309" t="s">
        <v>149</v>
      </c>
      <c r="I9" s="133"/>
      <c r="J9" s="136"/>
    </row>
    <row r="10" spans="1:10" ht="15" customHeight="1" x14ac:dyDescent="0.25">
      <c r="A10" s="103" t="s">
        <v>36</v>
      </c>
      <c r="B10" s="151"/>
      <c r="C10" s="116"/>
      <c r="D10" s="116"/>
      <c r="E10" s="152"/>
      <c r="F10" s="170"/>
      <c r="G10" s="219"/>
      <c r="H10" s="132" t="s">
        <v>151</v>
      </c>
      <c r="I10" s="307">
        <f>2*20</f>
        <v>40</v>
      </c>
      <c r="J10" s="308">
        <f>24*2</f>
        <v>48</v>
      </c>
    </row>
    <row r="11" spans="1:10" ht="15" customHeight="1" x14ac:dyDescent="0.25">
      <c r="A11" s="153" t="s">
        <v>90</v>
      </c>
      <c r="B11" s="99">
        <f>$F$6</f>
        <v>1523.8095238095239</v>
      </c>
      <c r="C11" s="154"/>
      <c r="D11" s="154"/>
      <c r="E11" s="122">
        <v>7.0000000000000007E-2</v>
      </c>
      <c r="F11" s="102">
        <f>E11*B11</f>
        <v>106.66666666666669</v>
      </c>
      <c r="G11" s="220"/>
      <c r="H11" s="132" t="s">
        <v>152</v>
      </c>
      <c r="I11" s="307">
        <v>10</v>
      </c>
      <c r="J11" s="308">
        <v>12</v>
      </c>
    </row>
    <row r="12" spans="1:10" ht="15" customHeight="1" x14ac:dyDescent="0.25">
      <c r="A12" s="153" t="s">
        <v>60</v>
      </c>
      <c r="B12" s="99">
        <f t="shared" ref="B12:B21" si="0">$F$6</f>
        <v>1523.8095238095239</v>
      </c>
      <c r="C12" s="104"/>
      <c r="D12" s="155"/>
      <c r="E12" s="211"/>
      <c r="F12" s="102"/>
      <c r="G12" s="220"/>
      <c r="H12" s="309" t="s">
        <v>154</v>
      </c>
      <c r="I12" s="307"/>
      <c r="J12" s="308"/>
    </row>
    <row r="13" spans="1:10" ht="15" customHeight="1" x14ac:dyDescent="0.25">
      <c r="A13" s="153" t="s">
        <v>37</v>
      </c>
      <c r="B13" s="99"/>
      <c r="C13" s="104"/>
      <c r="D13" s="105">
        <f>I15</f>
        <v>67</v>
      </c>
      <c r="E13" s="211"/>
      <c r="F13" s="171">
        <f>J15</f>
        <v>74</v>
      </c>
      <c r="G13" s="221"/>
      <c r="H13" s="132" t="s">
        <v>151</v>
      </c>
      <c r="I13" s="307">
        <f>7*2</f>
        <v>14</v>
      </c>
      <c r="J13" s="308">
        <f>5*2</f>
        <v>10</v>
      </c>
    </row>
    <row r="14" spans="1:10" ht="15" customHeight="1" x14ac:dyDescent="0.25">
      <c r="A14" s="103" t="s">
        <v>75</v>
      </c>
      <c r="B14" s="99">
        <f t="shared" si="0"/>
        <v>1523.8095238095239</v>
      </c>
      <c r="C14" s="104"/>
      <c r="D14" s="101"/>
      <c r="E14" s="122">
        <v>2.7E-2</v>
      </c>
      <c r="F14" s="102">
        <f>E14*B14</f>
        <v>41.142857142857146</v>
      </c>
      <c r="G14" s="220"/>
      <c r="H14" s="132" t="s">
        <v>152</v>
      </c>
      <c r="I14" s="307">
        <v>3</v>
      </c>
      <c r="J14" s="308">
        <v>4</v>
      </c>
    </row>
    <row r="15" spans="1:10" ht="15" customHeight="1" thickBot="1" x14ac:dyDescent="0.3">
      <c r="A15" s="103" t="s">
        <v>39</v>
      </c>
      <c r="B15" s="99"/>
      <c r="C15" s="100"/>
      <c r="D15" s="101"/>
      <c r="E15" s="122"/>
      <c r="F15" s="102"/>
      <c r="G15" s="220"/>
      <c r="H15" s="137" t="s">
        <v>155</v>
      </c>
      <c r="I15" s="310">
        <f>SUM(I10:I14)</f>
        <v>67</v>
      </c>
      <c r="J15" s="311">
        <f>SUM(J10:J14)</f>
        <v>74</v>
      </c>
    </row>
    <row r="16" spans="1:10" ht="15" customHeight="1" x14ac:dyDescent="0.25">
      <c r="A16" s="153" t="s">
        <v>76</v>
      </c>
      <c r="B16" s="99">
        <f t="shared" si="0"/>
        <v>1523.8095238095239</v>
      </c>
      <c r="C16" s="104">
        <v>6.9000000000000006E-2</v>
      </c>
      <c r="D16" s="105">
        <f>B16*C16</f>
        <v>105.14285714285715</v>
      </c>
      <c r="E16" s="211">
        <v>8.5500000000000007E-2</v>
      </c>
      <c r="F16" s="102">
        <f t="shared" ref="F16:F20" si="1">E16*B16</f>
        <v>130.28571428571431</v>
      </c>
      <c r="G16" s="220"/>
    </row>
    <row r="17" spans="1:7" ht="15" customHeight="1" x14ac:dyDescent="0.25">
      <c r="A17" s="153" t="s">
        <v>77</v>
      </c>
      <c r="B17" s="99">
        <f t="shared" si="0"/>
        <v>1523.8095238095239</v>
      </c>
      <c r="C17" s="104">
        <v>4.0000000000000001E-3</v>
      </c>
      <c r="D17" s="105">
        <f>B17*C17</f>
        <v>6.0952380952380958</v>
      </c>
      <c r="E17" s="211">
        <v>1.9E-2</v>
      </c>
      <c r="F17" s="102">
        <f t="shared" si="1"/>
        <v>28.952380952380953</v>
      </c>
      <c r="G17" s="220"/>
    </row>
    <row r="18" spans="1:7" ht="15" customHeight="1" x14ac:dyDescent="0.25">
      <c r="A18" s="153" t="s">
        <v>92</v>
      </c>
      <c r="B18" s="99">
        <f t="shared" si="0"/>
        <v>1523.8095238095239</v>
      </c>
      <c r="C18" s="104">
        <v>4.0099999999999997E-2</v>
      </c>
      <c r="D18" s="105">
        <f>B18*C18</f>
        <v>61.104761904761901</v>
      </c>
      <c r="E18" s="211">
        <v>6.0100000000000001E-2</v>
      </c>
      <c r="F18" s="102">
        <f t="shared" si="1"/>
        <v>91.580952380952382</v>
      </c>
      <c r="G18" s="220"/>
    </row>
    <row r="19" spans="1:7" ht="15" customHeight="1" x14ac:dyDescent="0.25">
      <c r="A19" s="98" t="s">
        <v>93</v>
      </c>
      <c r="B19" s="99">
        <f t="shared" si="0"/>
        <v>1523.8095238095239</v>
      </c>
      <c r="C19" s="100"/>
      <c r="D19" s="101"/>
      <c r="E19" s="122">
        <v>3.4500000000000003E-2</v>
      </c>
      <c r="F19" s="102">
        <f t="shared" si="1"/>
        <v>52.571428571428577</v>
      </c>
      <c r="G19" s="222"/>
    </row>
    <row r="20" spans="1:7" ht="15" customHeight="1" x14ac:dyDescent="0.25">
      <c r="A20" s="103" t="s">
        <v>79</v>
      </c>
      <c r="B20" s="99">
        <f t="shared" si="0"/>
        <v>1523.8095238095239</v>
      </c>
      <c r="C20" s="100"/>
      <c r="D20" s="101"/>
      <c r="E20" s="122">
        <v>4.2000000000000003E-2</v>
      </c>
      <c r="F20" s="102">
        <f t="shared" si="1"/>
        <v>64</v>
      </c>
      <c r="G20" s="220"/>
    </row>
    <row r="21" spans="1:7" ht="15" customHeight="1" x14ac:dyDescent="0.25">
      <c r="A21" s="103" t="s">
        <v>74</v>
      </c>
      <c r="B21" s="99">
        <f t="shared" si="0"/>
        <v>1523.8095238095239</v>
      </c>
      <c r="C21" s="100"/>
      <c r="D21" s="101"/>
      <c r="E21" s="122"/>
      <c r="F21" s="251">
        <f>D51</f>
        <v>25.081904761904767</v>
      </c>
      <c r="G21" s="220"/>
    </row>
    <row r="22" spans="1:7" ht="15" customHeight="1" x14ac:dyDescent="0.25">
      <c r="A22" s="103" t="s">
        <v>41</v>
      </c>
      <c r="B22" s="99">
        <f>$F$6*98.25%+F12+F13</f>
        <v>1571.1428571428573</v>
      </c>
      <c r="C22" s="104">
        <v>2.9000000000000001E-2</v>
      </c>
      <c r="D22" s="105">
        <f>B22*C22</f>
        <v>45.563142857142864</v>
      </c>
      <c r="E22" s="211"/>
      <c r="F22" s="102"/>
      <c r="G22" s="220"/>
    </row>
    <row r="23" spans="1:7" ht="15" customHeight="1" x14ac:dyDescent="0.25">
      <c r="A23" s="103" t="s">
        <v>42</v>
      </c>
      <c r="B23" s="99">
        <f>$F$6*98.25%+F12+F13</f>
        <v>1571.1428571428573</v>
      </c>
      <c r="C23" s="104">
        <v>6.8000000000000005E-2</v>
      </c>
      <c r="D23" s="105">
        <f>B23*C23</f>
        <v>106.83771428571431</v>
      </c>
      <c r="E23" s="106"/>
      <c r="F23" s="102"/>
      <c r="G23" s="220"/>
    </row>
    <row r="24" spans="1:7" ht="15" customHeight="1" x14ac:dyDescent="0.25">
      <c r="A24" s="103" t="s">
        <v>68</v>
      </c>
      <c r="B24" s="99"/>
      <c r="C24" s="95">
        <v>9.7000000000000003E-2</v>
      </c>
      <c r="D24" s="96"/>
      <c r="E24" s="97"/>
      <c r="F24" s="102"/>
      <c r="G24" s="220"/>
    </row>
    <row r="25" spans="1:7" ht="15" customHeight="1" x14ac:dyDescent="0.25">
      <c r="A25" s="94" t="s">
        <v>71</v>
      </c>
      <c r="B25" s="107"/>
      <c r="C25" s="108"/>
      <c r="D25" s="109"/>
      <c r="E25" s="110"/>
      <c r="F25" s="169">
        <f>-H74</f>
        <v>-188.49523809523805</v>
      </c>
      <c r="G25" s="220"/>
    </row>
    <row r="26" spans="1:7" ht="15" customHeight="1" x14ac:dyDescent="0.25">
      <c r="A26" s="94" t="s">
        <v>69</v>
      </c>
      <c r="B26" s="111"/>
      <c r="C26" s="112"/>
      <c r="D26" s="113"/>
      <c r="E26" s="114"/>
      <c r="F26" s="172"/>
      <c r="G26" s="222"/>
    </row>
    <row r="27" spans="1:7" ht="15" customHeight="1" x14ac:dyDescent="0.25">
      <c r="A27" s="94" t="s">
        <v>40</v>
      </c>
      <c r="B27" s="99"/>
      <c r="C27" s="95">
        <v>0.11310000000000001</v>
      </c>
      <c r="D27" s="96">
        <f>B27*C27</f>
        <v>0</v>
      </c>
      <c r="E27" s="212"/>
      <c r="F27" s="169"/>
      <c r="G27" s="223"/>
    </row>
    <row r="28" spans="1:7" ht="15" customHeight="1" x14ac:dyDescent="0.25">
      <c r="A28" s="103" t="s">
        <v>44</v>
      </c>
      <c r="B28" s="115"/>
      <c r="C28" s="116"/>
      <c r="D28" s="117">
        <f>SUM(D10:D26)</f>
        <v>391.7437142857143</v>
      </c>
      <c r="E28" s="118"/>
      <c r="F28" s="119">
        <f>SUM(F11:F26)</f>
        <v>425.78666666666675</v>
      </c>
      <c r="G28" s="224"/>
    </row>
    <row r="29" spans="1:7" ht="15" customHeight="1" thickBot="1" x14ac:dyDescent="0.3">
      <c r="A29" s="103"/>
      <c r="B29" s="115"/>
      <c r="C29" s="116"/>
      <c r="D29" s="115"/>
      <c r="E29" s="120"/>
      <c r="F29" s="195"/>
      <c r="G29" s="225"/>
    </row>
    <row r="30" spans="1:7" ht="15" customHeight="1" thickBot="1" x14ac:dyDescent="0.3">
      <c r="A30" s="121" t="s">
        <v>45</v>
      </c>
      <c r="B30" s="115"/>
      <c r="C30" s="116"/>
      <c r="D30" s="173"/>
      <c r="E30" s="120"/>
      <c r="F30" s="196">
        <f>F6-D28</f>
        <v>1132.0658095238095</v>
      </c>
      <c r="G30" s="226"/>
    </row>
    <row r="31" spans="1:7" ht="26.25" customHeight="1" x14ac:dyDescent="0.25">
      <c r="A31" s="103" t="s">
        <v>46</v>
      </c>
      <c r="B31" s="115"/>
      <c r="C31" s="116"/>
      <c r="D31" s="115"/>
      <c r="E31" s="120"/>
      <c r="F31" s="198">
        <f>D58</f>
        <v>21.290571428571429</v>
      </c>
      <c r="G31" s="226"/>
    </row>
    <row r="32" spans="1:7" ht="16.5" customHeight="1" x14ac:dyDescent="0.25">
      <c r="A32" s="418" t="s">
        <v>47</v>
      </c>
      <c r="B32" s="420" t="s">
        <v>48</v>
      </c>
      <c r="C32" s="156" t="s">
        <v>22</v>
      </c>
      <c r="D32" s="422"/>
      <c r="E32" s="157"/>
      <c r="F32" s="424" t="s">
        <v>49</v>
      </c>
      <c r="G32" s="218"/>
    </row>
    <row r="33" spans="1:7" x14ac:dyDescent="0.25">
      <c r="A33" s="419"/>
      <c r="B33" s="421"/>
      <c r="C33" s="148" t="s">
        <v>50</v>
      </c>
      <c r="D33" s="423"/>
      <c r="E33" s="158"/>
      <c r="F33" s="425"/>
      <c r="G33" s="218"/>
    </row>
    <row r="34" spans="1:7" ht="21" customHeight="1" thickBot="1" x14ac:dyDescent="0.3">
      <c r="A34" s="121" t="s">
        <v>51</v>
      </c>
      <c r="B34" s="91">
        <f>B36</f>
        <v>1251.6289523809523</v>
      </c>
      <c r="C34" s="92">
        <v>4.4999999999999998E-2</v>
      </c>
      <c r="D34" s="91"/>
      <c r="E34" s="91"/>
      <c r="F34" s="197">
        <f>B34*C34</f>
        <v>56.323302857142856</v>
      </c>
      <c r="G34" s="227"/>
    </row>
    <row r="35" spans="1:7" ht="19.5" customHeight="1" thickBot="1" x14ac:dyDescent="0.3">
      <c r="A35" s="153"/>
      <c r="B35" s="154"/>
      <c r="C35" s="159"/>
      <c r="D35" s="160" t="s">
        <v>52</v>
      </c>
      <c r="E35" s="161"/>
      <c r="F35" s="199">
        <f>F30-F34</f>
        <v>1075.7425066666667</v>
      </c>
      <c r="G35" s="227"/>
    </row>
    <row r="36" spans="1:7" ht="25.5" x14ac:dyDescent="0.25">
      <c r="A36" s="94" t="s">
        <v>80</v>
      </c>
      <c r="B36" s="162">
        <f>F6-D28+D22+F13</f>
        <v>1251.6289523809523</v>
      </c>
      <c r="C36" s="163"/>
      <c r="D36" s="160" t="s">
        <v>54</v>
      </c>
      <c r="E36" s="161"/>
      <c r="F36" s="263">
        <f>D66</f>
        <v>307.35238095238088</v>
      </c>
      <c r="G36" s="227"/>
    </row>
    <row r="37" spans="1:7" x14ac:dyDescent="0.25">
      <c r="A37" s="440"/>
      <c r="B37" s="442"/>
      <c r="C37" s="444"/>
      <c r="D37" s="164" t="s">
        <v>55</v>
      </c>
      <c r="E37" s="165"/>
      <c r="F37" s="446">
        <f>F6+F28</f>
        <v>1949.5961904761907</v>
      </c>
      <c r="G37" s="220"/>
    </row>
    <row r="38" spans="1:7" ht="13.5" thickBot="1" x14ac:dyDescent="0.3">
      <c r="A38" s="441"/>
      <c r="B38" s="443"/>
      <c r="C38" s="445"/>
      <c r="D38" s="166" t="s">
        <v>56</v>
      </c>
      <c r="E38" s="167"/>
      <c r="F38" s="447"/>
      <c r="G38" s="225"/>
    </row>
    <row r="39" spans="1:7" ht="15.75" customHeight="1" x14ac:dyDescent="0.25"/>
    <row r="40" spans="1:7" ht="15.75" customHeight="1" thickBot="1" x14ac:dyDescent="0.3">
      <c r="A40" s="429" t="s">
        <v>74</v>
      </c>
      <c r="B40" s="430"/>
      <c r="C40" s="228"/>
      <c r="D40" s="228"/>
    </row>
    <row r="41" spans="1:7" ht="15.75" customHeight="1" x14ac:dyDescent="0.25">
      <c r="A41" s="229"/>
      <c r="B41" s="431">
        <f>+F6</f>
        <v>1523.8095238095239</v>
      </c>
      <c r="C41" s="434">
        <f>0.3%+0.68%+0.55%+0.016%</f>
        <v>1.5460000000000002E-2</v>
      </c>
      <c r="D41" s="437">
        <f>B41*C41</f>
        <v>23.558095238095241</v>
      </c>
    </row>
    <row r="42" spans="1:7" ht="15.75" customHeight="1" x14ac:dyDescent="0.25">
      <c r="A42" s="230" t="s">
        <v>97</v>
      </c>
      <c r="B42" s="432"/>
      <c r="C42" s="435"/>
      <c r="D42" s="438"/>
    </row>
    <row r="43" spans="1:7" ht="15.75" customHeight="1" x14ac:dyDescent="0.25">
      <c r="A43" s="230" t="s">
        <v>98</v>
      </c>
      <c r="B43" s="432"/>
      <c r="C43" s="435"/>
      <c r="D43" s="438"/>
    </row>
    <row r="44" spans="1:7" ht="15.75" customHeight="1" x14ac:dyDescent="0.25">
      <c r="A44" s="230" t="s">
        <v>99</v>
      </c>
      <c r="B44" s="432"/>
      <c r="C44" s="435"/>
      <c r="D44" s="438"/>
    </row>
    <row r="45" spans="1:7" ht="15" x14ac:dyDescent="0.25">
      <c r="A45" s="230" t="s">
        <v>100</v>
      </c>
      <c r="B45" s="432"/>
      <c r="C45" s="435"/>
      <c r="D45" s="438"/>
    </row>
    <row r="46" spans="1:7" ht="15" x14ac:dyDescent="0.25">
      <c r="A46" s="230" t="s">
        <v>101</v>
      </c>
      <c r="B46" s="432"/>
      <c r="C46" s="435"/>
      <c r="D46" s="438"/>
    </row>
    <row r="47" spans="1:7" ht="15.75" thickBot="1" x14ac:dyDescent="0.3">
      <c r="A47" s="231" t="s">
        <v>102</v>
      </c>
      <c r="B47" s="433"/>
      <c r="C47" s="436"/>
      <c r="D47" s="439"/>
    </row>
    <row r="48" spans="1:7" ht="15.75" thickBot="1" x14ac:dyDescent="0.3">
      <c r="A48" s="228"/>
      <c r="B48" s="232"/>
      <c r="C48" s="232"/>
      <c r="D48" s="232"/>
    </row>
    <row r="49" spans="1:4" ht="15.75" thickBot="1" x14ac:dyDescent="0.3">
      <c r="A49" s="233" t="s">
        <v>103</v>
      </c>
      <c r="B49" s="234">
        <f>B41</f>
        <v>1523.8095238095239</v>
      </c>
      <c r="C49" s="235">
        <v>1E-3</v>
      </c>
      <c r="D49" s="236">
        <f>C49*B49</f>
        <v>1.5238095238095239</v>
      </c>
    </row>
    <row r="50" spans="1:4" ht="15.75" thickBot="1" x14ac:dyDescent="0.3">
      <c r="A50" s="228"/>
      <c r="B50" s="228"/>
      <c r="C50" s="228"/>
      <c r="D50" s="228"/>
    </row>
    <row r="51" spans="1:4" ht="15.75" thickBot="1" x14ac:dyDescent="0.3">
      <c r="A51" s="233" t="s">
        <v>104</v>
      </c>
      <c r="B51" s="237"/>
      <c r="C51" s="237"/>
      <c r="D51" s="238">
        <f>D41+D49</f>
        <v>25.081904761904767</v>
      </c>
    </row>
    <row r="52" spans="1:4" ht="15.75" thickBot="1" x14ac:dyDescent="0.3">
      <c r="A52" s="228"/>
      <c r="B52" s="228"/>
      <c r="C52" s="228"/>
      <c r="D52" s="228"/>
    </row>
    <row r="53" spans="1:4" ht="15" thickBot="1" x14ac:dyDescent="0.3">
      <c r="A53" s="426" t="s">
        <v>105</v>
      </c>
      <c r="B53" s="427"/>
      <c r="C53" s="427"/>
      <c r="D53" s="428"/>
    </row>
    <row r="54" spans="1:4" ht="15" x14ac:dyDescent="0.25">
      <c r="A54" s="239" t="s">
        <v>106</v>
      </c>
      <c r="B54" s="243">
        <f>F6</f>
        <v>1523.8095238095239</v>
      </c>
      <c r="C54" s="240">
        <v>2.4E-2</v>
      </c>
      <c r="D54" s="241">
        <f>C54*B54</f>
        <v>36.571428571428577</v>
      </c>
    </row>
    <row r="55" spans="1:4" ht="15" x14ac:dyDescent="0.25">
      <c r="A55" s="242" t="s">
        <v>107</v>
      </c>
      <c r="B55" s="243">
        <f>B54</f>
        <v>1523.8095238095239</v>
      </c>
      <c r="C55" s="244">
        <v>7.4999999999999997E-3</v>
      </c>
      <c r="D55" s="245">
        <f t="shared" ref="D55:D56" si="2">C55*B55</f>
        <v>11.428571428571429</v>
      </c>
    </row>
    <row r="56" spans="1:4" ht="15" x14ac:dyDescent="0.25">
      <c r="A56" s="242" t="s">
        <v>108</v>
      </c>
      <c r="B56" s="243">
        <f>B23</f>
        <v>1571.1428571428573</v>
      </c>
      <c r="C56" s="244">
        <v>-1.7000000000000001E-2</v>
      </c>
      <c r="D56" s="245">
        <f t="shared" si="2"/>
        <v>-26.709428571428578</v>
      </c>
    </row>
    <row r="57" spans="1:4" ht="15" x14ac:dyDescent="0.25">
      <c r="A57" s="45" t="s">
        <v>109</v>
      </c>
      <c r="B57" s="246">
        <f>B24</f>
        <v>0</v>
      </c>
      <c r="C57" s="50">
        <v>0.11310000000000001</v>
      </c>
      <c r="D57" s="247">
        <f>C57*B57</f>
        <v>0</v>
      </c>
    </row>
    <row r="58" spans="1:4" ht="15.75" thickBot="1" x14ac:dyDescent="0.3">
      <c r="A58" s="265" t="s">
        <v>110</v>
      </c>
      <c r="B58" s="248"/>
      <c r="C58" s="249"/>
      <c r="D58" s="250">
        <f>SUM(D54:D57)</f>
        <v>21.290571428571429</v>
      </c>
    </row>
    <row r="60" spans="1:4" ht="13.5" thickBot="1" x14ac:dyDescent="0.3"/>
    <row r="61" spans="1:4" ht="15" thickBot="1" x14ac:dyDescent="0.3">
      <c r="A61" s="426" t="s">
        <v>117</v>
      </c>
      <c r="B61" s="427"/>
      <c r="C61" s="427"/>
      <c r="D61" s="428"/>
    </row>
    <row r="62" spans="1:4" ht="18" customHeight="1" x14ac:dyDescent="0.25">
      <c r="A62" s="252" t="s">
        <v>111</v>
      </c>
      <c r="B62" s="253"/>
      <c r="C62" s="253"/>
      <c r="D62" s="254">
        <f>H74</f>
        <v>188.49523809523805</v>
      </c>
    </row>
    <row r="63" spans="1:4" ht="18" customHeight="1" x14ac:dyDescent="0.25">
      <c r="A63" s="255" t="s">
        <v>112</v>
      </c>
      <c r="B63" s="256"/>
      <c r="C63" s="257">
        <v>1.5</v>
      </c>
      <c r="D63" s="258" t="s">
        <v>113</v>
      </c>
    </row>
    <row r="64" spans="1:4" ht="18" customHeight="1" x14ac:dyDescent="0.25">
      <c r="A64" s="255" t="s">
        <v>114</v>
      </c>
      <c r="B64" s="259">
        <f>F6</f>
        <v>1523.8095238095239</v>
      </c>
      <c r="C64" s="260">
        <v>1.7999999999999999E-2</v>
      </c>
      <c r="D64" s="261">
        <f>C64*B64</f>
        <v>27.428571428571427</v>
      </c>
    </row>
    <row r="65" spans="1:8" ht="18" customHeight="1" x14ac:dyDescent="0.25">
      <c r="A65" s="255" t="s">
        <v>115</v>
      </c>
      <c r="B65" s="259">
        <f>F6</f>
        <v>1523.8095238095239</v>
      </c>
      <c r="C65" s="260">
        <v>0.06</v>
      </c>
      <c r="D65" s="261">
        <f>C65*B65</f>
        <v>91.428571428571431</v>
      </c>
    </row>
    <row r="66" spans="1:8" ht="18" customHeight="1" thickBot="1" x14ac:dyDescent="0.3">
      <c r="A66" s="266" t="s">
        <v>116</v>
      </c>
      <c r="B66" s="262"/>
      <c r="C66" s="262"/>
      <c r="D66" s="264">
        <f>SUM(D62:D65)</f>
        <v>307.35238095238088</v>
      </c>
    </row>
    <row r="67" spans="1:8" ht="13.5" thickBot="1" x14ac:dyDescent="0.3"/>
    <row r="68" spans="1:8" ht="20.25" x14ac:dyDescent="0.25">
      <c r="A68" s="312" t="s">
        <v>156</v>
      </c>
      <c r="B68" s="313"/>
      <c r="C68" s="313"/>
      <c r="D68" s="313"/>
      <c r="E68" s="313"/>
      <c r="F68" s="313"/>
      <c r="G68" s="313"/>
      <c r="H68" s="314"/>
    </row>
    <row r="69" spans="1:8" ht="25.5" x14ac:dyDescent="0.25">
      <c r="A69" s="315"/>
      <c r="B69" s="316" t="s">
        <v>157</v>
      </c>
      <c r="C69" s="316" t="s">
        <v>158</v>
      </c>
      <c r="D69" s="316" t="s">
        <v>26</v>
      </c>
      <c r="E69" s="317" t="s">
        <v>159</v>
      </c>
      <c r="F69" s="318" t="s">
        <v>160</v>
      </c>
      <c r="G69" s="319" t="s">
        <v>161</v>
      </c>
      <c r="H69" s="320" t="s">
        <v>162</v>
      </c>
    </row>
    <row r="70" spans="1:8" x14ac:dyDescent="0.2">
      <c r="A70" s="321" t="s">
        <v>163</v>
      </c>
      <c r="B70" s="322">
        <v>2000</v>
      </c>
      <c r="C70" s="323">
        <f>B70</f>
        <v>2000</v>
      </c>
      <c r="D70" s="322">
        <f>(35*52/12*10.15)</f>
        <v>1539.4166666666665</v>
      </c>
      <c r="E70" s="323">
        <f>+D70</f>
        <v>1539.4166666666665</v>
      </c>
      <c r="F70" s="324">
        <f>ROUND(0.3205/0.6*((1.6*E70/C70)-1),4)</f>
        <v>0.1237</v>
      </c>
      <c r="G70" s="325">
        <f>F70*C70</f>
        <v>247.4</v>
      </c>
      <c r="H70" s="326">
        <f>G70</f>
        <v>247.4</v>
      </c>
    </row>
    <row r="71" spans="1:8" x14ac:dyDescent="0.2">
      <c r="A71" s="321" t="s">
        <v>164</v>
      </c>
      <c r="B71" s="322">
        <v>2000</v>
      </c>
      <c r="C71" s="323">
        <f>C70+B71</f>
        <v>4000</v>
      </c>
      <c r="D71" s="322">
        <f>(35*52/12*10.15)</f>
        <v>1539.4166666666665</v>
      </c>
      <c r="E71" s="323">
        <f>E70+D71</f>
        <v>3078.833333333333</v>
      </c>
      <c r="F71" s="324">
        <f>ROUND(0.3205/0.6*((1.6*E71/C71)-1),4)</f>
        <v>0.1237</v>
      </c>
      <c r="G71" s="325">
        <f>F71*C71</f>
        <v>494.8</v>
      </c>
      <c r="H71" s="326">
        <f>G71-G70</f>
        <v>247.4</v>
      </c>
    </row>
    <row r="72" spans="1:8" x14ac:dyDescent="0.2">
      <c r="A72" s="321" t="s">
        <v>165</v>
      </c>
      <c r="B72" s="322">
        <v>2000</v>
      </c>
      <c r="C72" s="323">
        <f>C71+B72</f>
        <v>6000</v>
      </c>
      <c r="D72" s="322">
        <f>(35*52/12*10.15)</f>
        <v>1539.4166666666665</v>
      </c>
      <c r="E72" s="323">
        <f>E71+D72</f>
        <v>4618.25</v>
      </c>
      <c r="F72" s="324">
        <f>ROUND(0.3205/0.6*((1.6*E72/C72)-1),4)</f>
        <v>0.1237</v>
      </c>
      <c r="G72" s="325">
        <f>F72*C72</f>
        <v>742.2</v>
      </c>
      <c r="H72" s="326">
        <f>G72-G71</f>
        <v>247.40000000000003</v>
      </c>
    </row>
    <row r="73" spans="1:8" x14ac:dyDescent="0.2">
      <c r="A73" s="321" t="s">
        <v>166</v>
      </c>
      <c r="B73" s="322">
        <v>2000</v>
      </c>
      <c r="C73" s="323">
        <f>C72+B73</f>
        <v>8000</v>
      </c>
      <c r="D73" s="322">
        <f>(35*52/12*10.15)</f>
        <v>1539.4166666666665</v>
      </c>
      <c r="E73" s="323">
        <f>E72+D73</f>
        <v>6157.6666666666661</v>
      </c>
      <c r="F73" s="324">
        <f>ROUND(0.3205/0.6*((1.6*E73/C73)-1),4)</f>
        <v>0.1237</v>
      </c>
      <c r="G73" s="325">
        <f>F73*C73</f>
        <v>989.6</v>
      </c>
      <c r="H73" s="326">
        <f>G73-G72</f>
        <v>247.39999999999998</v>
      </c>
    </row>
    <row r="74" spans="1:8" ht="13.5" thickBot="1" x14ac:dyDescent="0.3">
      <c r="A74" s="327" t="s">
        <v>167</v>
      </c>
      <c r="B74" s="332">
        <f>F6</f>
        <v>1523.8095238095239</v>
      </c>
      <c r="C74" s="328">
        <f>C73+B74</f>
        <v>9523.8095238095229</v>
      </c>
      <c r="D74" s="332">
        <f>1539.42*B74/2000</f>
        <v>1172.8914285714286</v>
      </c>
      <c r="E74" s="328">
        <f>E73+D74</f>
        <v>7330.5580952380951</v>
      </c>
      <c r="F74" s="329">
        <f>ROUND(0.3205/0.6*((1.6*E74/C74)-1),4)</f>
        <v>0.1237</v>
      </c>
      <c r="G74" s="330">
        <f>F74*C74</f>
        <v>1178.0952380952381</v>
      </c>
      <c r="H74" s="331">
        <f>G74-G73</f>
        <v>188.49523809523805</v>
      </c>
    </row>
  </sheetData>
  <mergeCells count="14">
    <mergeCell ref="A32:A33"/>
    <mergeCell ref="B32:B33"/>
    <mergeCell ref="D32:D33"/>
    <mergeCell ref="F32:F33"/>
    <mergeCell ref="A61:D61"/>
    <mergeCell ref="A40:B40"/>
    <mergeCell ref="B41:B47"/>
    <mergeCell ref="C41:C47"/>
    <mergeCell ref="D41:D47"/>
    <mergeCell ref="A53:D53"/>
    <mergeCell ref="A37:A38"/>
    <mergeCell ref="B37:B38"/>
    <mergeCell ref="C37:C38"/>
    <mergeCell ref="F37:F38"/>
  </mergeCells>
  <phoneticPr fontId="37"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9"/>
  <sheetViews>
    <sheetView topLeftCell="A17" zoomScaleNormal="100" workbookViewId="0">
      <selection activeCell="F22" sqref="F22"/>
    </sheetView>
    <sheetView tabSelected="1" topLeftCell="A46" workbookViewId="1">
      <selection activeCell="F8" sqref="F8"/>
    </sheetView>
  </sheetViews>
  <sheetFormatPr baseColWidth="10" defaultRowHeight="15" x14ac:dyDescent="0.25"/>
  <cols>
    <col min="1" max="1" width="56.7109375" style="33" customWidth="1"/>
    <col min="2" max="2" width="13.42578125" style="33" bestFit="1" customWidth="1"/>
    <col min="3" max="3" width="11" style="33" customWidth="1"/>
    <col min="4" max="4" width="17.140625" style="33" customWidth="1"/>
    <col min="5" max="5" width="12.5703125" style="33" customWidth="1"/>
    <col min="6" max="6" width="15.7109375" style="33" customWidth="1"/>
    <col min="7" max="7" width="11.42578125" style="33"/>
    <col min="8" max="8" width="30.140625" style="33" bestFit="1" customWidth="1"/>
    <col min="9" max="11" width="12" style="33" bestFit="1" customWidth="1"/>
    <col min="12" max="12" width="11.42578125" style="33"/>
    <col min="13" max="13" width="12.140625" style="33" bestFit="1" customWidth="1"/>
    <col min="14" max="15" width="12" style="33" bestFit="1" customWidth="1"/>
    <col min="16" max="16384" width="11.42578125" style="33"/>
  </cols>
  <sheetData>
    <row r="1" spans="1:13" ht="15.75" thickBot="1" x14ac:dyDescent="0.3">
      <c r="A1" s="372" t="s">
        <v>170</v>
      </c>
      <c r="B1" s="373"/>
      <c r="C1" s="373"/>
      <c r="D1" s="374">
        <f>3400/26</f>
        <v>130.76923076923077</v>
      </c>
    </row>
    <row r="2" spans="1:13" ht="15.75" thickBot="1" x14ac:dyDescent="0.3">
      <c r="H2" s="400" t="s">
        <v>206</v>
      </c>
      <c r="I2" s="401"/>
      <c r="J2" s="401"/>
      <c r="K2" s="401"/>
      <c r="L2" s="401"/>
      <c r="M2" s="402"/>
    </row>
    <row r="3" spans="1:13" x14ac:dyDescent="0.25">
      <c r="A3" s="21" t="s">
        <v>14</v>
      </c>
      <c r="B3" s="176">
        <v>151.66659999999999</v>
      </c>
      <c r="C3" s="178">
        <f>F3/B3</f>
        <v>22.417592271469132</v>
      </c>
      <c r="D3" s="31"/>
      <c r="E3" s="73"/>
      <c r="F3" s="32">
        <v>3400</v>
      </c>
      <c r="H3" s="22" t="s">
        <v>14</v>
      </c>
      <c r="I3" s="345">
        <v>151.66659999999999</v>
      </c>
      <c r="J3" s="375">
        <f>M3/I3</f>
        <v>22.417592271469132</v>
      </c>
      <c r="K3" s="34"/>
      <c r="L3" s="34"/>
      <c r="M3" s="87">
        <v>3400</v>
      </c>
    </row>
    <row r="4" spans="1:13" x14ac:dyDescent="0.25">
      <c r="A4" s="22" t="s">
        <v>33</v>
      </c>
      <c r="B4" s="34"/>
      <c r="C4" s="177">
        <f>C3*125%</f>
        <v>28.021990339336416</v>
      </c>
      <c r="D4" s="34"/>
      <c r="E4" s="74"/>
      <c r="F4" s="36">
        <f>B4*C4</f>
        <v>0</v>
      </c>
      <c r="H4" s="22" t="s">
        <v>33</v>
      </c>
      <c r="I4" s="34"/>
      <c r="J4" s="375">
        <f>J3*125%</f>
        <v>28.021990339336416</v>
      </c>
      <c r="K4" s="34"/>
      <c r="L4" s="34"/>
      <c r="M4" s="36">
        <f>I4*J4</f>
        <v>0</v>
      </c>
    </row>
    <row r="5" spans="1:13" x14ac:dyDescent="0.25">
      <c r="A5" s="22" t="s">
        <v>34</v>
      </c>
      <c r="B5" s="34"/>
      <c r="C5" s="34"/>
      <c r="D5" s="34"/>
      <c r="E5" s="74"/>
      <c r="F5" s="37"/>
      <c r="H5" s="22" t="s">
        <v>34</v>
      </c>
      <c r="I5" s="34"/>
      <c r="J5" s="34"/>
      <c r="K5" s="34"/>
      <c r="L5" s="34"/>
      <c r="M5" s="37"/>
    </row>
    <row r="6" spans="1:13" x14ac:dyDescent="0.25">
      <c r="A6" s="22" t="s">
        <v>168</v>
      </c>
      <c r="B6" s="338">
        <v>6</v>
      </c>
      <c r="C6" s="34"/>
      <c r="D6" s="34"/>
      <c r="E6" s="336">
        <f>-D1</f>
        <v>-130.76923076923077</v>
      </c>
      <c r="F6" s="337">
        <f>E6*B6</f>
        <v>-784.61538461538464</v>
      </c>
      <c r="H6" s="22" t="s">
        <v>168</v>
      </c>
      <c r="I6" s="338">
        <v>6</v>
      </c>
      <c r="J6" s="34"/>
      <c r="K6" s="34"/>
      <c r="L6" s="360">
        <f>E6</f>
        <v>-130.76923076923077</v>
      </c>
      <c r="M6" s="337">
        <f>L6*I6</f>
        <v>-784.61538461538464</v>
      </c>
    </row>
    <row r="7" spans="1:13" x14ac:dyDescent="0.25">
      <c r="A7" s="22" t="s">
        <v>169</v>
      </c>
      <c r="B7" s="338"/>
      <c r="C7" s="34"/>
      <c r="D7" s="34"/>
      <c r="E7" s="336"/>
      <c r="F7" s="337">
        <f>I34</f>
        <v>1040</v>
      </c>
      <c r="H7" s="22" t="s">
        <v>169</v>
      </c>
      <c r="I7" s="338">
        <v>6</v>
      </c>
      <c r="J7" s="34"/>
      <c r="K7" s="34"/>
      <c r="L7" s="360">
        <f>-L6</f>
        <v>130.76923076923077</v>
      </c>
      <c r="M7" s="337">
        <f>L7*I7</f>
        <v>784.61538461538464</v>
      </c>
    </row>
    <row r="8" spans="1:13" ht="15.75" thickBot="1" x14ac:dyDescent="0.3">
      <c r="A8" s="29" t="s">
        <v>18</v>
      </c>
      <c r="B8" s="62">
        <v>2800</v>
      </c>
      <c r="C8" s="30"/>
      <c r="D8" s="182"/>
      <c r="E8" s="30">
        <v>0.03</v>
      </c>
      <c r="F8" s="183">
        <f>E8*B8</f>
        <v>84</v>
      </c>
      <c r="H8" s="22" t="s">
        <v>207</v>
      </c>
      <c r="I8" s="34"/>
      <c r="J8" s="34"/>
      <c r="K8" s="34"/>
      <c r="L8" s="34"/>
      <c r="M8" s="337">
        <f>I34-M7</f>
        <v>255.38461538461536</v>
      </c>
    </row>
    <row r="9" spans="1:13" ht="15.75" thickBot="1" x14ac:dyDescent="0.3">
      <c r="A9" s="180" t="s">
        <v>35</v>
      </c>
      <c r="F9" s="378">
        <f>SUM(F3:F8)</f>
        <v>3739.3846153846152</v>
      </c>
      <c r="H9" s="350" t="s">
        <v>18</v>
      </c>
      <c r="I9" s="376">
        <v>2800</v>
      </c>
      <c r="J9" s="352"/>
      <c r="K9" s="353"/>
      <c r="L9" s="352">
        <v>0.05</v>
      </c>
      <c r="M9" s="87">
        <f>L9*I9</f>
        <v>140</v>
      </c>
    </row>
    <row r="10" spans="1:13" ht="15.75" thickBot="1" x14ac:dyDescent="0.3">
      <c r="A10" s="181"/>
      <c r="B10" s="39"/>
      <c r="C10" s="40"/>
      <c r="D10" s="40"/>
      <c r="E10" s="75"/>
      <c r="F10" s="41"/>
      <c r="H10" s="354" t="s">
        <v>35</v>
      </c>
      <c r="I10" s="355"/>
      <c r="J10" s="355"/>
      <c r="K10" s="355"/>
      <c r="L10" s="355"/>
      <c r="M10" s="377">
        <f>SUM(M3:M9)</f>
        <v>3795.3846153846152</v>
      </c>
    </row>
    <row r="11" spans="1:13" ht="28.5" x14ac:dyDescent="0.25">
      <c r="A11" s="42"/>
      <c r="B11" s="43" t="s">
        <v>57</v>
      </c>
      <c r="C11" s="43" t="s">
        <v>22</v>
      </c>
      <c r="D11" s="43" t="s">
        <v>58</v>
      </c>
      <c r="E11" s="43" t="s">
        <v>22</v>
      </c>
      <c r="F11" s="44" t="s">
        <v>59</v>
      </c>
      <c r="I11" s="33">
        <f>3428*5</f>
        <v>17140</v>
      </c>
    </row>
    <row r="12" spans="1:13" ht="15.75" thickBot="1" x14ac:dyDescent="0.3">
      <c r="A12" s="45" t="s">
        <v>36</v>
      </c>
      <c r="B12" s="46"/>
      <c r="C12" s="47"/>
      <c r="D12" s="47"/>
      <c r="E12" s="76"/>
      <c r="F12" s="44"/>
    </row>
    <row r="13" spans="1:13" ht="26.25" x14ac:dyDescent="0.25">
      <c r="A13" s="48" t="s">
        <v>89</v>
      </c>
      <c r="B13" s="62">
        <f>F9</f>
        <v>3739.3846153846152</v>
      </c>
      <c r="C13" s="49"/>
      <c r="D13" s="65"/>
      <c r="E13" s="89">
        <v>7.0000000000000007E-2</v>
      </c>
      <c r="F13" s="66">
        <f>B13*E13</f>
        <v>261.7569230769231</v>
      </c>
      <c r="H13" s="333"/>
      <c r="I13" s="334" t="s">
        <v>150</v>
      </c>
      <c r="J13" s="335" t="s">
        <v>153</v>
      </c>
    </row>
    <row r="14" spans="1:13" x14ac:dyDescent="0.25">
      <c r="A14" s="48" t="s">
        <v>60</v>
      </c>
      <c r="B14" s="90">
        <f>F9</f>
        <v>3739.3846153846152</v>
      </c>
      <c r="C14" s="50"/>
      <c r="D14" s="67"/>
      <c r="E14" s="267">
        <v>1.4999999999999999E-2</v>
      </c>
      <c r="F14" s="66">
        <f>B14*E14</f>
        <v>56.090769230769226</v>
      </c>
      <c r="H14" s="309" t="s">
        <v>149</v>
      </c>
      <c r="I14" s="133"/>
      <c r="J14" s="136"/>
    </row>
    <row r="15" spans="1:13" x14ac:dyDescent="0.25">
      <c r="A15" s="48" t="s">
        <v>37</v>
      </c>
      <c r="B15" s="62"/>
      <c r="C15" s="50"/>
      <c r="D15" s="67">
        <v>20</v>
      </c>
      <c r="E15" s="267"/>
      <c r="F15" s="66">
        <v>24</v>
      </c>
      <c r="H15" s="132" t="s">
        <v>151</v>
      </c>
      <c r="I15" s="307">
        <v>20</v>
      </c>
      <c r="J15" s="308">
        <v>24</v>
      </c>
    </row>
    <row r="16" spans="1:13" x14ac:dyDescent="0.25">
      <c r="A16" s="45" t="s">
        <v>38</v>
      </c>
      <c r="B16" s="62">
        <f t="shared" ref="B16:B26" si="0">$F$9</f>
        <v>3739.3846153846152</v>
      </c>
      <c r="D16" s="62"/>
      <c r="E16" s="268">
        <v>2.7E-2</v>
      </c>
      <c r="F16" s="66">
        <f>B16*E16</f>
        <v>100.96338461538461</v>
      </c>
      <c r="H16" s="132" t="s">
        <v>152</v>
      </c>
      <c r="I16" s="307"/>
      <c r="J16" s="308"/>
    </row>
    <row r="17" spans="1:10" x14ac:dyDescent="0.25">
      <c r="A17" s="45" t="s">
        <v>39</v>
      </c>
      <c r="B17" s="62"/>
      <c r="C17" s="51"/>
      <c r="D17" s="62"/>
      <c r="E17" s="89"/>
      <c r="F17" s="66"/>
      <c r="H17" s="309" t="s">
        <v>154</v>
      </c>
      <c r="I17" s="307"/>
      <c r="J17" s="308"/>
    </row>
    <row r="18" spans="1:10" x14ac:dyDescent="0.25">
      <c r="A18" s="48" t="s">
        <v>76</v>
      </c>
      <c r="B18" s="62">
        <f>L49</f>
        <v>3540</v>
      </c>
      <c r="C18" s="50">
        <v>6.9000000000000006E-2</v>
      </c>
      <c r="D18" s="67">
        <f>B18*C18</f>
        <v>244.26000000000002</v>
      </c>
      <c r="E18" s="267">
        <v>8.5500000000000007E-2</v>
      </c>
      <c r="F18" s="66">
        <f t="shared" ref="F18:F24" si="1">B18*E18</f>
        <v>302.67</v>
      </c>
      <c r="H18" s="132" t="s">
        <v>151</v>
      </c>
      <c r="I18" s="307"/>
      <c r="J18" s="308"/>
    </row>
    <row r="19" spans="1:10" x14ac:dyDescent="0.25">
      <c r="A19" s="48" t="s">
        <v>81</v>
      </c>
      <c r="B19" s="62">
        <f t="shared" si="0"/>
        <v>3739.3846153846152</v>
      </c>
      <c r="C19" s="50">
        <v>4.0000000000000001E-3</v>
      </c>
      <c r="D19" s="67">
        <f>B19*C19</f>
        <v>14.957538461538462</v>
      </c>
      <c r="E19" s="267">
        <v>1.9E-2</v>
      </c>
      <c r="F19" s="66">
        <f t="shared" si="1"/>
        <v>71.048307692307688</v>
      </c>
      <c r="H19" s="132" t="s">
        <v>152</v>
      </c>
      <c r="I19" s="307"/>
      <c r="J19" s="308"/>
    </row>
    <row r="20" spans="1:10" ht="15.75" thickBot="1" x14ac:dyDescent="0.3">
      <c r="A20" s="48" t="s">
        <v>82</v>
      </c>
      <c r="B20" s="62">
        <f>B18</f>
        <v>3540</v>
      </c>
      <c r="C20" s="50">
        <v>4.0099999999999997E-2</v>
      </c>
      <c r="D20" s="67">
        <f>B20*C20</f>
        <v>141.95399999999998</v>
      </c>
      <c r="E20" s="267">
        <v>6.0100000000000001E-2</v>
      </c>
      <c r="F20" s="66">
        <f t="shared" si="1"/>
        <v>212.75399999999999</v>
      </c>
      <c r="H20" s="137" t="s">
        <v>155</v>
      </c>
      <c r="I20" s="310">
        <f>SUM(I15:I19)</f>
        <v>20</v>
      </c>
      <c r="J20" s="311">
        <f>SUM(J15:J19)</f>
        <v>24</v>
      </c>
    </row>
    <row r="21" spans="1:10" x14ac:dyDescent="0.25">
      <c r="A21" s="48" t="s">
        <v>83</v>
      </c>
      <c r="B21" s="62">
        <f>M49</f>
        <v>199.38461538461524</v>
      </c>
      <c r="C21" s="50">
        <v>9.7199999999999995E-2</v>
      </c>
      <c r="D21" s="67">
        <f>B21*C21</f>
        <v>19.3801846153846</v>
      </c>
      <c r="E21" s="267">
        <v>0.1457</v>
      </c>
      <c r="F21" s="66">
        <f t="shared" si="1"/>
        <v>29.050338461538441</v>
      </c>
    </row>
    <row r="22" spans="1:10" ht="15.75" thickBot="1" x14ac:dyDescent="0.3">
      <c r="A22" s="48" t="s">
        <v>94</v>
      </c>
      <c r="B22" s="62">
        <f>O49</f>
        <v>17339.384615384617</v>
      </c>
      <c r="C22" s="50">
        <v>1.4E-3</v>
      </c>
      <c r="D22" s="67">
        <f>B22*C22</f>
        <v>24.275138461538464</v>
      </c>
      <c r="E22" s="267">
        <v>2.0999999999999999E-3</v>
      </c>
      <c r="F22" s="66">
        <f t="shared" si="1"/>
        <v>36.412707692307691</v>
      </c>
    </row>
    <row r="23" spans="1:10" x14ac:dyDescent="0.25">
      <c r="A23" s="52" t="s">
        <v>88</v>
      </c>
      <c r="B23" s="62">
        <f t="shared" si="0"/>
        <v>3739.3846153846152</v>
      </c>
      <c r="C23" s="51"/>
      <c r="D23" s="62"/>
      <c r="E23" s="89">
        <v>3.4500000000000003E-2</v>
      </c>
      <c r="F23" s="66">
        <f t="shared" si="1"/>
        <v>129.00876923076925</v>
      </c>
      <c r="H23" s="448" t="s">
        <v>137</v>
      </c>
      <c r="I23" s="449"/>
    </row>
    <row r="24" spans="1:10" x14ac:dyDescent="0.25">
      <c r="A24" s="45" t="s">
        <v>79</v>
      </c>
      <c r="B24" s="62">
        <f t="shared" si="0"/>
        <v>3739.3846153846152</v>
      </c>
      <c r="C24" s="51"/>
      <c r="D24" s="62"/>
      <c r="E24" s="89">
        <v>4.2000000000000003E-2</v>
      </c>
      <c r="F24" s="66">
        <f t="shared" si="1"/>
        <v>157.05415384615384</v>
      </c>
      <c r="H24" s="370" t="s">
        <v>172</v>
      </c>
      <c r="I24" s="37"/>
    </row>
    <row r="25" spans="1:10" x14ac:dyDescent="0.25">
      <c r="A25" s="45" t="s">
        <v>74</v>
      </c>
      <c r="B25" s="62"/>
      <c r="C25" s="51"/>
      <c r="D25" s="62"/>
      <c r="E25" s="89"/>
      <c r="F25" s="269">
        <f>D54</f>
        <v>61.350886153846155</v>
      </c>
      <c r="H25" s="22"/>
      <c r="I25" s="37"/>
    </row>
    <row r="26" spans="1:10" x14ac:dyDescent="0.25">
      <c r="A26" s="45" t="s">
        <v>85</v>
      </c>
      <c r="B26" s="62">
        <f t="shared" si="0"/>
        <v>3739.3846153846152</v>
      </c>
      <c r="C26" s="70">
        <v>2.4000000000000001E-4</v>
      </c>
      <c r="D26" s="62">
        <f>B26*C26</f>
        <v>0.89745230769230766</v>
      </c>
      <c r="E26" s="85">
        <v>3.6000000000000002E-4</v>
      </c>
      <c r="F26" s="66">
        <f>B26*E26</f>
        <v>1.3461784615384615</v>
      </c>
      <c r="H26" s="22" t="s">
        <v>14</v>
      </c>
      <c r="I26" s="37">
        <v>39600</v>
      </c>
    </row>
    <row r="27" spans="1:10" x14ac:dyDescent="0.25">
      <c r="A27" s="45" t="s">
        <v>41</v>
      </c>
      <c r="B27" s="62">
        <f>$F$9*98.25%+F14+F15</f>
        <v>3754.0361538461539</v>
      </c>
      <c r="C27" s="50">
        <v>2.9000000000000001E-2</v>
      </c>
      <c r="D27" s="67">
        <f>B27*C27</f>
        <v>108.86704846153847</v>
      </c>
      <c r="E27" s="267"/>
      <c r="F27" s="66"/>
      <c r="H27" s="22" t="s">
        <v>173</v>
      </c>
      <c r="I27" s="37">
        <v>800</v>
      </c>
    </row>
    <row r="28" spans="1:10" x14ac:dyDescent="0.25">
      <c r="A28" s="45" t="s">
        <v>42</v>
      </c>
      <c r="B28" s="62">
        <f>$F$9*98.25%+F14+F15</f>
        <v>3754.0361538461539</v>
      </c>
      <c r="C28" s="50">
        <v>6.8000000000000005E-2</v>
      </c>
      <c r="D28" s="67">
        <f>B28*C28</f>
        <v>255.27445846153847</v>
      </c>
      <c r="E28" s="267"/>
      <c r="F28" s="66"/>
      <c r="H28" s="22" t="s">
        <v>174</v>
      </c>
      <c r="I28" s="37">
        <f>SUM(I26:I27)</f>
        <v>40400</v>
      </c>
    </row>
    <row r="29" spans="1:10" x14ac:dyDescent="0.25">
      <c r="A29" s="45" t="s">
        <v>43</v>
      </c>
      <c r="B29" s="62"/>
      <c r="C29" s="47"/>
      <c r="D29" s="67"/>
      <c r="E29" s="267"/>
      <c r="F29" s="66"/>
      <c r="H29" s="22" t="s">
        <v>175</v>
      </c>
      <c r="I29" s="37">
        <f>I28/10</f>
        <v>4040</v>
      </c>
    </row>
    <row r="30" spans="1:10" x14ac:dyDescent="0.25">
      <c r="A30" s="399" t="s">
        <v>251</v>
      </c>
      <c r="B30" s="62"/>
      <c r="C30" s="50">
        <v>0.11310000000000001</v>
      </c>
      <c r="D30" s="67"/>
      <c r="E30" s="267"/>
      <c r="F30" s="66">
        <f>B30*C30</f>
        <v>0</v>
      </c>
      <c r="H30" s="22" t="s">
        <v>176</v>
      </c>
      <c r="I30" s="37"/>
    </row>
    <row r="31" spans="1:10" x14ac:dyDescent="0.25">
      <c r="A31" s="45" t="s">
        <v>44</v>
      </c>
      <c r="B31" s="63"/>
      <c r="C31" s="47"/>
      <c r="D31" s="63">
        <f>SUM(D12:D30)</f>
        <v>829.86582076923082</v>
      </c>
      <c r="E31" s="78"/>
      <c r="F31" s="63">
        <f>SUM(F12:F30)</f>
        <v>1443.5064184615387</v>
      </c>
      <c r="H31" s="371" t="s">
        <v>205</v>
      </c>
      <c r="I31" s="37">
        <v>2250</v>
      </c>
    </row>
    <row r="32" spans="1:10" ht="15.75" thickBot="1" x14ac:dyDescent="0.3">
      <c r="A32" s="45"/>
      <c r="B32" s="63"/>
      <c r="C32" s="47"/>
      <c r="D32" s="63"/>
      <c r="E32" s="78"/>
      <c r="F32" s="184"/>
      <c r="H32" s="22" t="s">
        <v>177</v>
      </c>
      <c r="I32" s="37">
        <v>750</v>
      </c>
    </row>
    <row r="33" spans="1:15" ht="15.75" thickBot="1" x14ac:dyDescent="0.3">
      <c r="A33" s="54" t="s">
        <v>45</v>
      </c>
      <c r="B33" s="63"/>
      <c r="C33" s="47"/>
      <c r="D33" s="63"/>
      <c r="E33" s="78"/>
      <c r="F33" s="185">
        <f>F9-D31</f>
        <v>2909.5187946153846</v>
      </c>
      <c r="H33" s="22" t="s">
        <v>55</v>
      </c>
      <c r="I33" s="37">
        <f>I31+I32</f>
        <v>3000</v>
      </c>
    </row>
    <row r="34" spans="1:15" ht="29.25" thickBot="1" x14ac:dyDescent="0.3">
      <c r="A34" s="45" t="s">
        <v>46</v>
      </c>
      <c r="B34" s="190"/>
      <c r="C34" s="191"/>
      <c r="D34" s="190"/>
      <c r="E34" s="192"/>
      <c r="F34" s="193">
        <f>D61</f>
        <v>54.221076923076929</v>
      </c>
      <c r="H34" s="342" t="s">
        <v>178</v>
      </c>
      <c r="I34" s="369">
        <f>+I29-I33</f>
        <v>1040</v>
      </c>
    </row>
    <row r="35" spans="1:15" x14ac:dyDescent="0.25">
      <c r="A35" s="450" t="s">
        <v>47</v>
      </c>
      <c r="B35" s="452" t="s">
        <v>48</v>
      </c>
      <c r="C35" s="55" t="s">
        <v>22</v>
      </c>
      <c r="D35" s="454"/>
      <c r="E35" s="79"/>
      <c r="F35" s="456" t="s">
        <v>49</v>
      </c>
    </row>
    <row r="36" spans="1:15" ht="28.5" x14ac:dyDescent="0.25">
      <c r="A36" s="451"/>
      <c r="B36" s="453"/>
      <c r="C36" s="56" t="s">
        <v>50</v>
      </c>
      <c r="D36" s="455"/>
      <c r="E36" s="80"/>
      <c r="F36" s="457"/>
    </row>
    <row r="37" spans="1:15" ht="15.75" thickBot="1" x14ac:dyDescent="0.3">
      <c r="A37" s="54" t="s">
        <v>51</v>
      </c>
      <c r="B37" s="64">
        <f>B39</f>
        <v>3042.3858430769233</v>
      </c>
      <c r="C37" s="174">
        <v>0.13</v>
      </c>
      <c r="D37" s="53"/>
      <c r="E37" s="81"/>
      <c r="F37" s="93">
        <f>B37*C37</f>
        <v>395.51015960000007</v>
      </c>
    </row>
    <row r="38" spans="1:15" ht="29.25" thickBot="1" x14ac:dyDescent="0.3">
      <c r="A38" s="48"/>
      <c r="B38" s="65"/>
      <c r="C38" s="57"/>
      <c r="D38" s="58" t="s">
        <v>52</v>
      </c>
      <c r="E38" s="82"/>
      <c r="F38" s="189">
        <f>F33-F37</f>
        <v>2514.0086350153847</v>
      </c>
    </row>
    <row r="39" spans="1:15" ht="42.75" x14ac:dyDescent="0.25">
      <c r="A39" s="45" t="s">
        <v>53</v>
      </c>
      <c r="B39" s="186">
        <f>F33+D27+F15</f>
        <v>3042.3858430769233</v>
      </c>
      <c r="C39" s="59"/>
      <c r="D39" s="58" t="s">
        <v>54</v>
      </c>
      <c r="E39" s="82"/>
      <c r="F39" s="188">
        <f>D69</f>
        <v>291.67199999999997</v>
      </c>
    </row>
    <row r="40" spans="1:15" x14ac:dyDescent="0.25">
      <c r="A40" s="458"/>
      <c r="B40" s="460"/>
      <c r="C40" s="462"/>
      <c r="D40" s="60" t="s">
        <v>55</v>
      </c>
      <c r="E40" s="83"/>
      <c r="F40" s="464">
        <f>F9+F31</f>
        <v>5182.8910338461537</v>
      </c>
    </row>
    <row r="41" spans="1:15" ht="15.75" thickBot="1" x14ac:dyDescent="0.3">
      <c r="A41" s="459"/>
      <c r="B41" s="461"/>
      <c r="C41" s="463"/>
      <c r="D41" s="61" t="s">
        <v>56</v>
      </c>
      <c r="E41" s="84"/>
      <c r="F41" s="465"/>
    </row>
    <row r="43" spans="1:15" ht="15.75" thickBot="1" x14ac:dyDescent="0.3">
      <c r="A43" s="429" t="s">
        <v>74</v>
      </c>
      <c r="B43" s="430"/>
      <c r="C43" s="228"/>
      <c r="D43" s="228"/>
    </row>
    <row r="44" spans="1:15" x14ac:dyDescent="0.25">
      <c r="A44" s="229"/>
      <c r="B44" s="431">
        <f>F9</f>
        <v>3739.3846153846152</v>
      </c>
      <c r="C44" s="434">
        <f>0.3%+0.68%+0.55%+0.016%</f>
        <v>1.5460000000000002E-2</v>
      </c>
      <c r="D44" s="437">
        <f>B44*C44</f>
        <v>57.810886153846155</v>
      </c>
      <c r="F44" s="21"/>
      <c r="G44" s="366" t="s">
        <v>201</v>
      </c>
      <c r="H44" s="366" t="s">
        <v>202</v>
      </c>
      <c r="I44" s="366" t="s">
        <v>208</v>
      </c>
      <c r="J44" s="366" t="s">
        <v>202</v>
      </c>
      <c r="K44" s="366" t="s">
        <v>209</v>
      </c>
      <c r="L44" s="366" t="s">
        <v>210</v>
      </c>
      <c r="M44" s="379" t="s">
        <v>211</v>
      </c>
      <c r="N44" s="379" t="s">
        <v>212</v>
      </c>
      <c r="O44" s="380" t="s">
        <v>213</v>
      </c>
    </row>
    <row r="45" spans="1:15" x14ac:dyDescent="0.25">
      <c r="A45" s="230" t="s">
        <v>97</v>
      </c>
      <c r="B45" s="432"/>
      <c r="C45" s="435"/>
      <c r="D45" s="438"/>
      <c r="F45" s="22" t="s">
        <v>192</v>
      </c>
      <c r="G45" s="360">
        <v>3400</v>
      </c>
      <c r="H45" s="360">
        <f>G45</f>
        <v>3400</v>
      </c>
      <c r="I45" s="360">
        <v>3428</v>
      </c>
      <c r="J45" s="360">
        <f>I45</f>
        <v>3428</v>
      </c>
      <c r="K45" s="360">
        <f>MIN(J45,H45)</f>
        <v>3400</v>
      </c>
      <c r="L45" s="360">
        <f>+K45</f>
        <v>3400</v>
      </c>
      <c r="M45" s="360">
        <f>G45-L45</f>
        <v>0</v>
      </c>
      <c r="N45" s="360">
        <f>IF(H45&gt;J45,H45,0)</f>
        <v>0</v>
      </c>
      <c r="O45" s="337">
        <f>N45</f>
        <v>0</v>
      </c>
    </row>
    <row r="46" spans="1:15" x14ac:dyDescent="0.25">
      <c r="A46" s="230" t="s">
        <v>98</v>
      </c>
      <c r="B46" s="432"/>
      <c r="C46" s="435"/>
      <c r="D46" s="438"/>
      <c r="F46" s="22" t="s">
        <v>193</v>
      </c>
      <c r="G46" s="360">
        <v>3400</v>
      </c>
      <c r="H46" s="360">
        <f>H45+G46</f>
        <v>6800</v>
      </c>
      <c r="I46" s="360">
        <v>3428</v>
      </c>
      <c r="J46" s="360">
        <f>J45+I46</f>
        <v>6856</v>
      </c>
      <c r="K46" s="360">
        <f>MIN(J46,H46)</f>
        <v>6800</v>
      </c>
      <c r="L46" s="360">
        <f>+K46-K45</f>
        <v>3400</v>
      </c>
      <c r="M46" s="360">
        <f t="shared" ref="M46:M49" si="2">G46-L46</f>
        <v>0</v>
      </c>
      <c r="N46" s="360">
        <f>IF(H46&gt;J46,H46,0)</f>
        <v>0</v>
      </c>
      <c r="O46" s="337">
        <f>N46-N45</f>
        <v>0</v>
      </c>
    </row>
    <row r="47" spans="1:15" x14ac:dyDescent="0.25">
      <c r="A47" s="230" t="s">
        <v>99</v>
      </c>
      <c r="B47" s="432"/>
      <c r="C47" s="435"/>
      <c r="D47" s="438"/>
      <c r="F47" s="22" t="s">
        <v>194</v>
      </c>
      <c r="G47" s="360">
        <v>3400</v>
      </c>
      <c r="H47" s="360">
        <f t="shared" ref="H47:J49" si="3">H46+G47</f>
        <v>10200</v>
      </c>
      <c r="I47" s="360">
        <v>3428</v>
      </c>
      <c r="J47" s="360">
        <f t="shared" si="3"/>
        <v>10284</v>
      </c>
      <c r="K47" s="360">
        <f t="shared" ref="K47:K49" si="4">MIN(J47,H47)</f>
        <v>10200</v>
      </c>
      <c r="L47" s="360">
        <f t="shared" ref="L47:L49" si="5">+K47-K46</f>
        <v>3400</v>
      </c>
      <c r="M47" s="360">
        <f t="shared" si="2"/>
        <v>0</v>
      </c>
      <c r="N47" s="360">
        <f t="shared" ref="N47:N49" si="6">IF(H47&gt;J47,H47,0)</f>
        <v>0</v>
      </c>
      <c r="O47" s="337">
        <f t="shared" ref="O47:O49" si="7">N47-N46</f>
        <v>0</v>
      </c>
    </row>
    <row r="48" spans="1:15" x14ac:dyDescent="0.25">
      <c r="A48" s="230" t="s">
        <v>100</v>
      </c>
      <c r="B48" s="432"/>
      <c r="C48" s="435"/>
      <c r="D48" s="438"/>
      <c r="F48" s="22" t="s">
        <v>195</v>
      </c>
      <c r="G48" s="360">
        <v>3400</v>
      </c>
      <c r="H48" s="360">
        <f t="shared" si="3"/>
        <v>13600</v>
      </c>
      <c r="I48" s="360">
        <v>3428</v>
      </c>
      <c r="J48" s="360">
        <f t="shared" si="3"/>
        <v>13712</v>
      </c>
      <c r="K48" s="360">
        <f t="shared" si="4"/>
        <v>13600</v>
      </c>
      <c r="L48" s="360">
        <f t="shared" si="5"/>
        <v>3400</v>
      </c>
      <c r="M48" s="360">
        <f t="shared" si="2"/>
        <v>0</v>
      </c>
      <c r="N48" s="360">
        <f t="shared" si="6"/>
        <v>0</v>
      </c>
      <c r="O48" s="337">
        <f t="shared" si="7"/>
        <v>0</v>
      </c>
    </row>
    <row r="49" spans="1:15" ht="15.75" thickBot="1" x14ac:dyDescent="0.3">
      <c r="A49" s="230" t="s">
        <v>101</v>
      </c>
      <c r="B49" s="432"/>
      <c r="C49" s="435"/>
      <c r="D49" s="438"/>
      <c r="F49" s="342" t="s">
        <v>196</v>
      </c>
      <c r="G49" s="364">
        <f>F9</f>
        <v>3739.3846153846152</v>
      </c>
      <c r="H49" s="365">
        <f t="shared" si="3"/>
        <v>17339.384615384617</v>
      </c>
      <c r="I49" s="365">
        <v>3428</v>
      </c>
      <c r="J49" s="365">
        <f t="shared" si="3"/>
        <v>17140</v>
      </c>
      <c r="K49" s="365">
        <f t="shared" si="4"/>
        <v>17140</v>
      </c>
      <c r="L49" s="365">
        <f t="shared" si="5"/>
        <v>3540</v>
      </c>
      <c r="M49" s="365">
        <f t="shared" si="2"/>
        <v>199.38461538461524</v>
      </c>
      <c r="N49" s="365">
        <f t="shared" si="6"/>
        <v>17339.384615384617</v>
      </c>
      <c r="O49" s="361">
        <f t="shared" si="7"/>
        <v>17339.384615384617</v>
      </c>
    </row>
    <row r="50" spans="1:15" ht="15.75" thickBot="1" x14ac:dyDescent="0.3">
      <c r="A50" s="231" t="s">
        <v>102</v>
      </c>
      <c r="B50" s="433"/>
      <c r="C50" s="436"/>
      <c r="D50" s="439"/>
    </row>
    <row r="51" spans="1:15" ht="15.75" thickBot="1" x14ac:dyDescent="0.3">
      <c r="A51" s="228"/>
      <c r="B51" s="232"/>
      <c r="C51" s="232"/>
      <c r="D51" s="232"/>
    </row>
    <row r="52" spans="1:15" ht="15.75" thickBot="1" x14ac:dyDescent="0.3">
      <c r="A52" s="233" t="s">
        <v>103</v>
      </c>
      <c r="B52" s="234">
        <f>B20</f>
        <v>3540</v>
      </c>
      <c r="C52" s="235">
        <v>1E-3</v>
      </c>
      <c r="D52" s="236">
        <f>C52*B52</f>
        <v>3.54</v>
      </c>
    </row>
    <row r="53" spans="1:15" ht="15.75" thickBot="1" x14ac:dyDescent="0.3">
      <c r="A53" s="228"/>
      <c r="B53" s="228"/>
      <c r="C53" s="228"/>
      <c r="D53" s="228"/>
    </row>
    <row r="54" spans="1:15" ht="15.75" thickBot="1" x14ac:dyDescent="0.3">
      <c r="A54" s="233" t="s">
        <v>104</v>
      </c>
      <c r="B54" s="237"/>
      <c r="C54" s="237"/>
      <c r="D54" s="238">
        <f>D44+D52</f>
        <v>61.350886153846155</v>
      </c>
    </row>
    <row r="55" spans="1:15" ht="15.75" thickBot="1" x14ac:dyDescent="0.3">
      <c r="A55" s="228"/>
      <c r="B55" s="228"/>
      <c r="C55" s="228"/>
      <c r="D55" s="228"/>
    </row>
    <row r="56" spans="1:15" ht="15.75" thickBot="1" x14ac:dyDescent="0.3">
      <c r="A56" s="426" t="s">
        <v>105</v>
      </c>
      <c r="B56" s="427"/>
      <c r="C56" s="427"/>
      <c r="D56" s="428"/>
    </row>
    <row r="57" spans="1:15" x14ac:dyDescent="0.25">
      <c r="A57" s="239" t="s">
        <v>106</v>
      </c>
      <c r="B57" s="243">
        <f>F9</f>
        <v>3739.3846153846152</v>
      </c>
      <c r="C57" s="240">
        <v>2.4E-2</v>
      </c>
      <c r="D57" s="241">
        <f>C57*B57</f>
        <v>89.745230769230773</v>
      </c>
    </row>
    <row r="58" spans="1:15" x14ac:dyDescent="0.25">
      <c r="A58" s="242" t="s">
        <v>107</v>
      </c>
      <c r="B58" s="243">
        <f>B57</f>
        <v>3739.3846153846152</v>
      </c>
      <c r="C58" s="244">
        <v>7.4999999999999997E-3</v>
      </c>
      <c r="D58" s="245">
        <f t="shared" ref="D58:D59" si="8">C58*B58</f>
        <v>28.045384615384613</v>
      </c>
    </row>
    <row r="59" spans="1:15" x14ac:dyDescent="0.25">
      <c r="A59" s="242" t="s">
        <v>108</v>
      </c>
      <c r="B59" s="243">
        <f>B26</f>
        <v>3739.3846153846152</v>
      </c>
      <c r="C59" s="244">
        <v>-1.7000000000000001E-2</v>
      </c>
      <c r="D59" s="245">
        <f t="shared" si="8"/>
        <v>-63.569538461538464</v>
      </c>
    </row>
    <row r="60" spans="1:15" x14ac:dyDescent="0.25">
      <c r="A60" s="45" t="s">
        <v>109</v>
      </c>
      <c r="B60" s="246"/>
      <c r="C60" s="50">
        <v>0.11310000000000001</v>
      </c>
      <c r="D60" s="247">
        <f>C60*B60</f>
        <v>0</v>
      </c>
    </row>
    <row r="61" spans="1:15" ht="15.75" thickBot="1" x14ac:dyDescent="0.3">
      <c r="A61" s="265" t="s">
        <v>110</v>
      </c>
      <c r="B61" s="248"/>
      <c r="C61" s="249"/>
      <c r="D61" s="250">
        <f>SUM(D57:D60)</f>
        <v>54.221076923076929</v>
      </c>
    </row>
    <row r="62" spans="1:15" x14ac:dyDescent="0.25">
      <c r="A62" s="131"/>
      <c r="B62" s="131"/>
      <c r="C62" s="131"/>
      <c r="D62" s="131"/>
    </row>
    <row r="63" spans="1:15" ht="15.75" thickBot="1" x14ac:dyDescent="0.3">
      <c r="A63" s="131"/>
      <c r="B63" s="131"/>
      <c r="C63" s="131"/>
      <c r="D63" s="131"/>
    </row>
    <row r="64" spans="1:15" ht="15.75" thickBot="1" x14ac:dyDescent="0.3">
      <c r="A64" s="426" t="s">
        <v>117</v>
      </c>
      <c r="B64" s="427"/>
      <c r="C64" s="427"/>
      <c r="D64" s="428"/>
    </row>
    <row r="65" spans="1:4" x14ac:dyDescent="0.25">
      <c r="A65" s="252" t="s">
        <v>111</v>
      </c>
      <c r="B65" s="253"/>
      <c r="C65" s="253"/>
      <c r="D65" s="254">
        <f>-F28</f>
        <v>0</v>
      </c>
    </row>
    <row r="66" spans="1:4" x14ac:dyDescent="0.25">
      <c r="A66" s="255" t="s">
        <v>112</v>
      </c>
      <c r="B66" s="256"/>
      <c r="C66" s="257">
        <v>1.5</v>
      </c>
      <c r="D66" s="258" t="s">
        <v>113</v>
      </c>
    </row>
    <row r="67" spans="1:4" x14ac:dyDescent="0.25">
      <c r="A67" s="255" t="s">
        <v>114</v>
      </c>
      <c r="B67" s="259">
        <f>F9</f>
        <v>3739.3846153846152</v>
      </c>
      <c r="C67" s="260">
        <v>1.7999999999999999E-2</v>
      </c>
      <c r="D67" s="261">
        <f>C67*B67</f>
        <v>67.308923076923065</v>
      </c>
    </row>
    <row r="68" spans="1:4" x14ac:dyDescent="0.25">
      <c r="A68" s="255" t="s">
        <v>115</v>
      </c>
      <c r="B68" s="259">
        <f>B67</f>
        <v>3739.3846153846152</v>
      </c>
      <c r="C68" s="260">
        <v>0.06</v>
      </c>
      <c r="D68" s="261">
        <f>C68*B68</f>
        <v>224.3630769230769</v>
      </c>
    </row>
    <row r="69" spans="1:4" ht="15.75" thickBot="1" x14ac:dyDescent="0.3">
      <c r="A69" s="266" t="s">
        <v>116</v>
      </c>
      <c r="B69" s="262"/>
      <c r="C69" s="262"/>
      <c r="D69" s="264">
        <f>SUM(D65:D68)</f>
        <v>291.67199999999997</v>
      </c>
    </row>
  </sheetData>
  <mergeCells count="15">
    <mergeCell ref="H23:I23"/>
    <mergeCell ref="A64:D64"/>
    <mergeCell ref="A43:B43"/>
    <mergeCell ref="B44:B50"/>
    <mergeCell ref="C44:C50"/>
    <mergeCell ref="D44:D50"/>
    <mergeCell ref="A56:D56"/>
    <mergeCell ref="A35:A36"/>
    <mergeCell ref="B35:B36"/>
    <mergeCell ref="D35:D36"/>
    <mergeCell ref="F35:F36"/>
    <mergeCell ref="A40:A41"/>
    <mergeCell ref="B40:B41"/>
    <mergeCell ref="C40:C41"/>
    <mergeCell ref="F40:F41"/>
  </mergeCells>
  <phoneticPr fontId="37"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7"/>
  <sheetViews>
    <sheetView topLeftCell="A4" zoomScaleNormal="100" workbookViewId="0">
      <selection activeCell="I14" sqref="I14"/>
    </sheetView>
    <sheetView topLeftCell="A13" workbookViewId="1">
      <selection activeCell="F27" sqref="F27"/>
    </sheetView>
  </sheetViews>
  <sheetFormatPr baseColWidth="10" defaultRowHeight="15" x14ac:dyDescent="0.25"/>
  <cols>
    <col min="1" max="1" width="55.85546875" style="33" customWidth="1"/>
    <col min="2" max="2" width="13.7109375" style="33" customWidth="1"/>
    <col min="3" max="3" width="14.85546875" style="33" customWidth="1"/>
    <col min="4" max="4" width="15.140625" style="33" customWidth="1"/>
    <col min="5" max="5" width="12.85546875" style="33" customWidth="1"/>
    <col min="6" max="6" width="15.7109375" style="33" customWidth="1"/>
    <col min="7" max="7" width="11.42578125" style="33"/>
    <col min="8" max="8" width="18.5703125" style="33" bestFit="1" customWidth="1"/>
    <col min="9" max="16384" width="11.42578125" style="33"/>
  </cols>
  <sheetData>
    <row r="1" spans="1:12" x14ac:dyDescent="0.25">
      <c r="A1" s="21" t="s">
        <v>14</v>
      </c>
      <c r="B1" s="176">
        <v>151.66659999999999</v>
      </c>
      <c r="C1" s="200">
        <v>16.483499999999999</v>
      </c>
      <c r="D1" s="31"/>
      <c r="E1" s="73"/>
      <c r="F1" s="32">
        <v>2500</v>
      </c>
      <c r="H1" s="21"/>
      <c r="I1" s="339" t="s">
        <v>179</v>
      </c>
      <c r="J1" s="339" t="s">
        <v>180</v>
      </c>
      <c r="K1" s="339" t="s">
        <v>181</v>
      </c>
      <c r="L1" s="340" t="s">
        <v>187</v>
      </c>
    </row>
    <row r="2" spans="1:12" x14ac:dyDescent="0.25">
      <c r="A2" s="22" t="s">
        <v>188</v>
      </c>
      <c r="B2" s="34">
        <f>K4</f>
        <v>16</v>
      </c>
      <c r="C2" s="35">
        <f>C1*125%</f>
        <v>20.604374999999997</v>
      </c>
      <c r="D2" s="34"/>
      <c r="E2" s="74"/>
      <c r="F2" s="36">
        <f>B2*C2</f>
        <v>329.66999999999996</v>
      </c>
      <c r="H2" s="22" t="s">
        <v>182</v>
      </c>
      <c r="I2" s="338">
        <f>SUM('CALENDRIER DU MOIS DE MAI'!D19:D23)</f>
        <v>43</v>
      </c>
      <c r="J2" s="338">
        <f>I2-35</f>
        <v>8</v>
      </c>
      <c r="K2" s="338">
        <f>MIN(J2,8)</f>
        <v>8</v>
      </c>
      <c r="L2" s="341">
        <f>J2-K2</f>
        <v>0</v>
      </c>
    </row>
    <row r="3" spans="1:12" x14ac:dyDescent="0.25">
      <c r="A3" s="22" t="s">
        <v>34</v>
      </c>
      <c r="B3" s="34">
        <f>L4</f>
        <v>5</v>
      </c>
      <c r="C3" s="357">
        <f>C1*1.5</f>
        <v>24.725249999999999</v>
      </c>
      <c r="D3" s="34"/>
      <c r="E3" s="74"/>
      <c r="F3" s="36">
        <f>B3*C3</f>
        <v>123.62625</v>
      </c>
      <c r="H3" s="22" t="s">
        <v>183</v>
      </c>
      <c r="I3" s="338">
        <f>SUM('CALENDRIER DU MOIS DE MAI'!D33:D37)</f>
        <v>48</v>
      </c>
      <c r="J3" s="338">
        <f t="shared" ref="J3" si="0">I3-35</f>
        <v>13</v>
      </c>
      <c r="K3" s="338">
        <f>MIN(J3,8)</f>
        <v>8</v>
      </c>
      <c r="L3" s="341">
        <f>J3-K3</f>
        <v>5</v>
      </c>
    </row>
    <row r="4" spans="1:12" ht="15.75" thickBot="1" x14ac:dyDescent="0.3">
      <c r="A4" s="22" t="s">
        <v>32</v>
      </c>
      <c r="B4" s="34"/>
      <c r="C4" s="201"/>
      <c r="D4" s="34"/>
      <c r="E4" s="74"/>
      <c r="F4" s="202"/>
      <c r="H4" s="342" t="s">
        <v>155</v>
      </c>
      <c r="I4" s="343"/>
      <c r="J4" s="338">
        <f>SUM(J2:J3)</f>
        <v>21</v>
      </c>
      <c r="K4" s="343">
        <f>SUM(K2:K3)</f>
        <v>16</v>
      </c>
      <c r="L4" s="344">
        <f>SUM(L2:L3)</f>
        <v>5</v>
      </c>
    </row>
    <row r="5" spans="1:12" ht="15.75" thickBot="1" x14ac:dyDescent="0.3">
      <c r="A5" s="29" t="s">
        <v>18</v>
      </c>
      <c r="B5" s="301"/>
      <c r="C5" s="30"/>
      <c r="D5" s="30"/>
      <c r="E5" s="86">
        <v>0.1</v>
      </c>
      <c r="F5" s="69">
        <f>E5*B5</f>
        <v>0</v>
      </c>
    </row>
    <row r="6" spans="1:12" ht="15.75" thickBot="1" x14ac:dyDescent="0.3">
      <c r="A6" s="38" t="s">
        <v>35</v>
      </c>
      <c r="F6" s="179">
        <f>SUM(F1:F5)</f>
        <v>2953.2962499999999</v>
      </c>
    </row>
    <row r="7" spans="1:12" x14ac:dyDescent="0.25">
      <c r="B7" s="39"/>
      <c r="C7" s="40"/>
      <c r="D7" s="40"/>
      <c r="E7" s="75"/>
      <c r="F7" s="41"/>
    </row>
    <row r="8" spans="1:12" ht="28.5" x14ac:dyDescent="0.25">
      <c r="A8" s="42"/>
      <c r="B8" s="43" t="s">
        <v>57</v>
      </c>
      <c r="C8" s="43" t="s">
        <v>22</v>
      </c>
      <c r="D8" s="43" t="s">
        <v>58</v>
      </c>
      <c r="E8" s="43" t="s">
        <v>22</v>
      </c>
      <c r="F8" s="44" t="s">
        <v>59</v>
      </c>
    </row>
    <row r="9" spans="1:12" x14ac:dyDescent="0.25">
      <c r="A9" s="45" t="s">
        <v>36</v>
      </c>
      <c r="B9" s="46"/>
      <c r="C9" s="47"/>
      <c r="D9" s="47"/>
      <c r="E9" s="76"/>
      <c r="F9" s="44"/>
    </row>
    <row r="10" spans="1:12" ht="26.25" x14ac:dyDescent="0.25">
      <c r="A10" s="48" t="s">
        <v>89</v>
      </c>
      <c r="B10" s="62">
        <f>$F$6</f>
        <v>2953.2962499999999</v>
      </c>
      <c r="C10" s="49"/>
      <c r="D10" s="65"/>
      <c r="E10" s="270">
        <v>7.0000000000000007E-2</v>
      </c>
      <c r="F10" s="66">
        <f>B10*E10</f>
        <v>206.7307375</v>
      </c>
    </row>
    <row r="11" spans="1:12" x14ac:dyDescent="0.25">
      <c r="A11" s="48" t="s">
        <v>60</v>
      </c>
      <c r="B11" s="62"/>
      <c r="C11" s="50"/>
      <c r="D11" s="67"/>
      <c r="E11" s="267">
        <v>1.4999999999999999E-2</v>
      </c>
      <c r="F11" s="66">
        <f>B11*E11</f>
        <v>0</v>
      </c>
    </row>
    <row r="12" spans="1:12" ht="15.75" thickBot="1" x14ac:dyDescent="0.3">
      <c r="A12" s="48" t="s">
        <v>37</v>
      </c>
      <c r="B12" s="62">
        <f t="shared" ref="B12:B22" si="1">$F$6</f>
        <v>2953.2962499999999</v>
      </c>
      <c r="C12" s="50"/>
      <c r="D12" s="67">
        <f>I20</f>
        <v>48</v>
      </c>
      <c r="E12" s="267"/>
      <c r="F12" s="66">
        <f>J20</f>
        <v>60</v>
      </c>
    </row>
    <row r="13" spans="1:12" x14ac:dyDescent="0.25">
      <c r="A13" s="45" t="s">
        <v>38</v>
      </c>
      <c r="B13" s="62">
        <f t="shared" si="1"/>
        <v>2953.2962499999999</v>
      </c>
      <c r="D13" s="62"/>
      <c r="E13" s="85">
        <v>2.7E-2</v>
      </c>
      <c r="F13" s="66">
        <f>B13*E13</f>
        <v>79.738998749999993</v>
      </c>
      <c r="H13" s="333"/>
      <c r="I13" s="334" t="s">
        <v>150</v>
      </c>
      <c r="J13" s="335" t="s">
        <v>153</v>
      </c>
    </row>
    <row r="14" spans="1:12" x14ac:dyDescent="0.25">
      <c r="A14" s="45" t="s">
        <v>39</v>
      </c>
      <c r="B14" s="62"/>
      <c r="C14" s="51"/>
      <c r="D14" s="62"/>
      <c r="E14" s="89"/>
      <c r="F14" s="66"/>
      <c r="H14" s="309" t="s">
        <v>149</v>
      </c>
      <c r="I14" s="133"/>
      <c r="J14" s="136"/>
    </row>
    <row r="15" spans="1:12" x14ac:dyDescent="0.25">
      <c r="A15" s="48" t="s">
        <v>76</v>
      </c>
      <c r="B15" s="62">
        <f t="shared" si="1"/>
        <v>2953.2962499999999</v>
      </c>
      <c r="C15" s="50">
        <v>6.9000000000000006E-2</v>
      </c>
      <c r="D15" s="67">
        <f>B15*C15</f>
        <v>203.77744125000001</v>
      </c>
      <c r="E15" s="267">
        <v>8.5500000000000007E-2</v>
      </c>
      <c r="F15" s="66">
        <f t="shared" ref="F15:F21" si="2">B15*E15</f>
        <v>252.506829375</v>
      </c>
      <c r="H15" s="132" t="s">
        <v>151</v>
      </c>
      <c r="I15" s="307">
        <f>20*2</f>
        <v>40</v>
      </c>
      <c r="J15" s="308">
        <f>24*2</f>
        <v>48</v>
      </c>
    </row>
    <row r="16" spans="1:12" x14ac:dyDescent="0.25">
      <c r="A16" s="48" t="s">
        <v>77</v>
      </c>
      <c r="B16" s="62">
        <f t="shared" si="1"/>
        <v>2953.2962499999999</v>
      </c>
      <c r="C16" s="50">
        <v>4.0000000000000001E-3</v>
      </c>
      <c r="D16" s="67">
        <f>B16*C16</f>
        <v>11.813184999999999</v>
      </c>
      <c r="E16" s="267">
        <v>1.9E-2</v>
      </c>
      <c r="F16" s="66">
        <f t="shared" si="2"/>
        <v>56.112628749999999</v>
      </c>
      <c r="H16" s="132" t="s">
        <v>152</v>
      </c>
      <c r="I16" s="307"/>
      <c r="J16" s="308"/>
    </row>
    <row r="17" spans="1:10" x14ac:dyDescent="0.25">
      <c r="A17" s="48" t="s">
        <v>78</v>
      </c>
      <c r="B17" s="62">
        <f t="shared" si="1"/>
        <v>2953.2962499999999</v>
      </c>
      <c r="C17" s="50">
        <v>4.0099999999999997E-2</v>
      </c>
      <c r="D17" s="67">
        <f>B17*C17</f>
        <v>118.42717962499998</v>
      </c>
      <c r="E17" s="267">
        <v>6.0100000000000001E-2</v>
      </c>
      <c r="F17" s="66">
        <f t="shared" si="2"/>
        <v>177.493104625</v>
      </c>
      <c r="H17" s="309" t="s">
        <v>253</v>
      </c>
      <c r="I17" s="307"/>
      <c r="J17" s="308"/>
    </row>
    <row r="18" spans="1:10" x14ac:dyDescent="0.25">
      <c r="A18" s="48" t="s">
        <v>83</v>
      </c>
      <c r="B18" s="62"/>
      <c r="C18" s="50">
        <v>9.7199999999999995E-2</v>
      </c>
      <c r="D18" s="67">
        <f>B18*C18</f>
        <v>0</v>
      </c>
      <c r="E18" s="267">
        <v>0.1457</v>
      </c>
      <c r="F18" s="66">
        <f t="shared" si="2"/>
        <v>0</v>
      </c>
      <c r="H18" s="132" t="s">
        <v>151</v>
      </c>
      <c r="I18" s="307">
        <f>4*2</f>
        <v>8</v>
      </c>
      <c r="J18" s="308">
        <f>6*2</f>
        <v>12</v>
      </c>
    </row>
    <row r="19" spans="1:10" x14ac:dyDescent="0.25">
      <c r="A19" s="48" t="s">
        <v>84</v>
      </c>
      <c r="B19" s="62"/>
      <c r="C19" s="50">
        <v>1.4E-3</v>
      </c>
      <c r="D19" s="67">
        <f>B19*C19</f>
        <v>0</v>
      </c>
      <c r="E19" s="267">
        <v>2.0999999999999999E-3</v>
      </c>
      <c r="F19" s="66">
        <f t="shared" si="2"/>
        <v>0</v>
      </c>
      <c r="H19" s="132" t="s">
        <v>152</v>
      </c>
      <c r="I19" s="307"/>
      <c r="J19" s="308"/>
    </row>
    <row r="20" spans="1:10" ht="15.75" thickBot="1" x14ac:dyDescent="0.3">
      <c r="A20" s="52" t="s">
        <v>88</v>
      </c>
      <c r="B20" s="62">
        <f t="shared" si="1"/>
        <v>2953.2962499999999</v>
      </c>
      <c r="C20" s="51"/>
      <c r="D20" s="62"/>
      <c r="E20" s="89">
        <v>3.4500000000000003E-2</v>
      </c>
      <c r="F20" s="66">
        <f t="shared" si="2"/>
        <v>101.888720625</v>
      </c>
      <c r="H20" s="137" t="s">
        <v>155</v>
      </c>
      <c r="I20" s="310">
        <f>SUM(I15:I19)</f>
        <v>48</v>
      </c>
      <c r="J20" s="311">
        <f>SUM(J15:J19)</f>
        <v>60</v>
      </c>
    </row>
    <row r="21" spans="1:10" x14ac:dyDescent="0.25">
      <c r="A21" s="45" t="s">
        <v>79</v>
      </c>
      <c r="B21" s="62">
        <f t="shared" si="1"/>
        <v>2953.2962499999999</v>
      </c>
      <c r="C21" s="51"/>
      <c r="D21" s="62"/>
      <c r="E21" s="89">
        <v>4.2000000000000003E-2</v>
      </c>
      <c r="F21" s="66">
        <f t="shared" si="2"/>
        <v>124.0384425</v>
      </c>
    </row>
    <row r="22" spans="1:10" x14ac:dyDescent="0.25">
      <c r="A22" s="45" t="s">
        <v>74</v>
      </c>
      <c r="B22" s="62">
        <f t="shared" si="1"/>
        <v>2953.2962499999999</v>
      </c>
      <c r="C22" s="51"/>
      <c r="D22" s="62"/>
      <c r="E22" s="89"/>
      <c r="F22" s="269">
        <f>D52</f>
        <v>48.611256275000002</v>
      </c>
    </row>
    <row r="23" spans="1:10" x14ac:dyDescent="0.25">
      <c r="A23" s="45" t="s">
        <v>86</v>
      </c>
      <c r="B23" s="62"/>
      <c r="C23" s="70">
        <v>2.4000000000000001E-4</v>
      </c>
      <c r="D23" s="62">
        <f>B23*C23</f>
        <v>0</v>
      </c>
      <c r="E23" s="85">
        <v>3.6000000000000002E-4</v>
      </c>
      <c r="F23" s="66">
        <f>B23*E23</f>
        <v>0</v>
      </c>
    </row>
    <row r="24" spans="1:10" x14ac:dyDescent="0.25">
      <c r="A24" s="45" t="s">
        <v>41</v>
      </c>
      <c r="B24" s="90">
        <f>(F1*0.9825)+F12</f>
        <v>2516.25</v>
      </c>
      <c r="C24" s="50">
        <v>2.9000000000000001E-2</v>
      </c>
      <c r="D24" s="67">
        <f>B24*C24</f>
        <v>72.971249999999998</v>
      </c>
      <c r="E24" s="267"/>
      <c r="F24" s="66"/>
    </row>
    <row r="25" spans="1:10" x14ac:dyDescent="0.25">
      <c r="A25" s="45" t="s">
        <v>42</v>
      </c>
      <c r="B25" s="90">
        <f>B24</f>
        <v>2516.25</v>
      </c>
      <c r="C25" s="50">
        <v>6.8000000000000005E-2</v>
      </c>
      <c r="D25" s="67">
        <f>B25*C25</f>
        <v>171.10500000000002</v>
      </c>
      <c r="E25" s="77"/>
      <c r="F25" s="66"/>
    </row>
    <row r="26" spans="1:10" x14ac:dyDescent="0.25">
      <c r="A26" s="45" t="s">
        <v>189</v>
      </c>
      <c r="B26" s="90">
        <f>(F2+F3)*0.9825</f>
        <v>445.36356562499998</v>
      </c>
      <c r="C26" s="50">
        <v>9.7000000000000003E-2</v>
      </c>
      <c r="D26" s="67">
        <f>B26*C26</f>
        <v>43.200265865624999</v>
      </c>
      <c r="E26" s="77"/>
      <c r="F26" s="184"/>
    </row>
    <row r="27" spans="1:10" x14ac:dyDescent="0.25">
      <c r="A27" s="45" t="s">
        <v>43</v>
      </c>
      <c r="B27" s="62">
        <f>J4</f>
        <v>21</v>
      </c>
      <c r="C27" s="47">
        <v>1.5</v>
      </c>
      <c r="D27" s="204"/>
      <c r="E27" s="77"/>
      <c r="F27" s="184">
        <f>-C27*B27</f>
        <v>-31.5</v>
      </c>
    </row>
    <row r="28" spans="1:10" ht="15.75" thickBot="1" x14ac:dyDescent="0.3">
      <c r="A28" s="48" t="s">
        <v>40</v>
      </c>
      <c r="B28" s="90">
        <f>F2+F3</f>
        <v>453.29624999999999</v>
      </c>
      <c r="C28" s="50">
        <v>0.11310000000000001</v>
      </c>
      <c r="D28" s="63">
        <f>-B28*C28</f>
        <v>-51.267805875000001</v>
      </c>
      <c r="E28" s="267"/>
      <c r="F28" s="66"/>
    </row>
    <row r="29" spans="1:10" ht="15.75" thickBot="1" x14ac:dyDescent="0.3">
      <c r="A29" s="45" t="s">
        <v>44</v>
      </c>
      <c r="B29" s="63"/>
      <c r="C29" s="76"/>
      <c r="D29" s="206">
        <f>SUM(D10:D28)</f>
        <v>618.02651586562502</v>
      </c>
      <c r="E29" s="203"/>
      <c r="F29" s="206">
        <f>SUM(F9:F28)</f>
        <v>1075.6207184</v>
      </c>
    </row>
    <row r="30" spans="1:10" ht="15.75" thickBot="1" x14ac:dyDescent="0.3">
      <c r="A30" s="45"/>
      <c r="B30" s="63"/>
      <c r="C30" s="47"/>
      <c r="D30" s="205"/>
      <c r="E30" s="78"/>
      <c r="F30" s="207"/>
    </row>
    <row r="31" spans="1:10" ht="15.75" thickBot="1" x14ac:dyDescent="0.3">
      <c r="A31" s="54" t="s">
        <v>45</v>
      </c>
      <c r="B31" s="63"/>
      <c r="C31" s="47"/>
      <c r="D31" s="63"/>
      <c r="E31" s="78"/>
      <c r="F31" s="208">
        <f>F6-D29</f>
        <v>2335.2697341343746</v>
      </c>
    </row>
    <row r="32" spans="1:10" ht="28.5" x14ac:dyDescent="0.25">
      <c r="A32" s="45" t="s">
        <v>46</v>
      </c>
      <c r="B32" s="190"/>
      <c r="C32" s="191"/>
      <c r="D32" s="190"/>
      <c r="E32" s="192"/>
      <c r="F32" s="193">
        <f>D59</f>
        <v>93.028831874999995</v>
      </c>
    </row>
    <row r="33" spans="1:6" x14ac:dyDescent="0.25">
      <c r="A33" s="450" t="s">
        <v>47</v>
      </c>
      <c r="B33" s="452"/>
      <c r="C33" s="55" t="s">
        <v>22</v>
      </c>
      <c r="D33" s="454"/>
      <c r="E33" s="79"/>
      <c r="F33" s="456" t="s">
        <v>49</v>
      </c>
    </row>
    <row r="34" spans="1:6" x14ac:dyDescent="0.25">
      <c r="A34" s="451"/>
      <c r="B34" s="453"/>
      <c r="C34" s="56" t="s">
        <v>50</v>
      </c>
      <c r="D34" s="455"/>
      <c r="E34" s="80"/>
      <c r="F34" s="457"/>
    </row>
    <row r="35" spans="1:6" x14ac:dyDescent="0.25">
      <c r="A35" s="54" t="s">
        <v>51</v>
      </c>
      <c r="B35" s="64">
        <f>+B37</f>
        <v>2058.145</v>
      </c>
      <c r="C35" s="175">
        <v>3.5000000000000003E-2</v>
      </c>
      <c r="D35" s="53"/>
      <c r="E35" s="81"/>
      <c r="F35" s="187">
        <f>B35*C35</f>
        <v>72.035075000000006</v>
      </c>
    </row>
    <row r="36" spans="1:6" ht="28.5" x14ac:dyDescent="0.25">
      <c r="A36" s="48"/>
      <c r="B36" s="65"/>
      <c r="C36" s="57"/>
      <c r="D36" s="58" t="s">
        <v>52</v>
      </c>
      <c r="E36" s="82"/>
      <c r="F36" s="68">
        <f>F31-F32</f>
        <v>2242.2409022593747</v>
      </c>
    </row>
    <row r="37" spans="1:6" ht="42.75" x14ac:dyDescent="0.25">
      <c r="A37" s="45" t="s">
        <v>53</v>
      </c>
      <c r="B37" s="64">
        <f>F1-D29+D24+D26+F12</f>
        <v>2058.145</v>
      </c>
      <c r="C37" s="59"/>
      <c r="D37" s="58" t="s">
        <v>54</v>
      </c>
      <c r="E37" s="82"/>
      <c r="F37" s="68">
        <f>D67</f>
        <v>198.85710749999998</v>
      </c>
    </row>
    <row r="38" spans="1:6" x14ac:dyDescent="0.25">
      <c r="A38" s="458"/>
      <c r="B38" s="460"/>
      <c r="C38" s="462"/>
      <c r="D38" s="60" t="s">
        <v>55</v>
      </c>
      <c r="E38" s="83"/>
      <c r="F38" s="466">
        <f>F6+F29</f>
        <v>4028.9169683999999</v>
      </c>
    </row>
    <row r="39" spans="1:6" ht="29.25" thickBot="1" x14ac:dyDescent="0.3">
      <c r="A39" s="459"/>
      <c r="B39" s="461"/>
      <c r="C39" s="463"/>
      <c r="D39" s="61" t="s">
        <v>56</v>
      </c>
      <c r="E39" s="84"/>
      <c r="F39" s="467"/>
    </row>
    <row r="41" spans="1:6" ht="15.75" customHeight="1" thickBot="1" x14ac:dyDescent="0.3">
      <c r="A41" s="429" t="s">
        <v>74</v>
      </c>
      <c r="B41" s="430"/>
      <c r="C41" s="228"/>
      <c r="D41" s="228"/>
    </row>
    <row r="42" spans="1:6" x14ac:dyDescent="0.25">
      <c r="A42" s="229"/>
      <c r="B42" s="431">
        <f>F6</f>
        <v>2953.2962499999999</v>
      </c>
      <c r="C42" s="434">
        <f>0.3%+0.68%+0.55%+0.016%</f>
        <v>1.5460000000000002E-2</v>
      </c>
      <c r="D42" s="437">
        <f>B42*C42</f>
        <v>45.657960025000001</v>
      </c>
    </row>
    <row r="43" spans="1:6" x14ac:dyDescent="0.25">
      <c r="A43" s="230" t="s">
        <v>97</v>
      </c>
      <c r="B43" s="432"/>
      <c r="C43" s="435"/>
      <c r="D43" s="438"/>
    </row>
    <row r="44" spans="1:6" x14ac:dyDescent="0.25">
      <c r="A44" s="230" t="s">
        <v>98</v>
      </c>
      <c r="B44" s="432"/>
      <c r="C44" s="435"/>
      <c r="D44" s="438"/>
    </row>
    <row r="45" spans="1:6" x14ac:dyDescent="0.25">
      <c r="A45" s="230" t="s">
        <v>99</v>
      </c>
      <c r="B45" s="432"/>
      <c r="C45" s="435"/>
      <c r="D45" s="438"/>
    </row>
    <row r="46" spans="1:6" x14ac:dyDescent="0.25">
      <c r="A46" s="230" t="s">
        <v>100</v>
      </c>
      <c r="B46" s="432"/>
      <c r="C46" s="435"/>
      <c r="D46" s="438"/>
    </row>
    <row r="47" spans="1:6" x14ac:dyDescent="0.25">
      <c r="A47" s="230" t="s">
        <v>101</v>
      </c>
      <c r="B47" s="432"/>
      <c r="C47" s="435"/>
      <c r="D47" s="438"/>
    </row>
    <row r="48" spans="1:6" ht="15.75" thickBot="1" x14ac:dyDescent="0.3">
      <c r="A48" s="231" t="s">
        <v>102</v>
      </c>
      <c r="B48" s="433"/>
      <c r="C48" s="436"/>
      <c r="D48" s="439"/>
    </row>
    <row r="49" spans="1:4" ht="15.75" thickBot="1" x14ac:dyDescent="0.3">
      <c r="A49" s="228"/>
      <c r="B49" s="232"/>
      <c r="C49" s="232"/>
      <c r="D49" s="232"/>
    </row>
    <row r="50" spans="1:4" ht="15.75" thickBot="1" x14ac:dyDescent="0.3">
      <c r="A50" s="233" t="s">
        <v>103</v>
      </c>
      <c r="B50" s="234">
        <f>B17</f>
        <v>2953.2962499999999</v>
      </c>
      <c r="C50" s="235">
        <v>1E-3</v>
      </c>
      <c r="D50" s="236">
        <f>C50*B50</f>
        <v>2.9532962499999997</v>
      </c>
    </row>
    <row r="51" spans="1:4" ht="15.75" thickBot="1" x14ac:dyDescent="0.3">
      <c r="A51" s="228"/>
      <c r="B51" s="228"/>
      <c r="C51" s="228"/>
      <c r="D51" s="228"/>
    </row>
    <row r="52" spans="1:4" ht="15.75" thickBot="1" x14ac:dyDescent="0.3">
      <c r="A52" s="233" t="s">
        <v>104</v>
      </c>
      <c r="B52" s="237"/>
      <c r="C52" s="237"/>
      <c r="D52" s="238">
        <f>D42+D50</f>
        <v>48.611256275000002</v>
      </c>
    </row>
    <row r="53" spans="1:4" ht="15.75" thickBot="1" x14ac:dyDescent="0.3">
      <c r="A53" s="228"/>
      <c r="B53" s="228"/>
      <c r="C53" s="228"/>
      <c r="D53" s="228"/>
    </row>
    <row r="54" spans="1:4" ht="15.75" customHeight="1" thickBot="1" x14ac:dyDescent="0.3">
      <c r="A54" s="426" t="s">
        <v>105</v>
      </c>
      <c r="B54" s="427"/>
      <c r="C54" s="427"/>
      <c r="D54" s="428"/>
    </row>
    <row r="55" spans="1:4" x14ac:dyDescent="0.25">
      <c r="A55" s="239" t="s">
        <v>106</v>
      </c>
      <c r="B55" s="243">
        <f>F6</f>
        <v>2953.2962499999999</v>
      </c>
      <c r="C55" s="240">
        <v>2.4E-2</v>
      </c>
      <c r="D55" s="241">
        <f>C55*B55</f>
        <v>70.879109999999997</v>
      </c>
    </row>
    <row r="56" spans="1:4" x14ac:dyDescent="0.25">
      <c r="A56" s="242" t="s">
        <v>107</v>
      </c>
      <c r="B56" s="243">
        <f>B55</f>
        <v>2953.2962499999999</v>
      </c>
      <c r="C56" s="244">
        <v>7.4999999999999997E-3</v>
      </c>
      <c r="D56" s="245">
        <f t="shared" ref="D56:D57" si="3">C56*B56</f>
        <v>22.149721874999997</v>
      </c>
    </row>
    <row r="57" spans="1:4" x14ac:dyDescent="0.25">
      <c r="A57" s="242" t="s">
        <v>108</v>
      </c>
      <c r="B57" s="243">
        <f>B23</f>
        <v>0</v>
      </c>
      <c r="C57" s="244">
        <v>-1.7000000000000001E-2</v>
      </c>
      <c r="D57" s="245">
        <f t="shared" si="3"/>
        <v>0</v>
      </c>
    </row>
    <row r="58" spans="1:4" x14ac:dyDescent="0.25">
      <c r="A58" s="45" t="s">
        <v>109</v>
      </c>
      <c r="B58" s="246"/>
      <c r="C58" s="50">
        <v>0.11310000000000001</v>
      </c>
      <c r="D58" s="247">
        <f>C58*B58</f>
        <v>0</v>
      </c>
    </row>
    <row r="59" spans="1:4" ht="15.75" thickBot="1" x14ac:dyDescent="0.3">
      <c r="A59" s="265" t="s">
        <v>110</v>
      </c>
      <c r="B59" s="248"/>
      <c r="C59" s="249"/>
      <c r="D59" s="250">
        <f>SUM(D55:D58)</f>
        <v>93.028831874999995</v>
      </c>
    </row>
    <row r="60" spans="1:4" x14ac:dyDescent="0.25">
      <c r="A60" s="131"/>
      <c r="B60" s="131"/>
      <c r="C60" s="131"/>
      <c r="D60" s="131"/>
    </row>
    <row r="61" spans="1:4" ht="15.75" thickBot="1" x14ac:dyDescent="0.3">
      <c r="A61" s="131"/>
      <c r="B61" s="131"/>
      <c r="C61" s="131"/>
      <c r="D61" s="131"/>
    </row>
    <row r="62" spans="1:4" ht="15.75" thickBot="1" x14ac:dyDescent="0.3">
      <c r="A62" s="426" t="s">
        <v>117</v>
      </c>
      <c r="B62" s="427"/>
      <c r="C62" s="427"/>
      <c r="D62" s="428"/>
    </row>
    <row r="63" spans="1:4" x14ac:dyDescent="0.25">
      <c r="A63" s="252" t="s">
        <v>111</v>
      </c>
      <c r="B63" s="253"/>
      <c r="C63" s="253"/>
      <c r="D63" s="254">
        <f>-F25</f>
        <v>0</v>
      </c>
    </row>
    <row r="64" spans="1:4" x14ac:dyDescent="0.25">
      <c r="A64" s="255" t="s">
        <v>112</v>
      </c>
      <c r="B64" s="256">
        <f>J4</f>
        <v>21</v>
      </c>
      <c r="C64" s="257">
        <v>1.5</v>
      </c>
      <c r="D64" s="358">
        <f>-C64*B64</f>
        <v>-31.5</v>
      </c>
    </row>
    <row r="65" spans="1:4" x14ac:dyDescent="0.25">
      <c r="A65" s="255" t="s">
        <v>114</v>
      </c>
      <c r="B65" s="259">
        <f>F6</f>
        <v>2953.2962499999999</v>
      </c>
      <c r="C65" s="260">
        <v>1.7999999999999999E-2</v>
      </c>
      <c r="D65" s="261">
        <f>C65*B65</f>
        <v>53.159332499999991</v>
      </c>
    </row>
    <row r="66" spans="1:4" x14ac:dyDescent="0.25">
      <c r="A66" s="255" t="s">
        <v>115</v>
      </c>
      <c r="B66" s="259">
        <f>B65</f>
        <v>2953.2962499999999</v>
      </c>
      <c r="C66" s="260">
        <v>0.06</v>
      </c>
      <c r="D66" s="261">
        <f>C66*B66</f>
        <v>177.19777499999998</v>
      </c>
    </row>
    <row r="67" spans="1:4" ht="15.75" thickBot="1" x14ac:dyDescent="0.3">
      <c r="A67" s="266" t="s">
        <v>116</v>
      </c>
      <c r="B67" s="262"/>
      <c r="C67" s="262"/>
      <c r="D67" s="264">
        <f>SUM(D63:D66)</f>
        <v>198.85710749999998</v>
      </c>
    </row>
  </sheetData>
  <mergeCells count="14">
    <mergeCell ref="F33:F34"/>
    <mergeCell ref="A38:A39"/>
    <mergeCell ref="B38:B39"/>
    <mergeCell ref="C38:C39"/>
    <mergeCell ref="F38:F39"/>
    <mergeCell ref="A33:A34"/>
    <mergeCell ref="B33:B34"/>
    <mergeCell ref="D33:D34"/>
    <mergeCell ref="A62:D62"/>
    <mergeCell ref="A41:B41"/>
    <mergeCell ref="B42:B48"/>
    <mergeCell ref="C42:C48"/>
    <mergeCell ref="D42:D48"/>
    <mergeCell ref="A54:D54"/>
  </mergeCells>
  <phoneticPr fontId="3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7"/>
  <sheetViews>
    <sheetView topLeftCell="B1" zoomScaleNormal="100" workbookViewId="0">
      <selection activeCell="H19" sqref="H19:N24"/>
    </sheetView>
    <sheetView topLeftCell="A10" workbookViewId="1">
      <selection activeCell="F13" sqref="F13"/>
    </sheetView>
  </sheetViews>
  <sheetFormatPr baseColWidth="10" defaultRowHeight="15" x14ac:dyDescent="0.25"/>
  <cols>
    <col min="1" max="1" width="58.5703125" style="33" customWidth="1"/>
    <col min="2" max="2" width="12.140625" style="33" bestFit="1" customWidth="1"/>
    <col min="3" max="3" width="13.85546875" style="33" customWidth="1"/>
    <col min="4" max="4" width="28.5703125" style="33" customWidth="1"/>
    <col min="5" max="5" width="17.140625" style="33" customWidth="1"/>
    <col min="6" max="6" width="15.7109375" style="33" customWidth="1"/>
    <col min="7" max="7" width="11.42578125" style="33"/>
    <col min="8" max="8" width="18.5703125" style="33" bestFit="1" customWidth="1"/>
    <col min="9" max="12" width="11.42578125" style="33"/>
    <col min="13" max="14" width="12.5703125" style="33" bestFit="1" customWidth="1"/>
    <col min="15" max="16384" width="11.42578125" style="33"/>
  </cols>
  <sheetData>
    <row r="1" spans="1:12" x14ac:dyDescent="0.25">
      <c r="A1" s="21" t="s">
        <v>118</v>
      </c>
      <c r="B1" s="31">
        <f>24*52/12</f>
        <v>104</v>
      </c>
      <c r="C1" s="88"/>
      <c r="D1" s="359">
        <v>10.15</v>
      </c>
      <c r="E1" s="31"/>
      <c r="F1" s="32">
        <f>D1*B1</f>
        <v>1055.6000000000001</v>
      </c>
      <c r="H1" s="21"/>
      <c r="I1" s="339" t="s">
        <v>179</v>
      </c>
      <c r="J1" s="339" t="s">
        <v>184</v>
      </c>
      <c r="K1" s="339" t="s">
        <v>185</v>
      </c>
      <c r="L1" s="340" t="s">
        <v>186</v>
      </c>
    </row>
    <row r="2" spans="1:12" x14ac:dyDescent="0.25">
      <c r="A2" s="22" t="s">
        <v>190</v>
      </c>
      <c r="B2" s="345">
        <f>K4</f>
        <v>2.4</v>
      </c>
      <c r="C2" s="35"/>
      <c r="D2" s="360">
        <f>D1*1.1</f>
        <v>11.165000000000001</v>
      </c>
      <c r="E2" s="34"/>
      <c r="F2" s="87">
        <f>D2*B2</f>
        <v>26.796000000000003</v>
      </c>
      <c r="H2" s="22" t="s">
        <v>182</v>
      </c>
      <c r="I2" s="338">
        <f>SUM('CALENDRIER DU MOIS DE MAI'!E19:E23)</f>
        <v>27.6</v>
      </c>
      <c r="J2" s="338">
        <f>I2-24</f>
        <v>3.6000000000000014</v>
      </c>
      <c r="K2" s="338">
        <f>MIN(J2,2.4)</f>
        <v>2.4</v>
      </c>
      <c r="L2" s="341">
        <f>J2-K2</f>
        <v>1.2000000000000015</v>
      </c>
    </row>
    <row r="3" spans="1:12" x14ac:dyDescent="0.25">
      <c r="A3" s="22" t="s">
        <v>191</v>
      </c>
      <c r="B3" s="345">
        <f>L4</f>
        <v>1.2000000000000015</v>
      </c>
      <c r="C3" s="34"/>
      <c r="D3" s="360">
        <f>D1*1.25</f>
        <v>12.6875</v>
      </c>
      <c r="E3" s="34"/>
      <c r="F3" s="87">
        <f>D3*B3</f>
        <v>15.225000000000019</v>
      </c>
      <c r="H3" s="22"/>
      <c r="I3" s="338"/>
      <c r="J3" s="338"/>
      <c r="K3" s="338"/>
      <c r="L3" s="341"/>
    </row>
    <row r="4" spans="1:12" ht="15.75" thickBot="1" x14ac:dyDescent="0.3">
      <c r="A4" s="22" t="s">
        <v>70</v>
      </c>
      <c r="B4" s="345">
        <f>I15</f>
        <v>5320.0209999999997</v>
      </c>
      <c r="C4" s="34"/>
      <c r="D4" s="363">
        <v>0.1</v>
      </c>
      <c r="E4" s="34"/>
      <c r="F4" s="87">
        <f>D4*B4</f>
        <v>532.00210000000004</v>
      </c>
      <c r="H4" s="342" t="s">
        <v>155</v>
      </c>
      <c r="I4" s="343"/>
      <c r="J4" s="343">
        <f>SUM(J2:J3)</f>
        <v>3.6000000000000014</v>
      </c>
      <c r="K4" s="343">
        <f>SUM(K2:K3)</f>
        <v>2.4</v>
      </c>
      <c r="L4" s="344">
        <f>SUM(L2:L3)</f>
        <v>1.2000000000000015</v>
      </c>
    </row>
    <row r="5" spans="1:12" x14ac:dyDescent="0.25">
      <c r="A5" s="350" t="s">
        <v>73</v>
      </c>
      <c r="B5" s="351">
        <f>L15</f>
        <v>5852.0231000000003</v>
      </c>
      <c r="C5" s="352"/>
      <c r="D5" s="363">
        <v>0.1</v>
      </c>
      <c r="E5" s="352"/>
      <c r="F5" s="87">
        <f>D5*B5</f>
        <v>585.20231000000001</v>
      </c>
    </row>
    <row r="6" spans="1:12" ht="15.75" thickBot="1" x14ac:dyDescent="0.3">
      <c r="A6" s="354" t="s">
        <v>35</v>
      </c>
      <c r="B6" s="355"/>
      <c r="C6" s="355"/>
      <c r="D6" s="355"/>
      <c r="E6" s="355"/>
      <c r="F6" s="356">
        <f>F1+F2+F3+F4+F5</f>
        <v>2214.8254100000004</v>
      </c>
    </row>
    <row r="7" spans="1:12" ht="15.75" thickBot="1" x14ac:dyDescent="0.3">
      <c r="B7" s="346"/>
      <c r="C7" s="347"/>
      <c r="D7" s="347"/>
      <c r="E7" s="348"/>
      <c r="F7" s="349"/>
    </row>
    <row r="8" spans="1:12" ht="28.5" x14ac:dyDescent="0.25">
      <c r="A8" s="42"/>
      <c r="B8" s="43" t="s">
        <v>57</v>
      </c>
      <c r="C8" s="43" t="s">
        <v>22</v>
      </c>
      <c r="D8" s="43" t="s">
        <v>58</v>
      </c>
      <c r="E8" s="43" t="s">
        <v>22</v>
      </c>
      <c r="F8" s="44" t="s">
        <v>59</v>
      </c>
      <c r="H8" s="468" t="s">
        <v>198</v>
      </c>
      <c r="I8" s="469"/>
      <c r="K8" s="468" t="s">
        <v>199</v>
      </c>
      <c r="L8" s="469"/>
    </row>
    <row r="9" spans="1:12" x14ac:dyDescent="0.25">
      <c r="A9" s="45" t="s">
        <v>36</v>
      </c>
      <c r="B9" s="46"/>
      <c r="C9" s="47"/>
      <c r="D9" s="47"/>
      <c r="E9" s="76"/>
      <c r="F9" s="44"/>
      <c r="H9" s="22"/>
      <c r="I9" s="362" t="s">
        <v>157</v>
      </c>
      <c r="K9" s="22"/>
      <c r="L9" s="362" t="s">
        <v>157</v>
      </c>
    </row>
    <row r="10" spans="1:12" x14ac:dyDescent="0.25">
      <c r="A10" s="48" t="s">
        <v>89</v>
      </c>
      <c r="B10" s="62">
        <f>$F$6</f>
        <v>2214.8254100000004</v>
      </c>
      <c r="C10" s="49"/>
      <c r="D10" s="65"/>
      <c r="E10" s="270">
        <v>7.0000000000000007E-2</v>
      </c>
      <c r="F10" s="66">
        <f>B10*E10</f>
        <v>155.03777870000005</v>
      </c>
      <c r="H10" s="22" t="s">
        <v>192</v>
      </c>
      <c r="I10" s="337">
        <v>1055.5999999999999</v>
      </c>
      <c r="K10" s="22" t="s">
        <v>192</v>
      </c>
      <c r="L10" s="337">
        <v>1055.5999999999999</v>
      </c>
    </row>
    <row r="11" spans="1:12" x14ac:dyDescent="0.25">
      <c r="A11" s="48" t="s">
        <v>60</v>
      </c>
      <c r="B11" s="62"/>
      <c r="C11" s="50"/>
      <c r="D11" s="67"/>
      <c r="E11" s="267">
        <v>1.4999999999999999E-2</v>
      </c>
      <c r="F11" s="66">
        <f>B11*E11</f>
        <v>0</v>
      </c>
      <c r="H11" s="22" t="s">
        <v>193</v>
      </c>
      <c r="I11" s="337">
        <v>1055.5999999999999</v>
      </c>
      <c r="K11" s="22" t="s">
        <v>193</v>
      </c>
      <c r="L11" s="337">
        <v>1055.5999999999999</v>
      </c>
    </row>
    <row r="12" spans="1:12" x14ac:dyDescent="0.25">
      <c r="A12" s="48" t="s">
        <v>37</v>
      </c>
      <c r="B12" s="62"/>
      <c r="C12" s="50"/>
      <c r="D12" s="67">
        <f>I34</f>
        <v>93</v>
      </c>
      <c r="E12" s="267"/>
      <c r="F12" s="66">
        <f>J34</f>
        <v>106</v>
      </c>
      <c r="H12" s="22" t="s">
        <v>194</v>
      </c>
      <c r="I12" s="337">
        <v>1055.5999999999999</v>
      </c>
      <c r="K12" s="22" t="s">
        <v>194</v>
      </c>
      <c r="L12" s="337">
        <v>1055.5999999999999</v>
      </c>
    </row>
    <row r="13" spans="1:12" x14ac:dyDescent="0.25">
      <c r="A13" s="45" t="s">
        <v>38</v>
      </c>
      <c r="B13" s="62">
        <f t="shared" ref="B13:B27" si="0">$F$6</f>
        <v>2214.8254100000004</v>
      </c>
      <c r="D13" s="62"/>
      <c r="E13" s="85">
        <v>2.7E-2</v>
      </c>
      <c r="F13" s="66">
        <f>B13*E13</f>
        <v>59.800286070000013</v>
      </c>
      <c r="H13" s="22" t="s">
        <v>195</v>
      </c>
      <c r="I13" s="337">
        <v>1055.5999999999999</v>
      </c>
      <c r="K13" s="22" t="s">
        <v>195</v>
      </c>
      <c r="L13" s="337">
        <v>1055.5999999999999</v>
      </c>
    </row>
    <row r="14" spans="1:12" x14ac:dyDescent="0.25">
      <c r="A14" s="45" t="s">
        <v>39</v>
      </c>
      <c r="B14" s="62"/>
      <c r="C14" s="51"/>
      <c r="D14" s="62"/>
      <c r="E14" s="89"/>
      <c r="F14" s="66"/>
      <c r="H14" s="22" t="s">
        <v>196</v>
      </c>
      <c r="I14" s="337">
        <f>F1+F2+F3</f>
        <v>1097.6210000000001</v>
      </c>
      <c r="K14" s="22" t="s">
        <v>196</v>
      </c>
      <c r="L14" s="337">
        <f>+F1+F2+F3+F4</f>
        <v>1629.6231000000002</v>
      </c>
    </row>
    <row r="15" spans="1:12" ht="15.75" thickBot="1" x14ac:dyDescent="0.3">
      <c r="A15" s="48" t="s">
        <v>76</v>
      </c>
      <c r="B15" s="62">
        <f t="shared" si="0"/>
        <v>2214.8254100000004</v>
      </c>
      <c r="C15" s="50">
        <v>6.9000000000000006E-2</v>
      </c>
      <c r="D15" s="209">
        <f>B15*C15</f>
        <v>152.82295329000004</v>
      </c>
      <c r="E15" s="267">
        <v>8.5500000000000007E-2</v>
      </c>
      <c r="F15" s="66">
        <f>B15*E15</f>
        <v>189.36757255500004</v>
      </c>
      <c r="H15" s="342" t="s">
        <v>197</v>
      </c>
      <c r="I15" s="361">
        <f>SUM(I10:I14)</f>
        <v>5320.0209999999997</v>
      </c>
      <c r="K15" s="342" t="s">
        <v>197</v>
      </c>
      <c r="L15" s="361">
        <f>SUM(L10:L14)</f>
        <v>5852.0231000000003</v>
      </c>
    </row>
    <row r="16" spans="1:12" x14ac:dyDescent="0.25">
      <c r="A16" s="48" t="s">
        <v>77</v>
      </c>
      <c r="B16" s="62">
        <f t="shared" si="0"/>
        <v>2214.8254100000004</v>
      </c>
      <c r="C16" s="50">
        <v>4.0000000000000001E-3</v>
      </c>
      <c r="D16" s="67">
        <f>B16*C16</f>
        <v>8.8593016400000018</v>
      </c>
      <c r="E16" s="267">
        <v>1.9E-2</v>
      </c>
      <c r="F16" s="66">
        <f>B16*E16</f>
        <v>42.081682790000009</v>
      </c>
    </row>
    <row r="17" spans="1:14" ht="15.75" thickBot="1" x14ac:dyDescent="0.3">
      <c r="A17" s="48" t="s">
        <v>78</v>
      </c>
      <c r="B17" s="62">
        <f t="shared" si="0"/>
        <v>2214.8254100000004</v>
      </c>
      <c r="C17" s="50">
        <v>4.0099999999999997E-2</v>
      </c>
      <c r="D17" s="67">
        <f>B17*C17</f>
        <v>88.814498941000011</v>
      </c>
      <c r="E17" s="267">
        <v>6.0100000000000001E-2</v>
      </c>
      <c r="F17" s="66">
        <f>B17*E17</f>
        <v>133.11100714100002</v>
      </c>
    </row>
    <row r="18" spans="1:14" ht="15.75" thickBot="1" x14ac:dyDescent="0.3">
      <c r="A18" s="48" t="s">
        <v>83</v>
      </c>
      <c r="B18" s="62"/>
      <c r="C18" s="50">
        <v>9.7199999999999995E-2</v>
      </c>
      <c r="D18" s="67">
        <f>B18*C18</f>
        <v>0</v>
      </c>
      <c r="E18" s="267">
        <v>0.1457</v>
      </c>
      <c r="F18" s="66"/>
      <c r="H18" s="470" t="s">
        <v>200</v>
      </c>
      <c r="I18" s="471"/>
      <c r="J18" s="471"/>
      <c r="K18" s="471"/>
      <c r="L18" s="471"/>
      <c r="M18" s="471"/>
      <c r="N18" s="472"/>
    </row>
    <row r="19" spans="1:14" x14ac:dyDescent="0.25">
      <c r="A19" s="48" t="s">
        <v>84</v>
      </c>
      <c r="B19" s="62"/>
      <c r="C19" s="50">
        <v>1.4E-3</v>
      </c>
      <c r="D19" s="67">
        <f>B19*C19</f>
        <v>0</v>
      </c>
      <c r="E19" s="267">
        <v>2.0999999999999999E-3</v>
      </c>
      <c r="F19" s="66"/>
      <c r="H19" s="21"/>
      <c r="I19" s="366" t="s">
        <v>201</v>
      </c>
      <c r="J19" s="366" t="s">
        <v>202</v>
      </c>
      <c r="K19" s="366" t="s">
        <v>26</v>
      </c>
      <c r="L19" s="366" t="s">
        <v>202</v>
      </c>
      <c r="M19" s="366" t="s">
        <v>203</v>
      </c>
      <c r="N19" s="367" t="s">
        <v>204</v>
      </c>
    </row>
    <row r="20" spans="1:14" x14ac:dyDescent="0.25">
      <c r="A20" s="52" t="s">
        <v>91</v>
      </c>
      <c r="B20" s="62">
        <f t="shared" si="0"/>
        <v>2214.8254100000004</v>
      </c>
      <c r="C20" s="51"/>
      <c r="D20" s="62"/>
      <c r="E20" s="89">
        <v>3.4500000000000003E-2</v>
      </c>
      <c r="F20" s="66">
        <f>B20*E20</f>
        <v>76.411476645000022</v>
      </c>
      <c r="H20" s="22" t="s">
        <v>192</v>
      </c>
      <c r="I20" s="360">
        <v>1055.5999999999999</v>
      </c>
      <c r="J20" s="360">
        <f>I20</f>
        <v>1055.5999999999999</v>
      </c>
      <c r="K20" s="360">
        <f>I20</f>
        <v>1055.5999999999999</v>
      </c>
      <c r="L20" s="360">
        <f>K20</f>
        <v>1055.5999999999999</v>
      </c>
      <c r="M20" s="360">
        <f>(0.3205/0.6*((1.6*L20/J20)-1))*J20</f>
        <v>338.31980000000004</v>
      </c>
      <c r="N20" s="337">
        <f>M20</f>
        <v>338.31980000000004</v>
      </c>
    </row>
    <row r="21" spans="1:14" x14ac:dyDescent="0.25">
      <c r="A21" s="45" t="s">
        <v>79</v>
      </c>
      <c r="B21" s="62">
        <f t="shared" si="0"/>
        <v>2214.8254100000004</v>
      </c>
      <c r="C21" s="51"/>
      <c r="D21" s="62"/>
      <c r="E21" s="89">
        <v>4.2000000000000003E-2</v>
      </c>
      <c r="F21" s="66">
        <f>B21*E21</f>
        <v>93.022667220000017</v>
      </c>
      <c r="H21" s="22" t="s">
        <v>193</v>
      </c>
      <c r="I21" s="360">
        <v>1055.5999999999999</v>
      </c>
      <c r="J21" s="360">
        <f>J20+I21</f>
        <v>2111.1999999999998</v>
      </c>
      <c r="K21" s="360">
        <f t="shared" ref="K21:K23" si="1">I21</f>
        <v>1055.5999999999999</v>
      </c>
      <c r="L21" s="360">
        <f>L20+K21</f>
        <v>2111.1999999999998</v>
      </c>
      <c r="M21" s="360">
        <f t="shared" ref="M21:M24" si="2">(0.3205/0.6*((1.6*L21/J21)-1))*J21</f>
        <v>676.63960000000009</v>
      </c>
      <c r="N21" s="337">
        <f>M21-M20</f>
        <v>338.31980000000004</v>
      </c>
    </row>
    <row r="22" spans="1:14" x14ac:dyDescent="0.25">
      <c r="A22" s="45" t="s">
        <v>74</v>
      </c>
      <c r="B22" s="62"/>
      <c r="C22" s="51"/>
      <c r="D22" s="62"/>
      <c r="E22" s="89"/>
      <c r="F22" s="269">
        <f>D52</f>
        <v>36.456026248600011</v>
      </c>
      <c r="H22" s="22" t="s">
        <v>194</v>
      </c>
      <c r="I22" s="360">
        <v>1055.5999999999999</v>
      </c>
      <c r="J22" s="360">
        <f t="shared" ref="J22:L24" si="3">J21+I22</f>
        <v>3166.7999999999997</v>
      </c>
      <c r="K22" s="360">
        <f t="shared" si="1"/>
        <v>1055.5999999999999</v>
      </c>
      <c r="L22" s="360">
        <f t="shared" si="3"/>
        <v>3166.7999999999997</v>
      </c>
      <c r="M22" s="360">
        <f t="shared" si="2"/>
        <v>1014.9594000000001</v>
      </c>
      <c r="N22" s="337">
        <f t="shared" ref="N22:N24" si="4">M22-M21</f>
        <v>338.31979999999999</v>
      </c>
    </row>
    <row r="23" spans="1:14" x14ac:dyDescent="0.25">
      <c r="A23" s="45" t="s">
        <v>85</v>
      </c>
      <c r="B23" s="62"/>
      <c r="C23" s="70"/>
      <c r="D23" s="62"/>
      <c r="E23" s="85"/>
      <c r="F23" s="66"/>
      <c r="H23" s="22" t="s">
        <v>195</v>
      </c>
      <c r="I23" s="360">
        <v>1055.5999999999999</v>
      </c>
      <c r="J23" s="360">
        <f t="shared" si="3"/>
        <v>4222.3999999999996</v>
      </c>
      <c r="K23" s="360">
        <f t="shared" si="1"/>
        <v>1055.5999999999999</v>
      </c>
      <c r="L23" s="360">
        <f t="shared" si="3"/>
        <v>4222.3999999999996</v>
      </c>
      <c r="M23" s="360">
        <f t="shared" si="2"/>
        <v>1353.2792000000002</v>
      </c>
      <c r="N23" s="337">
        <f t="shared" si="4"/>
        <v>338.3198000000001</v>
      </c>
    </row>
    <row r="24" spans="1:14" ht="15.75" thickBot="1" x14ac:dyDescent="0.3">
      <c r="A24" s="45" t="s">
        <v>41</v>
      </c>
      <c r="B24" s="67">
        <f>(F1+F4+F5)*98.25%+F11+F12</f>
        <v>2240.7803328250002</v>
      </c>
      <c r="C24" s="50">
        <v>2.9000000000000001E-2</v>
      </c>
      <c r="D24" s="67">
        <f>B24*C24</f>
        <v>64.982629651925009</v>
      </c>
      <c r="E24" s="267"/>
      <c r="F24" s="66"/>
      <c r="H24" s="342" t="s">
        <v>196</v>
      </c>
      <c r="I24" s="364">
        <f>F6</f>
        <v>2214.8254100000004</v>
      </c>
      <c r="J24" s="365">
        <f t="shared" si="3"/>
        <v>6437.22541</v>
      </c>
      <c r="K24" s="365">
        <f>(10.15*(B1+B2+B3))</f>
        <v>1092.1400000000001</v>
      </c>
      <c r="L24" s="365">
        <f t="shared" si="3"/>
        <v>5314.54</v>
      </c>
      <c r="M24" s="365">
        <f t="shared" si="2"/>
        <v>1103.6089468250004</v>
      </c>
      <c r="N24" s="361">
        <f t="shared" si="4"/>
        <v>-249.67025317499974</v>
      </c>
    </row>
    <row r="25" spans="1:14" x14ac:dyDescent="0.25">
      <c r="A25" s="45" t="s">
        <v>42</v>
      </c>
      <c r="B25" s="67">
        <f>B24</f>
        <v>2240.7803328250002</v>
      </c>
      <c r="C25" s="50">
        <v>6.8000000000000005E-2</v>
      </c>
      <c r="D25" s="67">
        <f>B25*C25</f>
        <v>152.37306263210002</v>
      </c>
      <c r="E25" s="267"/>
      <c r="F25" s="66"/>
    </row>
    <row r="26" spans="1:14" ht="15.75" thickBot="1" x14ac:dyDescent="0.3">
      <c r="A26" s="45" t="s">
        <v>41</v>
      </c>
      <c r="B26" s="67">
        <f>(F2+F3)*0.9825</f>
        <v>41.285632500000027</v>
      </c>
      <c r="C26" s="50">
        <v>9.7000000000000003E-2</v>
      </c>
      <c r="D26" s="67">
        <f>B26*C26</f>
        <v>4.0047063525000031</v>
      </c>
      <c r="E26" s="267"/>
      <c r="F26" s="184"/>
    </row>
    <row r="27" spans="1:14" x14ac:dyDescent="0.25">
      <c r="A27" s="45" t="s">
        <v>43</v>
      </c>
      <c r="B27" s="62">
        <f t="shared" si="0"/>
        <v>2214.8254100000004</v>
      </c>
      <c r="C27" s="47"/>
      <c r="D27" s="204"/>
      <c r="E27" s="267"/>
      <c r="F27" s="368">
        <f>-N24</f>
        <v>249.67025317499974</v>
      </c>
      <c r="H27" s="333"/>
      <c r="I27" s="334" t="s">
        <v>150</v>
      </c>
      <c r="J27" s="335" t="s">
        <v>153</v>
      </c>
    </row>
    <row r="28" spans="1:14" ht="15.75" thickBot="1" x14ac:dyDescent="0.3">
      <c r="A28" s="48" t="s">
        <v>252</v>
      </c>
      <c r="B28" s="62">
        <f>(F2+F3)</f>
        <v>42.021000000000022</v>
      </c>
      <c r="C28" s="50">
        <v>0.11310000000000001</v>
      </c>
      <c r="D28" s="67">
        <f>-C28*B28</f>
        <v>-4.7525751000000032</v>
      </c>
      <c r="E28" s="267"/>
      <c r="F28" s="66"/>
      <c r="H28" s="309" t="s">
        <v>149</v>
      </c>
      <c r="I28" s="133"/>
      <c r="J28" s="136"/>
    </row>
    <row r="29" spans="1:14" ht="15.75" thickBot="1" x14ac:dyDescent="0.3">
      <c r="A29" s="45" t="s">
        <v>44</v>
      </c>
      <c r="B29" s="63"/>
      <c r="C29" s="76"/>
      <c r="D29" s="206">
        <f>SUM(D9:D28)</f>
        <v>560.10457740752497</v>
      </c>
      <c r="E29" s="271"/>
      <c r="F29" s="206">
        <f>SUM(F9:F28)</f>
        <v>1140.9587505445998</v>
      </c>
      <c r="H29" s="132" t="s">
        <v>151</v>
      </c>
      <c r="I29" s="307">
        <f>20*2</f>
        <v>40</v>
      </c>
      <c r="J29" s="308">
        <f>24*2</f>
        <v>48</v>
      </c>
    </row>
    <row r="30" spans="1:14" ht="15.75" thickBot="1" x14ac:dyDescent="0.3">
      <c r="A30" s="45"/>
      <c r="B30" s="63"/>
      <c r="C30" s="47"/>
      <c r="D30" s="205"/>
      <c r="E30" s="78"/>
      <c r="F30" s="207"/>
      <c r="H30" s="132" t="s">
        <v>152</v>
      </c>
      <c r="I30" s="307">
        <f>10*3</f>
        <v>30</v>
      </c>
      <c r="J30" s="308">
        <f>12*3</f>
        <v>36</v>
      </c>
    </row>
    <row r="31" spans="1:14" ht="16.5" thickTop="1" thickBot="1" x14ac:dyDescent="0.3">
      <c r="A31" s="54" t="s">
        <v>45</v>
      </c>
      <c r="B31" s="63"/>
      <c r="C31" s="47"/>
      <c r="D31" s="63"/>
      <c r="E31" s="78"/>
      <c r="F31" s="210">
        <f>F6-D29</f>
        <v>1654.7208325924753</v>
      </c>
      <c r="H31" s="309" t="s">
        <v>154</v>
      </c>
      <c r="I31" s="307"/>
      <c r="J31" s="308"/>
    </row>
    <row r="32" spans="1:14" ht="29.25" thickTop="1" x14ac:dyDescent="0.25">
      <c r="A32" s="45" t="s">
        <v>46</v>
      </c>
      <c r="B32" s="190"/>
      <c r="C32" s="191"/>
      <c r="D32" s="190"/>
      <c r="E32" s="192"/>
      <c r="F32" s="193"/>
      <c r="H32" s="132" t="s">
        <v>151</v>
      </c>
      <c r="I32" s="307">
        <f>7*2</f>
        <v>14</v>
      </c>
      <c r="J32" s="308">
        <f>5*2</f>
        <v>10</v>
      </c>
    </row>
    <row r="33" spans="1:10" x14ac:dyDescent="0.25">
      <c r="A33" s="450" t="s">
        <v>47</v>
      </c>
      <c r="B33" s="452" t="s">
        <v>48</v>
      </c>
      <c r="C33" s="55" t="s">
        <v>22</v>
      </c>
      <c r="D33" s="454"/>
      <c r="E33" s="79"/>
      <c r="F33" s="456" t="s">
        <v>49</v>
      </c>
      <c r="H33" s="132" t="s">
        <v>152</v>
      </c>
      <c r="I33" s="307">
        <f>3*3</f>
        <v>9</v>
      </c>
      <c r="J33" s="308">
        <f>4*3</f>
        <v>12</v>
      </c>
    </row>
    <row r="34" spans="1:10" ht="15.75" thickBot="1" x14ac:dyDescent="0.3">
      <c r="A34" s="451"/>
      <c r="B34" s="453"/>
      <c r="C34" s="56" t="s">
        <v>50</v>
      </c>
      <c r="D34" s="455"/>
      <c r="E34" s="80"/>
      <c r="F34" s="457"/>
      <c r="H34" s="137" t="s">
        <v>155</v>
      </c>
      <c r="I34" s="310">
        <f>SUM(I29:I33)</f>
        <v>93</v>
      </c>
      <c r="J34" s="311">
        <f>SUM(J29:J33)</f>
        <v>106</v>
      </c>
    </row>
    <row r="35" spans="1:10" ht="15.75" thickBot="1" x14ac:dyDescent="0.3">
      <c r="A35" s="54" t="s">
        <v>51</v>
      </c>
      <c r="B35" s="64">
        <f>+B37</f>
        <v>1787.6871685969002</v>
      </c>
      <c r="C35" s="175">
        <v>1.4999999999999999E-2</v>
      </c>
      <c r="D35" s="53"/>
      <c r="E35" s="81"/>
      <c r="F35" s="93">
        <f>+B35*C35</f>
        <v>26.8153075289535</v>
      </c>
    </row>
    <row r="36" spans="1:10" ht="15.75" thickBot="1" x14ac:dyDescent="0.3">
      <c r="A36" s="48"/>
      <c r="B36" s="65"/>
      <c r="C36" s="57"/>
      <c r="D36" s="58" t="s">
        <v>52</v>
      </c>
      <c r="E36" s="82"/>
      <c r="F36" s="189">
        <f>F31-F35</f>
        <v>1627.9055250635217</v>
      </c>
    </row>
    <row r="37" spans="1:10" ht="28.5" x14ac:dyDescent="0.25">
      <c r="A37" s="45" t="s">
        <v>53</v>
      </c>
      <c r="B37" s="64">
        <f>F1+F4+F5-D29+D26+D24+F12</f>
        <v>1787.6871685969002</v>
      </c>
      <c r="C37" s="59"/>
      <c r="D37" s="58" t="s">
        <v>54</v>
      </c>
      <c r="E37" s="82"/>
      <c r="F37" s="188">
        <f>D67</f>
        <v>0</v>
      </c>
    </row>
    <row r="38" spans="1:10" x14ac:dyDescent="0.25">
      <c r="A38" s="458"/>
      <c r="B38" s="460"/>
      <c r="C38" s="462"/>
      <c r="D38" s="60" t="s">
        <v>55</v>
      </c>
      <c r="E38" s="83"/>
      <c r="F38" s="464">
        <f>F6+F29</f>
        <v>3355.7841605446001</v>
      </c>
    </row>
    <row r="39" spans="1:10" ht="15.75" thickBot="1" x14ac:dyDescent="0.3">
      <c r="A39" s="459"/>
      <c r="B39" s="461"/>
      <c r="C39" s="463"/>
      <c r="D39" s="61" t="s">
        <v>56</v>
      </c>
      <c r="E39" s="84"/>
      <c r="F39" s="465"/>
    </row>
    <row r="41" spans="1:10" ht="15.75" customHeight="1" thickBot="1" x14ac:dyDescent="0.3">
      <c r="A41" s="429" t="s">
        <v>74</v>
      </c>
      <c r="B41" s="430"/>
      <c r="C41" s="228"/>
      <c r="D41" s="228"/>
    </row>
    <row r="42" spans="1:10" x14ac:dyDescent="0.25">
      <c r="A42" s="229"/>
      <c r="B42" s="431">
        <f>F6</f>
        <v>2214.8254100000004</v>
      </c>
      <c r="C42" s="434">
        <f>0.3%+0.68%+0.55%+0.016%</f>
        <v>1.5460000000000002E-2</v>
      </c>
      <c r="D42" s="437">
        <f>B42*C42</f>
        <v>34.241200838600008</v>
      </c>
    </row>
    <row r="43" spans="1:10" x14ac:dyDescent="0.25">
      <c r="A43" s="230" t="s">
        <v>97</v>
      </c>
      <c r="B43" s="432"/>
      <c r="C43" s="435"/>
      <c r="D43" s="438"/>
    </row>
    <row r="44" spans="1:10" x14ac:dyDescent="0.25">
      <c r="A44" s="230" t="s">
        <v>98</v>
      </c>
      <c r="B44" s="432"/>
      <c r="C44" s="435"/>
      <c r="D44" s="438"/>
    </row>
    <row r="45" spans="1:10" x14ac:dyDescent="0.25">
      <c r="A45" s="230" t="s">
        <v>99</v>
      </c>
      <c r="B45" s="432"/>
      <c r="C45" s="435"/>
      <c r="D45" s="438"/>
    </row>
    <row r="46" spans="1:10" x14ac:dyDescent="0.25">
      <c r="A46" s="230" t="s">
        <v>100</v>
      </c>
      <c r="B46" s="432"/>
      <c r="C46" s="435"/>
      <c r="D46" s="438"/>
    </row>
    <row r="47" spans="1:10" x14ac:dyDescent="0.25">
      <c r="A47" s="230" t="s">
        <v>101</v>
      </c>
      <c r="B47" s="432"/>
      <c r="C47" s="435"/>
      <c r="D47" s="438"/>
    </row>
    <row r="48" spans="1:10" ht="15.75" thickBot="1" x14ac:dyDescent="0.3">
      <c r="A48" s="231" t="s">
        <v>102</v>
      </c>
      <c r="B48" s="433"/>
      <c r="C48" s="436"/>
      <c r="D48" s="439"/>
    </row>
    <row r="49" spans="1:5" ht="15.75" thickBot="1" x14ac:dyDescent="0.3">
      <c r="A49" s="228"/>
      <c r="B49" s="232"/>
      <c r="C49" s="232"/>
      <c r="D49" s="232"/>
    </row>
    <row r="50" spans="1:5" ht="15.75" thickBot="1" x14ac:dyDescent="0.3">
      <c r="A50" s="233" t="s">
        <v>103</v>
      </c>
      <c r="B50" s="234">
        <f>B17</f>
        <v>2214.8254100000004</v>
      </c>
      <c r="C50" s="235">
        <v>1E-3</v>
      </c>
      <c r="D50" s="236">
        <f>C50*B50</f>
        <v>2.2148254100000004</v>
      </c>
    </row>
    <row r="51" spans="1:5" ht="15.75" thickBot="1" x14ac:dyDescent="0.3">
      <c r="A51" s="228"/>
      <c r="B51" s="228"/>
      <c r="C51" s="228"/>
      <c r="D51" s="228"/>
      <c r="E51" s="131"/>
    </row>
    <row r="52" spans="1:5" ht="15.75" thickBot="1" x14ac:dyDescent="0.3">
      <c r="A52" s="233" t="s">
        <v>104</v>
      </c>
      <c r="B52" s="237"/>
      <c r="C52" s="237"/>
      <c r="D52" s="238">
        <f>D42+D50</f>
        <v>36.456026248600011</v>
      </c>
    </row>
    <row r="53" spans="1:5" ht="15.75" thickBot="1" x14ac:dyDescent="0.3">
      <c r="A53" s="228"/>
      <c r="B53" s="228"/>
      <c r="C53" s="228"/>
      <c r="D53" s="228"/>
    </row>
    <row r="54" spans="1:5" ht="15.75" customHeight="1" thickBot="1" x14ac:dyDescent="0.3">
      <c r="A54" s="426" t="s">
        <v>105</v>
      </c>
      <c r="B54" s="427"/>
      <c r="C54" s="427"/>
      <c r="D54" s="428"/>
    </row>
    <row r="55" spans="1:5" x14ac:dyDescent="0.25">
      <c r="A55" s="239" t="s">
        <v>106</v>
      </c>
      <c r="B55" s="243">
        <f>F6</f>
        <v>2214.8254100000004</v>
      </c>
      <c r="C55" s="240">
        <v>2.4E-2</v>
      </c>
      <c r="D55" s="241">
        <f>C55*B55</f>
        <v>53.155809840000011</v>
      </c>
    </row>
    <row r="56" spans="1:5" x14ac:dyDescent="0.25">
      <c r="A56" s="242" t="s">
        <v>107</v>
      </c>
      <c r="B56" s="243">
        <f>B55</f>
        <v>2214.8254100000004</v>
      </c>
      <c r="C56" s="244">
        <v>7.4999999999999997E-3</v>
      </c>
      <c r="D56" s="245">
        <f t="shared" ref="D56:D57" si="5">C56*B56</f>
        <v>16.611190575000002</v>
      </c>
    </row>
    <row r="57" spans="1:5" x14ac:dyDescent="0.25">
      <c r="A57" s="242" t="s">
        <v>108</v>
      </c>
      <c r="B57" s="243">
        <f>B23</f>
        <v>0</v>
      </c>
      <c r="C57" s="244">
        <v>-1.7000000000000001E-2</v>
      </c>
      <c r="D57" s="245">
        <f t="shared" si="5"/>
        <v>0</v>
      </c>
    </row>
    <row r="58" spans="1:5" x14ac:dyDescent="0.25">
      <c r="A58" s="45" t="s">
        <v>109</v>
      </c>
      <c r="B58" s="246"/>
      <c r="C58" s="50">
        <v>0.11310000000000001</v>
      </c>
      <c r="D58" s="247">
        <f>C58*B58</f>
        <v>0</v>
      </c>
    </row>
    <row r="59" spans="1:5" ht="15.75" thickBot="1" x14ac:dyDescent="0.3">
      <c r="A59" s="265" t="s">
        <v>110</v>
      </c>
      <c r="B59" s="248"/>
      <c r="C59" s="249"/>
      <c r="D59" s="250">
        <f>SUM(D55:D58)</f>
        <v>69.767000415000012</v>
      </c>
    </row>
    <row r="60" spans="1:5" x14ac:dyDescent="0.25">
      <c r="A60" s="131"/>
      <c r="B60" s="131"/>
      <c r="C60" s="131"/>
      <c r="D60" s="131"/>
    </row>
    <row r="61" spans="1:5" ht="15.75" thickBot="1" x14ac:dyDescent="0.3">
      <c r="A61" s="131"/>
      <c r="B61" s="131"/>
      <c r="C61" s="131"/>
      <c r="D61" s="131"/>
    </row>
    <row r="62" spans="1:5" ht="15.75" thickBot="1" x14ac:dyDescent="0.3">
      <c r="A62" s="426" t="s">
        <v>117</v>
      </c>
      <c r="B62" s="427"/>
      <c r="C62" s="427"/>
      <c r="D62" s="428"/>
    </row>
    <row r="63" spans="1:5" x14ac:dyDescent="0.25">
      <c r="A63" s="252" t="s">
        <v>111</v>
      </c>
      <c r="B63" s="253"/>
      <c r="C63" s="253"/>
      <c r="D63" s="272">
        <f>-F27</f>
        <v>-249.67025317499974</v>
      </c>
    </row>
    <row r="64" spans="1:5" x14ac:dyDescent="0.25">
      <c r="A64" s="255" t="s">
        <v>112</v>
      </c>
      <c r="B64" s="256"/>
      <c r="C64" s="257">
        <v>1.5</v>
      </c>
      <c r="D64" s="258" t="s">
        <v>113</v>
      </c>
    </row>
    <row r="65" spans="1:4" x14ac:dyDescent="0.25">
      <c r="A65" s="255" t="s">
        <v>114</v>
      </c>
      <c r="B65" s="259">
        <f>F6</f>
        <v>2214.8254100000004</v>
      </c>
      <c r="C65" s="260">
        <v>1.7999999999999999E-2</v>
      </c>
      <c r="D65" s="261">
        <f>C65*B65</f>
        <v>39.866857380000006</v>
      </c>
    </row>
    <row r="66" spans="1:4" x14ac:dyDescent="0.25">
      <c r="A66" s="255" t="s">
        <v>115</v>
      </c>
      <c r="B66" s="259">
        <f>B65</f>
        <v>2214.8254100000004</v>
      </c>
      <c r="C66" s="260">
        <v>0.06</v>
      </c>
      <c r="D66" s="261">
        <f>C66*B66</f>
        <v>132.88952460000002</v>
      </c>
    </row>
    <row r="67" spans="1:4" ht="15.75" thickBot="1" x14ac:dyDescent="0.3">
      <c r="A67" s="266" t="s">
        <v>116</v>
      </c>
      <c r="B67" s="262"/>
      <c r="C67" s="262"/>
      <c r="D67" s="264">
        <v>0</v>
      </c>
    </row>
  </sheetData>
  <mergeCells count="17">
    <mergeCell ref="D33:D34"/>
    <mergeCell ref="H8:I8"/>
    <mergeCell ref="K8:L8"/>
    <mergeCell ref="H18:N18"/>
    <mergeCell ref="A62:D62"/>
    <mergeCell ref="A41:B41"/>
    <mergeCell ref="B42:B48"/>
    <mergeCell ref="C42:C48"/>
    <mergeCell ref="D42:D48"/>
    <mergeCell ref="A54:D54"/>
    <mergeCell ref="F33:F34"/>
    <mergeCell ref="A38:A39"/>
    <mergeCell ref="B38:B39"/>
    <mergeCell ref="C38:C39"/>
    <mergeCell ref="F38:F39"/>
    <mergeCell ref="A33:A34"/>
    <mergeCell ref="B33:B34"/>
  </mergeCells>
  <phoneticPr fontId="3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ENONCE A LIRE</vt:lpstr>
      <vt:lpstr>SALARIES</vt:lpstr>
      <vt:lpstr>CONDITIONS PARTICULIERES</vt:lpstr>
      <vt:lpstr>SALAIRES</vt:lpstr>
      <vt:lpstr>CALENDRIER DU MOIS DE MAI</vt:lpstr>
      <vt:lpstr>DUMAINE BULLETIN</vt:lpstr>
      <vt:lpstr>VALETTE BULLETIN</vt:lpstr>
      <vt:lpstr>HERMAN BULLETIN</vt:lpstr>
      <vt:lpstr>DUMOULINS BULLETIN</vt:lpstr>
      <vt:lpstr>LAMBERT BULLETIN</vt:lpstr>
      <vt:lpstr>Feuil1</vt:lpstr>
      <vt:lpstr>DUMAINE BULLETIN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ARKHOS</dc:creator>
  <cp:lastModifiedBy>ARKHOS</cp:lastModifiedBy>
  <dcterms:created xsi:type="dcterms:W3CDTF">2019-05-13T15:16:04Z</dcterms:created>
  <dcterms:modified xsi:type="dcterms:W3CDTF">2020-08-17T08:21:20Z</dcterms:modified>
</cp:coreProperties>
</file>