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\Desktop\foad paie 2020\PAIE N2 - renuméroté\ARRET-DE-TRAVAIL-MAINTIEN SUR LE NET\DOCUMENTS\"/>
    </mc:Choice>
  </mc:AlternateContent>
  <xr:revisionPtr revIDLastSave="0" documentId="8_{0A4BB6F6-20C3-414E-BFD4-C54E2FCA4F47}" xr6:coauthVersionLast="47" xr6:coauthVersionMax="47" xr10:uidLastSave="{00000000-0000-0000-0000-000000000000}"/>
  <bookViews>
    <workbookView xWindow="23880" yWindow="-120" windowWidth="25440" windowHeight="15390" activeTab="1" xr2:uid="{2D803650-2C9E-42ED-BE06-0BCD530C1164}"/>
  </bookViews>
  <sheets>
    <sheet name="NET HABITUEL" sheetId="26" r:id="rId1"/>
    <sheet name="MAINTIEN 100% STRICT" sheetId="30" r:id="rId2"/>
    <sheet name="MAINTIEN 100% HABITUEL" sheetId="31" r:id="rId3"/>
    <sheet name="MAINTIEN 90% STRICT" sheetId="32" r:id="rId4"/>
    <sheet name="S HERMAN  " sheetId="28" state="hidden" r:id="rId5"/>
    <sheet name="Feuil1" sheetId="11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A.C._trA_pat">[1]COTISATIONS!$B$28</definedName>
    <definedName name="A.C._tra_sal">[1]COTISATIONS!$C$28</definedName>
    <definedName name="A.C._trb_pat">[1]COTISATIONS!$B$30</definedName>
    <definedName name="A.C._trb_sal">[1]COTISATIONS!$C$30</definedName>
    <definedName name="A.S.F._trA_pat">[1]COTISATIONS!$B$27</definedName>
    <definedName name="A.S.F._trA_sal">[1]COTISATIONS!$C$27</definedName>
    <definedName name="A.S.F._trB_pat">[1]COTISATIONS!$B$29</definedName>
    <definedName name="A.S.F._trb_sal">[1]COTISATIONS!$C$29</definedName>
    <definedName name="Aide_au_logement">[1]COTISATIONS!$B$14</definedName>
    <definedName name="Aide_au_logement___20_salariés">[2]COTISATIONS!$B$20</definedName>
    <definedName name="Aide_au_logement___9_salariés">[1]COTISATIONS!$B$19</definedName>
    <definedName name="Allocations_familiales_100">[1]COTISATIONS!$B$13</definedName>
    <definedName name="an_repas_inf_plafond">[1]COTISATIONS!$B$71</definedName>
    <definedName name="APEC_pat">[1]COTISATIONS!$B$39</definedName>
    <definedName name="APEC_sal">[1]COTISATIONS!$C$39</definedName>
    <definedName name="Assurance_maladie_pat">[1]COTISATIONS!$B$9</definedName>
    <definedName name="Assurance_maladie_sal">[1]COTISATIONS!$C$9</definedName>
    <definedName name="Assurance_veuvage">[1]COTISATIONS!$C$12</definedName>
    <definedName name="Assurance_vieillesse_pat">[1]COTISATIONS!$B$10</definedName>
    <definedName name="Assurance_vieillesse_pat_tt">[1]COTISATIONS!$B$11</definedName>
    <definedName name="Assurance_vieillesse_sal">[1]COTISATIONS!$C$10</definedName>
    <definedName name="Assurance_vieillesse_sal_tt">[1]COTISATIONS!$C$11</definedName>
    <definedName name="basefnal">#REF!</definedName>
    <definedName name="BRUT">#REF!</definedName>
    <definedName name="cabourg_bordereau_assedic">#REF!</definedName>
    <definedName name="cabourg_compta_assedic">#REF!</definedName>
    <definedName name="cabourg_decompte_assedic">#REF!</definedName>
    <definedName name="Cadres_tranche_A_pat">[1]COTISATIONS!$B$36</definedName>
    <definedName name="Cadres_tranche_A_sal">[1]COTISATIONS!$C$36</definedName>
    <definedName name="Cadres_tranche_B_pat">[1]COTISATIONS!$B$37</definedName>
    <definedName name="Cadres_tranche_B_sal">[1]COTISATIONS!$C$37</definedName>
    <definedName name="Cadres_tranche_C_pat">[1]COTISATIONS!$B$38</definedName>
    <definedName name="Cadres_tranche_C_sal">[1]COTISATIONS!$C$38</definedName>
    <definedName name="CET_pat">[1]COTISATIONS!$B$42</definedName>
    <definedName name="CET_sal">[1]COTISATIONS!$C$42</definedName>
    <definedName name="CODE">#REF!</definedName>
    <definedName name="Contribution_Sociale_Généralisée__déductible">[1]COTISATIONS!$C$17</definedName>
    <definedName name="Contribution_Sociale_Généralisée__non_déductible">[1]COTISATIONS!$C$16</definedName>
    <definedName name="Contribution_solidarité_autonomie">[2]formules!#REF!</definedName>
    <definedName name="cot_urssaf">[3]DIVERS!#REF!</definedName>
    <definedName name="duverger">#REF!</definedName>
    <definedName name="effectif">#REF!</definedName>
    <definedName name="effectif1">#REF!</definedName>
    <definedName name="fillon1">#REF!</definedName>
    <definedName name="fnal">#REF!</definedName>
    <definedName name="FNGS">[1]COTISATIONS!$B$31</definedName>
    <definedName name="Forfait_APEC_pat">[1]COTISATIONS!$B$40</definedName>
    <definedName name="Forfait_APEC_sal">[1]COTISATIONS!$C$40</definedName>
    <definedName name="gmp">#REF!</definedName>
    <definedName name="martin_decompte_vierge">#REF!</definedName>
    <definedName name="Minimum_garanti_actuel">[4]COTISATIONS!$B$60</definedName>
    <definedName name="PLAFOND">#REF!</definedName>
    <definedName name="Plafond_de_sécurité_Sociale">[1]COTISATIONS!$B$49</definedName>
    <definedName name="plafond_duverger">#REF!</definedName>
    <definedName name="Prévoyance_Cadres_TA_">[1]COTISATIONS!$B$41</definedName>
    <definedName name="RDS__Remboursement_de_la_dette_sociale">[1]COTISATIONS!$C$18</definedName>
    <definedName name="Retraite_Employés_tranche_1_pat">[1]COTISATIONS!$B$43</definedName>
    <definedName name="Retraite_Employés_tranche_1_sal">[1]COTISATIONS!$C$43</definedName>
    <definedName name="Retraite_Employés_tranche_2_pat">[1]COTISATIONS!$B$44</definedName>
    <definedName name="Retraite_Employés_tranche_2_sal">[1]COTISATIONS!$C$44</definedName>
    <definedName name="rien">#REF!</definedName>
    <definedName name="SMIC_horaire_actuel">[4]COTISATIONS!$B$61</definedName>
    <definedName name="smicp">#REF!</definedName>
    <definedName name="Taxe_de_prévoyance">[1]COTISATIONS!$B$20</definedName>
    <definedName name="tranch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32" l="1"/>
  <c r="D77" i="32"/>
  <c r="B77" i="32"/>
  <c r="I64" i="32"/>
  <c r="I63" i="32"/>
  <c r="I61" i="32"/>
  <c r="I65" i="32" s="1"/>
  <c r="D80" i="31"/>
  <c r="D77" i="31"/>
  <c r="B77" i="31"/>
  <c r="I63" i="31"/>
  <c r="I64" i="31" s="1"/>
  <c r="I61" i="31"/>
  <c r="I65" i="31" s="1"/>
  <c r="D80" i="30"/>
  <c r="D77" i="30"/>
  <c r="B77" i="30"/>
  <c r="I65" i="30"/>
  <c r="I63" i="30"/>
  <c r="I61" i="30"/>
  <c r="D34" i="32"/>
  <c r="E37" i="32"/>
  <c r="C34" i="32"/>
  <c r="C187" i="32"/>
  <c r="C174" i="32"/>
  <c r="F172" i="32"/>
  <c r="F173" i="32" s="1"/>
  <c r="E172" i="32"/>
  <c r="E173" i="32" s="1"/>
  <c r="C166" i="32"/>
  <c r="C168" i="32" s="1"/>
  <c r="C164" i="32"/>
  <c r="C162" i="32"/>
  <c r="C154" i="32"/>
  <c r="C152" i="32"/>
  <c r="C153" i="32" s="1"/>
  <c r="C155" i="32" s="1"/>
  <c r="C151" i="32"/>
  <c r="C150" i="32"/>
  <c r="C149" i="32"/>
  <c r="B128" i="32"/>
  <c r="D111" i="32"/>
  <c r="B97" i="32"/>
  <c r="D97" i="32" s="1"/>
  <c r="B95" i="32"/>
  <c r="B94" i="32"/>
  <c r="B90" i="32"/>
  <c r="B89" i="32"/>
  <c r="F64" i="32"/>
  <c r="D63" i="32"/>
  <c r="B63" i="32"/>
  <c r="B62" i="32"/>
  <c r="D62" i="32" s="1"/>
  <c r="F55" i="32"/>
  <c r="D55" i="32"/>
  <c r="E51" i="32"/>
  <c r="E50" i="32"/>
  <c r="E49" i="32"/>
  <c r="E48" i="32"/>
  <c r="E47" i="32"/>
  <c r="D33" i="32"/>
  <c r="D32" i="32"/>
  <c r="D30" i="32"/>
  <c r="D29" i="32"/>
  <c r="D28" i="32"/>
  <c r="D27" i="32"/>
  <c r="C27" i="32"/>
  <c r="D26" i="32"/>
  <c r="C26" i="32"/>
  <c r="D25" i="32"/>
  <c r="C25" i="32"/>
  <c r="C24" i="32"/>
  <c r="D24" i="32" s="1"/>
  <c r="C187" i="31"/>
  <c r="C174" i="31"/>
  <c r="F172" i="31"/>
  <c r="F173" i="31" s="1"/>
  <c r="E172" i="31"/>
  <c r="E173" i="31" s="1"/>
  <c r="C166" i="31"/>
  <c r="C168" i="31" s="1"/>
  <c r="C164" i="31"/>
  <c r="C162" i="31"/>
  <c r="C154" i="31"/>
  <c r="C152" i="31"/>
  <c r="C153" i="31" s="1"/>
  <c r="C155" i="31" s="1"/>
  <c r="C151" i="31"/>
  <c r="C150" i="31"/>
  <c r="C149" i="31"/>
  <c r="B128" i="31"/>
  <c r="I123" i="31"/>
  <c r="B112" i="31"/>
  <c r="D112" i="31" s="1"/>
  <c r="D111" i="31"/>
  <c r="B97" i="31"/>
  <c r="D97" i="31" s="1"/>
  <c r="B95" i="31"/>
  <c r="B94" i="31"/>
  <c r="B90" i="31"/>
  <c r="B89" i="31"/>
  <c r="F64" i="31"/>
  <c r="B63" i="31"/>
  <c r="D63" i="31" s="1"/>
  <c r="B62" i="31"/>
  <c r="D62" i="31" s="1"/>
  <c r="F55" i="31"/>
  <c r="D55" i="31"/>
  <c r="E51" i="31"/>
  <c r="E50" i="31"/>
  <c r="E49" i="31"/>
  <c r="E48" i="31"/>
  <c r="E47" i="31"/>
  <c r="D33" i="31"/>
  <c r="D32" i="31"/>
  <c r="D30" i="31"/>
  <c r="D29" i="31"/>
  <c r="D28" i="31"/>
  <c r="C27" i="31"/>
  <c r="D27" i="31" s="1"/>
  <c r="D26" i="31"/>
  <c r="C26" i="31"/>
  <c r="C25" i="31"/>
  <c r="D25" i="31" s="1"/>
  <c r="C24" i="31"/>
  <c r="D24" i="31" s="1"/>
  <c r="D32" i="30"/>
  <c r="D33" i="30"/>
  <c r="C187" i="30"/>
  <c r="C174" i="30"/>
  <c r="F172" i="30"/>
  <c r="F173" i="30" s="1"/>
  <c r="E172" i="30"/>
  <c r="E173" i="30" s="1"/>
  <c r="C164" i="30"/>
  <c r="C162" i="30"/>
  <c r="C166" i="30" s="1"/>
  <c r="C168" i="30" s="1"/>
  <c r="C154" i="30"/>
  <c r="C151" i="30"/>
  <c r="C150" i="30"/>
  <c r="C149" i="30"/>
  <c r="C152" i="30" s="1"/>
  <c r="C153" i="30" s="1"/>
  <c r="C155" i="30" s="1"/>
  <c r="B128" i="30"/>
  <c r="I123" i="30"/>
  <c r="D111" i="30"/>
  <c r="D97" i="30"/>
  <c r="B97" i="30"/>
  <c r="B95" i="30"/>
  <c r="B94" i="30"/>
  <c r="B90" i="30"/>
  <c r="B89" i="30"/>
  <c r="F64" i="30"/>
  <c r="B63" i="30"/>
  <c r="D63" i="30" s="1"/>
  <c r="B62" i="30"/>
  <c r="D62" i="30" s="1"/>
  <c r="F55" i="30"/>
  <c r="D55" i="30"/>
  <c r="E51" i="30"/>
  <c r="E50" i="30"/>
  <c r="E49" i="30"/>
  <c r="E48" i="30"/>
  <c r="E47" i="30"/>
  <c r="D30" i="30"/>
  <c r="D29" i="30"/>
  <c r="D28" i="30"/>
  <c r="C27" i="30"/>
  <c r="D27" i="30" s="1"/>
  <c r="C26" i="30"/>
  <c r="D26" i="30" s="1"/>
  <c r="D25" i="30"/>
  <c r="C25" i="30"/>
  <c r="C24" i="30"/>
  <c r="D24" i="30" s="1"/>
  <c r="F171" i="26"/>
  <c r="F172" i="26" s="1"/>
  <c r="E171" i="26"/>
  <c r="E172" i="26" s="1"/>
  <c r="H24" i="32" l="1"/>
  <c r="C179" i="32"/>
  <c r="C156" i="32"/>
  <c r="C181" i="32"/>
  <c r="C170" i="32"/>
  <c r="B112" i="32"/>
  <c r="D112" i="32" s="1"/>
  <c r="H24" i="31"/>
  <c r="D37" i="31"/>
  <c r="C157" i="31"/>
  <c r="C179" i="31"/>
  <c r="C156" i="31"/>
  <c r="C181" i="31"/>
  <c r="C170" i="31"/>
  <c r="D37" i="30"/>
  <c r="H24" i="30"/>
  <c r="C179" i="30"/>
  <c r="C156" i="30"/>
  <c r="C157" i="30"/>
  <c r="C181" i="30"/>
  <c r="C170" i="30"/>
  <c r="B112" i="30"/>
  <c r="D112" i="30" s="1"/>
  <c r="C149" i="26"/>
  <c r="C150" i="26"/>
  <c r="C148" i="26"/>
  <c r="C186" i="26"/>
  <c r="D37" i="28"/>
  <c r="C174" i="28"/>
  <c r="C164" i="28"/>
  <c r="C162" i="28"/>
  <c r="C166" i="28" s="1"/>
  <c r="C168" i="28" s="1"/>
  <c r="C154" i="28"/>
  <c r="C151" i="28"/>
  <c r="C150" i="28"/>
  <c r="C149" i="28"/>
  <c r="B128" i="28"/>
  <c r="D111" i="28"/>
  <c r="B97" i="28"/>
  <c r="D97" i="28" s="1"/>
  <c r="B95" i="28"/>
  <c r="B94" i="28"/>
  <c r="B90" i="28"/>
  <c r="B89" i="28"/>
  <c r="F64" i="28"/>
  <c r="B63" i="28"/>
  <c r="D63" i="28" s="1"/>
  <c r="B62" i="28"/>
  <c r="D62" i="28" s="1"/>
  <c r="E51" i="28"/>
  <c r="E50" i="28"/>
  <c r="E49" i="28"/>
  <c r="E48" i="28"/>
  <c r="E47" i="28"/>
  <c r="C32" i="28"/>
  <c r="D32" i="28" s="1"/>
  <c r="D30" i="28"/>
  <c r="D29" i="28"/>
  <c r="D28" i="28"/>
  <c r="C27" i="28"/>
  <c r="D27" i="28" s="1"/>
  <c r="C26" i="28"/>
  <c r="D26" i="28" s="1"/>
  <c r="D25" i="28"/>
  <c r="C25" i="28"/>
  <c r="C24" i="28"/>
  <c r="D24" i="28" s="1"/>
  <c r="C163" i="26"/>
  <c r="C173" i="26"/>
  <c r="C32" i="26" s="1"/>
  <c r="D32" i="26" s="1"/>
  <c r="C161" i="26"/>
  <c r="C153" i="26"/>
  <c r="B62" i="26"/>
  <c r="D62" i="26" s="1"/>
  <c r="F64" i="26"/>
  <c r="B63" i="26"/>
  <c r="D63" i="26" s="1"/>
  <c r="D28" i="26"/>
  <c r="D29" i="26"/>
  <c r="D30" i="26"/>
  <c r="C27" i="26"/>
  <c r="D27" i="26" s="1"/>
  <c r="C26" i="26"/>
  <c r="D26" i="26" s="1"/>
  <c r="C25" i="26"/>
  <c r="D25" i="26" s="1"/>
  <c r="C24" i="26"/>
  <c r="D24" i="26" s="1"/>
  <c r="D37" i="26" s="1"/>
  <c r="B96" i="26"/>
  <c r="D96" i="26" s="1"/>
  <c r="B94" i="26"/>
  <c r="B93" i="26"/>
  <c r="B89" i="26"/>
  <c r="B88" i="26"/>
  <c r="E51" i="26"/>
  <c r="E50" i="26"/>
  <c r="E49" i="26"/>
  <c r="E48" i="26"/>
  <c r="E47" i="26"/>
  <c r="C186" i="32" l="1"/>
  <c r="C176" i="32"/>
  <c r="C173" i="32"/>
  <c r="C185" i="32"/>
  <c r="C189" i="32" s="1"/>
  <c r="C157" i="32"/>
  <c r="B129" i="32"/>
  <c r="B113" i="32"/>
  <c r="B43" i="32"/>
  <c r="B123" i="32"/>
  <c r="B42" i="32"/>
  <c r="B135" i="32"/>
  <c r="B124" i="32"/>
  <c r="B98" i="32"/>
  <c r="D98" i="32" s="1"/>
  <c r="B53" i="32"/>
  <c r="B45" i="32"/>
  <c r="B41" i="32"/>
  <c r="F41" i="32" s="1"/>
  <c r="B103" i="32"/>
  <c r="H37" i="32"/>
  <c r="B130" i="32"/>
  <c r="C88" i="32"/>
  <c r="C186" i="31"/>
  <c r="I121" i="31"/>
  <c r="B129" i="31"/>
  <c r="B113" i="31"/>
  <c r="B43" i="31"/>
  <c r="C88" i="31"/>
  <c r="B135" i="31"/>
  <c r="B124" i="31"/>
  <c r="B98" i="31"/>
  <c r="D98" i="31" s="1"/>
  <c r="B53" i="31"/>
  <c r="B45" i="31"/>
  <c r="B41" i="31"/>
  <c r="F41" i="31" s="1"/>
  <c r="B103" i="31"/>
  <c r="H37" i="31"/>
  <c r="B130" i="31"/>
  <c r="B123" i="31"/>
  <c r="B42" i="31"/>
  <c r="C185" i="31"/>
  <c r="C189" i="31" s="1"/>
  <c r="C176" i="31"/>
  <c r="C173" i="31"/>
  <c r="I125" i="31"/>
  <c r="I121" i="30"/>
  <c r="C186" i="30"/>
  <c r="C176" i="30"/>
  <c r="C173" i="30"/>
  <c r="I125" i="30"/>
  <c r="C185" i="30"/>
  <c r="C189" i="30" s="1"/>
  <c r="I64" i="30"/>
  <c r="B129" i="30"/>
  <c r="C88" i="30"/>
  <c r="H37" i="30"/>
  <c r="B123" i="30"/>
  <c r="B135" i="30"/>
  <c r="B124" i="30"/>
  <c r="B113" i="30"/>
  <c r="B42" i="30"/>
  <c r="B103" i="30"/>
  <c r="B53" i="30"/>
  <c r="B45" i="30"/>
  <c r="B98" i="30"/>
  <c r="D98" i="30" s="1"/>
  <c r="B43" i="30"/>
  <c r="B130" i="30"/>
  <c r="B41" i="30"/>
  <c r="F41" i="30" s="1"/>
  <c r="C165" i="26"/>
  <c r="B111" i="26"/>
  <c r="D111" i="26" s="1"/>
  <c r="B112" i="28"/>
  <c r="D112" i="28" s="1"/>
  <c r="C152" i="28"/>
  <c r="C153" i="28" s="1"/>
  <c r="C155" i="28" s="1"/>
  <c r="C181" i="28"/>
  <c r="C170" i="28"/>
  <c r="C167" i="26"/>
  <c r="C151" i="26"/>
  <c r="C152" i="26" s="1"/>
  <c r="C154" i="26" s="1"/>
  <c r="F53" i="32" l="1"/>
  <c r="B54" i="32"/>
  <c r="F54" i="32" s="1"/>
  <c r="B114" i="32"/>
  <c r="D114" i="32" s="1"/>
  <c r="D113" i="32"/>
  <c r="D115" i="32" s="1"/>
  <c r="D95" i="32"/>
  <c r="D93" i="32"/>
  <c r="D92" i="32"/>
  <c r="D89" i="32"/>
  <c r="D100" i="32" s="1"/>
  <c r="D94" i="32"/>
  <c r="D91" i="32"/>
  <c r="D90" i="32"/>
  <c r="D140" i="32"/>
  <c r="D135" i="32"/>
  <c r="D139" i="32"/>
  <c r="D138" i="32"/>
  <c r="D137" i="32"/>
  <c r="B104" i="32"/>
  <c r="D104" i="32" s="1"/>
  <c r="D103" i="32"/>
  <c r="F42" i="32"/>
  <c r="D42" i="32"/>
  <c r="B131" i="32"/>
  <c r="F45" i="32"/>
  <c r="B47" i="32"/>
  <c r="F43" i="32"/>
  <c r="D43" i="32"/>
  <c r="C178" i="32"/>
  <c r="C177" i="32"/>
  <c r="C180" i="32" s="1"/>
  <c r="C182" i="32" s="1"/>
  <c r="D43" i="31"/>
  <c r="F43" i="31"/>
  <c r="B104" i="31"/>
  <c r="D104" i="31" s="1"/>
  <c r="D103" i="31"/>
  <c r="D113" i="31"/>
  <c r="B114" i="31"/>
  <c r="D114" i="31" s="1"/>
  <c r="F45" i="31"/>
  <c r="B47" i="31"/>
  <c r="F53" i="31"/>
  <c r="B54" i="31"/>
  <c r="F54" i="31" s="1"/>
  <c r="D140" i="31"/>
  <c r="D135" i="31"/>
  <c r="D137" i="31"/>
  <c r="D139" i="31"/>
  <c r="D138" i="31"/>
  <c r="D42" i="31"/>
  <c r="F42" i="31"/>
  <c r="D95" i="31"/>
  <c r="D93" i="31"/>
  <c r="D92" i="31"/>
  <c r="D89" i="31"/>
  <c r="D100" i="31" s="1"/>
  <c r="D94" i="31"/>
  <c r="D91" i="31"/>
  <c r="D90" i="31"/>
  <c r="C178" i="31"/>
  <c r="C177" i="31"/>
  <c r="C180" i="31" s="1"/>
  <c r="C182" i="31" s="1"/>
  <c r="H122" i="31"/>
  <c r="I122" i="31" s="1"/>
  <c r="I124" i="31" s="1"/>
  <c r="B131" i="31"/>
  <c r="B104" i="30"/>
  <c r="D104" i="30" s="1"/>
  <c r="D103" i="30"/>
  <c r="B47" i="30"/>
  <c r="F45" i="30"/>
  <c r="D42" i="30"/>
  <c r="F42" i="30"/>
  <c r="D140" i="30"/>
  <c r="D135" i="30"/>
  <c r="D139" i="30"/>
  <c r="D138" i="30"/>
  <c r="D137" i="30"/>
  <c r="D90" i="30"/>
  <c r="D94" i="30"/>
  <c r="D95" i="30"/>
  <c r="D93" i="30"/>
  <c r="D91" i="30"/>
  <c r="D92" i="30"/>
  <c r="D89" i="30"/>
  <c r="D100" i="30" s="1"/>
  <c r="B54" i="30"/>
  <c r="F54" i="30" s="1"/>
  <c r="F53" i="30"/>
  <c r="B131" i="30"/>
  <c r="F43" i="30"/>
  <c r="D43" i="30"/>
  <c r="D113" i="30"/>
  <c r="B114" i="30"/>
  <c r="D114" i="30" s="1"/>
  <c r="C178" i="30"/>
  <c r="C177" i="30"/>
  <c r="H122" i="30"/>
  <c r="I122" i="30" s="1"/>
  <c r="I124" i="30" s="1"/>
  <c r="C156" i="28"/>
  <c r="I121" i="28" s="1"/>
  <c r="I62" i="28"/>
  <c r="C179" i="28"/>
  <c r="I62" i="26"/>
  <c r="I63" i="28"/>
  <c r="I64" i="28"/>
  <c r="C157" i="28"/>
  <c r="C185" i="28"/>
  <c r="C176" i="28"/>
  <c r="I125" i="28"/>
  <c r="C173" i="28"/>
  <c r="C169" i="26"/>
  <c r="C172" i="26" s="1"/>
  <c r="C180" i="26"/>
  <c r="C178" i="26"/>
  <c r="C155" i="26"/>
  <c r="B60" i="32" l="1"/>
  <c r="B48" i="32"/>
  <c r="D47" i="32"/>
  <c r="F47" i="32"/>
  <c r="D141" i="32"/>
  <c r="F56" i="32" s="1"/>
  <c r="B60" i="31"/>
  <c r="D141" i="31"/>
  <c r="F56" i="31" s="1"/>
  <c r="D47" i="31"/>
  <c r="B48" i="31"/>
  <c r="F47" i="31"/>
  <c r="D115" i="31"/>
  <c r="C180" i="30"/>
  <c r="C182" i="30" s="1"/>
  <c r="B60" i="30"/>
  <c r="D115" i="30"/>
  <c r="D141" i="30"/>
  <c r="F56" i="30" s="1"/>
  <c r="D47" i="30"/>
  <c r="B48" i="30"/>
  <c r="F47" i="30"/>
  <c r="I124" i="26"/>
  <c r="C184" i="26"/>
  <c r="C156" i="26"/>
  <c r="D72" i="26" s="1"/>
  <c r="C185" i="26"/>
  <c r="I120" i="26"/>
  <c r="I63" i="26"/>
  <c r="I64" i="26" s="1"/>
  <c r="C178" i="28"/>
  <c r="H122" i="28"/>
  <c r="I122" i="28" s="1"/>
  <c r="C177" i="28"/>
  <c r="C180" i="28" s="1"/>
  <c r="C182" i="28" s="1"/>
  <c r="C175" i="26"/>
  <c r="B61" i="32" l="1"/>
  <c r="D61" i="32" s="1"/>
  <c r="D60" i="32"/>
  <c r="B122" i="32"/>
  <c r="B125" i="32" s="1"/>
  <c r="B105" i="32"/>
  <c r="D105" i="32" s="1"/>
  <c r="D107" i="32" s="1"/>
  <c r="D48" i="32"/>
  <c r="B49" i="32"/>
  <c r="F48" i="32"/>
  <c r="D48" i="31"/>
  <c r="B49" i="31"/>
  <c r="F48" i="31"/>
  <c r="B61" i="31"/>
  <c r="D61" i="31" s="1"/>
  <c r="D60" i="31"/>
  <c r="B122" i="31"/>
  <c r="B125" i="31" s="1"/>
  <c r="B105" i="31"/>
  <c r="D105" i="31" s="1"/>
  <c r="D107" i="31" s="1"/>
  <c r="B105" i="30"/>
  <c r="D105" i="30" s="1"/>
  <c r="D107" i="30" s="1"/>
  <c r="D60" i="30"/>
  <c r="B61" i="30"/>
  <c r="D61" i="30" s="1"/>
  <c r="B122" i="30"/>
  <c r="B125" i="30" s="1"/>
  <c r="D48" i="30"/>
  <c r="B49" i="30"/>
  <c r="F48" i="30"/>
  <c r="C177" i="26"/>
  <c r="C176" i="26"/>
  <c r="H121" i="26"/>
  <c r="I121" i="26" s="1"/>
  <c r="C188" i="26"/>
  <c r="B130" i="28"/>
  <c r="B123" i="28"/>
  <c r="C88" i="28"/>
  <c r="B42" i="28"/>
  <c r="H24" i="28"/>
  <c r="B135" i="28"/>
  <c r="B124" i="28"/>
  <c r="B98" i="28"/>
  <c r="D98" i="28" s="1"/>
  <c r="B53" i="28"/>
  <c r="B103" i="28"/>
  <c r="B129" i="28"/>
  <c r="B131" i="28" s="1"/>
  <c r="B113" i="28"/>
  <c r="B43" i="28"/>
  <c r="B55" i="28"/>
  <c r="B45" i="28"/>
  <c r="B41" i="28"/>
  <c r="F41" i="28" s="1"/>
  <c r="D178" i="28"/>
  <c r="B127" i="26"/>
  <c r="D110" i="26"/>
  <c r="D49" i="32" l="1"/>
  <c r="D65" i="32" s="1"/>
  <c r="F49" i="32"/>
  <c r="F65" i="32" s="1"/>
  <c r="D49" i="31"/>
  <c r="D65" i="31" s="1"/>
  <c r="F49" i="31"/>
  <c r="F65" i="31" s="1"/>
  <c r="D49" i="30"/>
  <c r="D65" i="30" s="1"/>
  <c r="D73" i="30" s="1"/>
  <c r="F49" i="30"/>
  <c r="F65" i="30" s="1"/>
  <c r="D43" i="28"/>
  <c r="F43" i="28"/>
  <c r="D137" i="28"/>
  <c r="D140" i="28"/>
  <c r="D135" i="28"/>
  <c r="D139" i="28"/>
  <c r="D138" i="28"/>
  <c r="D113" i="28"/>
  <c r="B114" i="28"/>
  <c r="D114" i="28" s="1"/>
  <c r="B104" i="28"/>
  <c r="D104" i="28" s="1"/>
  <c r="D103" i="28"/>
  <c r="B54" i="28"/>
  <c r="F54" i="28" s="1"/>
  <c r="F53" i="28"/>
  <c r="D90" i="28"/>
  <c r="D92" i="28"/>
  <c r="D89" i="28"/>
  <c r="D100" i="28" s="1"/>
  <c r="D94" i="28"/>
  <c r="D91" i="28"/>
  <c r="D95" i="28"/>
  <c r="D93" i="28"/>
  <c r="B47" i="28"/>
  <c r="F45" i="28"/>
  <c r="F55" i="28"/>
  <c r="D55" i="28"/>
  <c r="F42" i="28"/>
  <c r="D42" i="28"/>
  <c r="C179" i="26"/>
  <c r="D73" i="32" l="1"/>
  <c r="D76" i="32"/>
  <c r="D73" i="31"/>
  <c r="D76" i="31"/>
  <c r="D76" i="30"/>
  <c r="B60" i="28"/>
  <c r="D115" i="28"/>
  <c r="C181" i="26"/>
  <c r="B61" i="28"/>
  <c r="D61" i="28" s="1"/>
  <c r="B105" i="28"/>
  <c r="D105" i="28" s="1"/>
  <c r="D107" i="28" s="1"/>
  <c r="D60" i="28"/>
  <c r="B122" i="28"/>
  <c r="B125" i="28" s="1"/>
  <c r="B48" i="28"/>
  <c r="D47" i="28"/>
  <c r="F47" i="28"/>
  <c r="D141" i="28"/>
  <c r="F56" i="28" s="1"/>
  <c r="B102" i="26" l="1"/>
  <c r="D102" i="26" s="1"/>
  <c r="B45" i="26"/>
  <c r="F45" i="26" s="1"/>
  <c r="B122" i="26"/>
  <c r="B134" i="26"/>
  <c r="D139" i="26" s="1"/>
  <c r="B41" i="26"/>
  <c r="F41" i="26" s="1"/>
  <c r="B129" i="26"/>
  <c r="B123" i="26"/>
  <c r="B112" i="26"/>
  <c r="B113" i="26" s="1"/>
  <c r="D113" i="26" s="1"/>
  <c r="B42" i="26"/>
  <c r="F42" i="26" s="1"/>
  <c r="B97" i="26"/>
  <c r="D97" i="26" s="1"/>
  <c r="B128" i="26"/>
  <c r="C87" i="26"/>
  <c r="D91" i="26" s="1"/>
  <c r="B53" i="26"/>
  <c r="B54" i="26" s="1"/>
  <c r="F54" i="26" s="1"/>
  <c r="D94" i="26"/>
  <c r="B47" i="26"/>
  <c r="B48" i="26" s="1"/>
  <c r="B103" i="26"/>
  <c r="D103" i="26" s="1"/>
  <c r="D112" i="26"/>
  <c r="D93" i="26"/>
  <c r="D138" i="26"/>
  <c r="H24" i="26"/>
  <c r="H37" i="26"/>
  <c r="B43" i="26"/>
  <c r="B49" i="28"/>
  <c r="D48" i="28"/>
  <c r="F48" i="28"/>
  <c r="D90" i="26"/>
  <c r="D134" i="26" l="1"/>
  <c r="D42" i="26"/>
  <c r="D137" i="26"/>
  <c r="D140" i="26" s="1"/>
  <c r="F56" i="26" s="1"/>
  <c r="D136" i="26"/>
  <c r="B130" i="26"/>
  <c r="D88" i="26"/>
  <c r="D99" i="26" s="1"/>
  <c r="D89" i="26"/>
  <c r="D114" i="26"/>
  <c r="D55" i="26"/>
  <c r="F55" i="26"/>
  <c r="F47" i="26"/>
  <c r="F53" i="26"/>
  <c r="D92" i="26"/>
  <c r="D47" i="26"/>
  <c r="F43" i="26"/>
  <c r="D43" i="26"/>
  <c r="D49" i="28"/>
  <c r="D65" i="28" s="1"/>
  <c r="F49" i="28"/>
  <c r="F65" i="28" s="1"/>
  <c r="D48" i="26"/>
  <c r="F48" i="26"/>
  <c r="B49" i="26"/>
  <c r="B60" i="26" l="1"/>
  <c r="D74" i="28"/>
  <c r="D77" i="28"/>
  <c r="I61" i="28" s="1"/>
  <c r="I65" i="28" s="1"/>
  <c r="B78" i="28" s="1"/>
  <c r="D78" i="28" s="1"/>
  <c r="D49" i="26"/>
  <c r="F49" i="26"/>
  <c r="F65" i="26" s="1"/>
  <c r="B61" i="26" l="1"/>
  <c r="D61" i="26" s="1"/>
  <c r="B104" i="26"/>
  <c r="D104" i="26" s="1"/>
  <c r="D106" i="26" s="1"/>
  <c r="D60" i="26"/>
  <c r="B121" i="26"/>
  <c r="B124" i="26" s="1"/>
  <c r="I123" i="28"/>
  <c r="I124" i="28" s="1"/>
  <c r="D81" i="28"/>
  <c r="D65" i="26" l="1"/>
  <c r="B79" i="26" s="1"/>
  <c r="D121" i="26" s="1"/>
  <c r="D75" i="26" l="1"/>
  <c r="B76" i="26" s="1"/>
  <c r="I122" i="26"/>
  <c r="I123" i="26" s="1"/>
  <c r="I61" i="26"/>
  <c r="I65" i="26" l="1"/>
</calcChain>
</file>

<file path=xl/sharedStrings.xml><?xml version="1.0" encoding="utf-8"?>
<sst xmlns="http://schemas.openxmlformats.org/spreadsheetml/2006/main" count="982" uniqueCount="184">
  <si>
    <t>Maladie</t>
  </si>
  <si>
    <t>jeudi</t>
  </si>
  <si>
    <t>vendredi</t>
  </si>
  <si>
    <t>lundi</t>
  </si>
  <si>
    <t>mardi</t>
  </si>
  <si>
    <t>mercredi</t>
  </si>
  <si>
    <t>Emploi :</t>
  </si>
  <si>
    <t>Contrat :</t>
  </si>
  <si>
    <t>Convention collective :</t>
  </si>
  <si>
    <t>Salaire de base</t>
  </si>
  <si>
    <t>Salarié</t>
  </si>
  <si>
    <t>Employeur</t>
  </si>
  <si>
    <t>APEC</t>
  </si>
  <si>
    <t>Acompte</t>
  </si>
  <si>
    <t>Montant net imposable</t>
  </si>
  <si>
    <t>Salaire brut</t>
  </si>
  <si>
    <t>BULLETIN DE SALAIRE</t>
  </si>
  <si>
    <t>S1</t>
  </si>
  <si>
    <t>Nom :</t>
  </si>
  <si>
    <t>Adresse  :</t>
  </si>
  <si>
    <t>Prénom :</t>
  </si>
  <si>
    <t>Complément :</t>
  </si>
  <si>
    <t>N° de S.S. :</t>
  </si>
  <si>
    <t>Adresse :</t>
  </si>
  <si>
    <t>Code postal :</t>
  </si>
  <si>
    <t>Ville :</t>
  </si>
  <si>
    <t>CP/ Ville</t>
  </si>
  <si>
    <t>N° SIRET :</t>
  </si>
  <si>
    <t>Code NAF(APE) :</t>
  </si>
  <si>
    <t>Site d'emploi :</t>
  </si>
  <si>
    <t>Position :</t>
  </si>
  <si>
    <t>Effectif :</t>
  </si>
  <si>
    <t>Embauche :</t>
  </si>
  <si>
    <t>Horaire mensualisé :</t>
  </si>
  <si>
    <t>Autre :</t>
  </si>
  <si>
    <t>Période du :</t>
  </si>
  <si>
    <t>Au :</t>
  </si>
  <si>
    <t>Eléments de revenu brut</t>
  </si>
  <si>
    <t>Nombre/Base</t>
  </si>
  <si>
    <t>Taux/Val unitaire</t>
  </si>
  <si>
    <t>Montants</t>
  </si>
  <si>
    <t>Prime de rendement</t>
  </si>
  <si>
    <t>Absences</t>
  </si>
  <si>
    <t>Indemnités dimanches</t>
  </si>
  <si>
    <t>Heures supplémentaires à 125%</t>
  </si>
  <si>
    <t>Heures supplémentaires à 150%</t>
  </si>
  <si>
    <t>Indemnité de précarité</t>
  </si>
  <si>
    <t>Retenues pour congés payés</t>
  </si>
  <si>
    <t>Indemnité de congés payés</t>
  </si>
  <si>
    <t>Retenue absence arrêt de travail</t>
  </si>
  <si>
    <t xml:space="preserve">IJSS </t>
  </si>
  <si>
    <t>Maintien de salaire</t>
  </si>
  <si>
    <t>13ème mois</t>
  </si>
  <si>
    <t>Prime d'ancienneté</t>
  </si>
  <si>
    <t>Cotisations et contributions sociales</t>
  </si>
  <si>
    <t>Assiettes</t>
  </si>
  <si>
    <t>Taux salarial</t>
  </si>
  <si>
    <t>Part salarié</t>
  </si>
  <si>
    <t>Part employeur</t>
  </si>
  <si>
    <t>SANTE</t>
  </si>
  <si>
    <t>Sécurité sociale - Maladie - Maternité - Invalidité décès</t>
  </si>
  <si>
    <t>Complémentaires santé</t>
  </si>
  <si>
    <t>Complémentaire incapacité invalidité décès Tranche 1</t>
  </si>
  <si>
    <t>Complémentaire incapacité invalidité décès Tranche 2</t>
  </si>
  <si>
    <t xml:space="preserve">Accident du travail - Maladies professionnelles </t>
  </si>
  <si>
    <t>Retraite</t>
  </si>
  <si>
    <t xml:space="preserve">Sécurité sociale plafonnée </t>
  </si>
  <si>
    <t>Sécurité sociale déplafonnée</t>
  </si>
  <si>
    <t>Complémentaire Tranche 1</t>
  </si>
  <si>
    <r>
      <t>Complémentaire Tranche 2</t>
    </r>
    <r>
      <rPr>
        <sz val="11"/>
        <color rgb="FFFF0000"/>
        <rFont val="Times New Roman"/>
        <family val="1"/>
      </rPr>
      <t xml:space="preserve"> </t>
    </r>
  </si>
  <si>
    <t>Contribution équilibre technique CET</t>
  </si>
  <si>
    <t>Retraite Supplémentaire</t>
  </si>
  <si>
    <t xml:space="preserve"> Famille </t>
  </si>
  <si>
    <t xml:space="preserve">Assurance chômage </t>
  </si>
  <si>
    <t>APEC (Cadres)</t>
  </si>
  <si>
    <t xml:space="preserve">Autres contributions dues par l'employeur </t>
  </si>
  <si>
    <t>COTISATIONS STATUTAIRES OU PREVUES PAR LA CONVENTION COLLECTIVE</t>
  </si>
  <si>
    <t>CSG déductible de l'impôt sur le revenu</t>
  </si>
  <si>
    <t>CSG CRDS non-déductible de l'impôt sur le revenu</t>
  </si>
  <si>
    <t>CSG/CRDS non-déductibles de l'impôt sur le revenu sur heures supplémentaires</t>
  </si>
  <si>
    <t>Exonération, écrètement et allègements</t>
  </si>
  <si>
    <t>Total de cotisations et contributions</t>
  </si>
  <si>
    <t>Avantage en nature</t>
  </si>
  <si>
    <t>Saisie sur salaires</t>
  </si>
  <si>
    <t>Titres repas</t>
  </si>
  <si>
    <t>Déplacement</t>
  </si>
  <si>
    <t>NET A PAYER AVANT IMPOT SUR LE REVENU</t>
  </si>
  <si>
    <t>dont évolution de la rémunération liée à la suppression des cotisations chômage et maladie</t>
  </si>
  <si>
    <t>IMPOT SUR LE REVENU</t>
  </si>
  <si>
    <t>Bases</t>
  </si>
  <si>
    <t>Taux</t>
  </si>
  <si>
    <t>Montant</t>
  </si>
  <si>
    <t>Cumul annuel</t>
  </si>
  <si>
    <t>Impot sur le revenu prélevé à la source</t>
  </si>
  <si>
    <t>Montant des heures compl/suppl exonérées</t>
  </si>
  <si>
    <t>NET A PAYER AU SALARIE</t>
  </si>
  <si>
    <t>Allègement de cotisations employeurs</t>
  </si>
  <si>
    <t>Total versé par l'employeur</t>
  </si>
  <si>
    <t>Dans votre intérêt et pour vous aider à faire valoir vos droits, conserver ce bulletin de paie sans limitation de durée</t>
  </si>
  <si>
    <t>versement transport :</t>
  </si>
  <si>
    <t>FNAL : 0,50%</t>
  </si>
  <si>
    <t>Dialogue social : 0,016%</t>
  </si>
  <si>
    <t>Solidarité autonomie : 0,30%</t>
  </si>
  <si>
    <t>Apprentissage : 0,68%</t>
  </si>
  <si>
    <t>Formation</t>
  </si>
  <si>
    <t>Construction : 0,45%</t>
  </si>
  <si>
    <t>Forfait social</t>
  </si>
  <si>
    <t>FNAL 0,10%</t>
  </si>
  <si>
    <t>AU TOTAL</t>
  </si>
  <si>
    <t xml:space="preserve"> Rubrique dont évolution de la rémunération liée à la suppression des cotisations chômage et maladie</t>
  </si>
  <si>
    <t>Assurance chômage</t>
  </si>
  <si>
    <t>CSG CRDS</t>
  </si>
  <si>
    <t>Rubrique d'évolution</t>
  </si>
  <si>
    <t xml:space="preserve"> Rubrique Allègement de cotisations employeur</t>
  </si>
  <si>
    <t>Réduction générale de cotisation</t>
  </si>
  <si>
    <t>Abattement sur heures supplémentaires</t>
  </si>
  <si>
    <t>Allègement dû à la réduction d'allocation familiale</t>
  </si>
  <si>
    <t>Allègement dû à la réduction de cotisation maladie</t>
  </si>
  <si>
    <t>Allègement total</t>
  </si>
  <si>
    <t xml:space="preserve">Perte due à l'augmentation de la CSG </t>
  </si>
  <si>
    <t xml:space="preserve">Gain du à la réduction de cotisation maladie </t>
  </si>
  <si>
    <t>Gain du à l'exonération de cotisation chômage</t>
  </si>
  <si>
    <t xml:space="preserve">Réduction générale de cotisations patronales </t>
  </si>
  <si>
    <t>Allègement de cotisation maladie employeur</t>
  </si>
  <si>
    <t xml:space="preserve">Allègement de cotisation allocations familiales  </t>
  </si>
  <si>
    <t>FNAL</t>
  </si>
  <si>
    <t>Versement transport</t>
  </si>
  <si>
    <t>Contribution solidarité</t>
  </si>
  <si>
    <t>Taxe apprentissage</t>
  </si>
  <si>
    <t>Dialogue social</t>
  </si>
  <si>
    <t>Total</t>
  </si>
  <si>
    <t>Autres contributions dues par l'employeur</t>
  </si>
  <si>
    <t>Heures supplémentaires à 100%</t>
  </si>
  <si>
    <t>Bonification samedis</t>
  </si>
  <si>
    <t>IJSS</t>
  </si>
  <si>
    <t>DECEMBRE</t>
  </si>
  <si>
    <t>JANVIER</t>
  </si>
  <si>
    <t>FÉVRIER</t>
  </si>
  <si>
    <t>LIMITE</t>
  </si>
  <si>
    <t>ASSIETTE</t>
  </si>
  <si>
    <t>PAR JOUR</t>
  </si>
  <si>
    <t>JOUR DE PRISE EN CHARGE</t>
  </si>
  <si>
    <t>IJSS BRUTES</t>
  </si>
  <si>
    <t>CSG</t>
  </si>
  <si>
    <t>TAUX DE RETENUES SALARIALES</t>
  </si>
  <si>
    <t>RETRAITE</t>
  </si>
  <si>
    <t>MUTUELLE</t>
  </si>
  <si>
    <t>TOTAL</t>
  </si>
  <si>
    <t>% NET</t>
  </si>
  <si>
    <t>NET HABITUEL</t>
  </si>
  <si>
    <t>HEURES OUVRES</t>
  </si>
  <si>
    <t>RETENUE EN NET/HEURES</t>
  </si>
  <si>
    <t>RETENUES EN BRUT / HEURES</t>
  </si>
  <si>
    <t xml:space="preserve">NET HABITUEL </t>
  </si>
  <si>
    <t>RETENUES ABSENCES</t>
  </si>
  <si>
    <t>MAINTIEN EN NET</t>
  </si>
  <si>
    <t>IJSS SUR 6 J</t>
  </si>
  <si>
    <t>NET A MAINTENIR</t>
  </si>
  <si>
    <t xml:space="preserve">% </t>
  </si>
  <si>
    <t>BRUT</t>
  </si>
  <si>
    <t>2534,81/0,7815975</t>
  </si>
  <si>
    <t>63 * 19,67</t>
  </si>
  <si>
    <t>42 * 19,67 *100%</t>
  </si>
  <si>
    <t>CSG SUR MUTUELLE ET SUR PREVOYANCE</t>
  </si>
  <si>
    <t>9,7%*(1,2%+1,5%)</t>
  </si>
  <si>
    <t>NET IMPOSABLE</t>
  </si>
  <si>
    <t>CSG DEDUCTIBLE</t>
  </si>
  <si>
    <t>Net imposable</t>
  </si>
  <si>
    <t>ASSIETTE PELT</t>
  </si>
  <si>
    <t>CSG PERDUE</t>
  </si>
  <si>
    <t>NET BULLETIN</t>
  </si>
  <si>
    <t>OK MAIS A REFAIRE + CLAIR</t>
  </si>
  <si>
    <t xml:space="preserve">PERTE </t>
  </si>
  <si>
    <t>Salaire net habituel avant prélèvement à la source : Etablir un bulletin de paie ou faire les calculs</t>
  </si>
  <si>
    <t>Perte de la CSG CRDS sur IJSS</t>
  </si>
  <si>
    <t xml:space="preserve">Perte 3 jours nets </t>
  </si>
  <si>
    <t>2881,33/147*21</t>
  </si>
  <si>
    <t>49 * 19,67</t>
  </si>
  <si>
    <t>28 * 19,67 *100%</t>
  </si>
  <si>
    <t>VERIFICATION</t>
  </si>
  <si>
    <t>NET AVANT PRELEVEMENT A LA SOURCE</t>
  </si>
  <si>
    <t>OK</t>
  </si>
  <si>
    <t>NET A PAYER AVANT PRELEVEMENT A LA SOURCE</t>
  </si>
  <si>
    <t>IJSS brutes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</si>
</sst>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70" formatCode="0.0000%"/>
    <numFmt numFmtId="171" formatCode="#,##0.00\ &quot;€&quot;"/>
    <numFmt numFmtId="172" formatCode="_-* #,##0.00\ [$€-40C]_-;\-* #,##0.00\ [$€-40C]_-;_-* &quot;-&quot;??\ [$€-40C]_-;_-@_-"/>
    <numFmt numFmtId="173" formatCode="0.000%"/>
    <numFmt numFmtId="174" formatCode="0.00000%"/>
    <numFmt numFmtId="175" formatCode="_-* #,##0.00\ _€_-;\-* #,##0.00\ _€_-;_-* &quot;-&quot;??\ _€_-;_-@_-"/>
    <numFmt numFmtId="180" formatCode="0.000000000%"/>
    <numFmt numFmtId="182" formatCode="_-* #,##0.0000\ &quot;€&quot;_-;\-* #,##0.0000\ &quot;€&quot;_-;_-* &quot;-&quot;??\ &quot;€&quot;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b/>
      <sz val="11"/>
      <name val="Arial"/>
      <family val="2"/>
    </font>
    <font>
      <sz val="11"/>
      <color theme="1"/>
      <name val="Times New Roman"/>
      <family val="1"/>
    </font>
    <font>
      <b/>
      <sz val="10"/>
      <name val="Arial"/>
      <family val="2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14"/>
      <color rgb="FFFF0000"/>
      <name val="Times New Roman"/>
      <family val="1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11"/>
      <color theme="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</cellStyleXfs>
  <cellXfs count="280">
    <xf numFmtId="0" fontId="0" fillId="0" borderId="0" xfId="0"/>
    <xf numFmtId="44" fontId="0" fillId="0" borderId="5" xfId="1" applyFont="1" applyBorder="1" applyAlignment="1">
      <alignment vertical="center"/>
    </xf>
    <xf numFmtId="0" fontId="6" fillId="4" borderId="28" xfId="4" applyFont="1" applyFill="1" applyBorder="1" applyAlignment="1">
      <alignment horizontal="centerContinuous" vertical="center"/>
    </xf>
    <xf numFmtId="0" fontId="7" fillId="4" borderId="27" xfId="0" applyFont="1" applyFill="1" applyBorder="1" applyAlignment="1">
      <alignment horizontal="centerContinuous" vertical="center"/>
    </xf>
    <xf numFmtId="0" fontId="7" fillId="4" borderId="29" xfId="0" applyFont="1" applyFill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4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14" fontId="3" fillId="0" borderId="4" xfId="4" applyNumberForma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5" borderId="10" xfId="4" applyFont="1" applyFill="1" applyBorder="1" applyAlignment="1">
      <alignment horizontal="center" vertical="center"/>
    </xf>
    <xf numFmtId="0" fontId="8" fillId="5" borderId="31" xfId="4" applyFont="1" applyFill="1" applyBorder="1" applyAlignment="1">
      <alignment horizontal="center" vertical="center"/>
    </xf>
    <xf numFmtId="0" fontId="6" fillId="4" borderId="10" xfId="4" applyFont="1" applyFill="1" applyBorder="1" applyAlignment="1">
      <alignment horizontal="centerContinuous" vertical="center"/>
    </xf>
    <xf numFmtId="0" fontId="7" fillId="4" borderId="31" xfId="0" applyFont="1" applyFill="1" applyBorder="1" applyAlignment="1">
      <alignment horizontal="centerContinuous" vertical="center"/>
    </xf>
    <xf numFmtId="0" fontId="7" fillId="4" borderId="32" xfId="0" applyFont="1" applyFill="1" applyBorder="1" applyAlignment="1">
      <alignment horizontal="centerContinuous" vertical="center"/>
    </xf>
    <xf numFmtId="0" fontId="7" fillId="4" borderId="11" xfId="0" applyFont="1" applyFill="1" applyBorder="1" applyAlignment="1">
      <alignment horizontal="centerContinuous" vertical="center"/>
    </xf>
    <xf numFmtId="0" fontId="8" fillId="0" borderId="16" xfId="4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7" borderId="15" xfId="0" applyFont="1" applyFill="1" applyBorder="1" applyAlignment="1">
      <alignment vertical="center"/>
    </xf>
    <xf numFmtId="2" fontId="7" fillId="0" borderId="2" xfId="0" applyNumberFormat="1" applyFont="1" applyBorder="1" applyAlignment="1">
      <alignment vertical="center"/>
    </xf>
    <xf numFmtId="171" fontId="7" fillId="0" borderId="2" xfId="0" applyNumberFormat="1" applyFont="1" applyBorder="1" applyAlignment="1">
      <alignment horizontal="right" vertical="center"/>
    </xf>
    <xf numFmtId="44" fontId="10" fillId="0" borderId="24" xfId="1" applyFont="1" applyFill="1" applyBorder="1" applyAlignment="1">
      <alignment vertical="center"/>
    </xf>
    <xf numFmtId="44" fontId="10" fillId="0" borderId="26" xfId="1" applyFont="1" applyFill="1" applyBorder="1" applyAlignment="1">
      <alignment vertical="center"/>
    </xf>
    <xf numFmtId="44" fontId="7" fillId="7" borderId="3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23" xfId="0" applyFont="1" applyBorder="1" applyAlignment="1">
      <alignment vertical="center"/>
    </xf>
    <xf numFmtId="2" fontId="7" fillId="0" borderId="24" xfId="0" applyNumberFormat="1" applyFont="1" applyBorder="1" applyAlignment="1">
      <alignment vertical="center"/>
    </xf>
    <xf numFmtId="171" fontId="7" fillId="0" borderId="24" xfId="0" applyNumberFormat="1" applyFont="1" applyBorder="1" applyAlignment="1">
      <alignment horizontal="right" vertical="center"/>
    </xf>
    <xf numFmtId="44" fontId="7" fillId="0" borderId="24" xfId="1" applyFont="1" applyBorder="1" applyAlignment="1">
      <alignment vertical="center"/>
    </xf>
    <xf numFmtId="44" fontId="7" fillId="0" borderId="26" xfId="1" applyFont="1" applyBorder="1" applyAlignment="1">
      <alignment vertical="center"/>
    </xf>
    <xf numFmtId="44" fontId="7" fillId="7" borderId="25" xfId="1" applyFont="1" applyFill="1" applyBorder="1" applyAlignment="1">
      <alignment vertical="center"/>
    </xf>
    <xf numFmtId="2" fontId="11" fillId="0" borderId="24" xfId="0" applyNumberFormat="1" applyFont="1" applyBorder="1" applyAlignment="1">
      <alignment vertical="center"/>
    </xf>
    <xf numFmtId="171" fontId="11" fillId="0" borderId="24" xfId="0" applyNumberFormat="1" applyFont="1" applyBorder="1" applyAlignment="1">
      <alignment horizontal="right" vertical="center"/>
    </xf>
    <xf numFmtId="44" fontId="11" fillId="0" borderId="24" xfId="1" applyFont="1" applyFill="1" applyBorder="1" applyAlignment="1">
      <alignment vertical="center"/>
    </xf>
    <xf numFmtId="44" fontId="11" fillId="0" borderId="26" xfId="1" applyFont="1" applyFill="1" applyBorder="1" applyAlignment="1">
      <alignment vertical="center"/>
    </xf>
    <xf numFmtId="44" fontId="7" fillId="0" borderId="24" xfId="1" applyFont="1" applyFill="1" applyBorder="1" applyAlignment="1">
      <alignment vertical="center"/>
    </xf>
    <xf numFmtId="44" fontId="7" fillId="0" borderId="26" xfId="1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44" fontId="7" fillId="0" borderId="5" xfId="1" applyFont="1" applyFill="1" applyBorder="1" applyAlignment="1">
      <alignment vertical="center"/>
    </xf>
    <xf numFmtId="44" fontId="7" fillId="0" borderId="20" xfId="1" applyFont="1" applyFill="1" applyBorder="1" applyAlignment="1">
      <alignment vertical="center"/>
    </xf>
    <xf numFmtId="44" fontId="7" fillId="7" borderId="6" xfId="0" applyNumberFormat="1" applyFont="1" applyFill="1" applyBorder="1" applyAlignment="1">
      <alignment vertical="center"/>
    </xf>
    <xf numFmtId="0" fontId="7" fillId="7" borderId="6" xfId="0" applyFont="1" applyFill="1" applyBorder="1" applyAlignment="1">
      <alignment vertical="center"/>
    </xf>
    <xf numFmtId="44" fontId="11" fillId="0" borderId="5" xfId="0" applyNumberFormat="1" applyFont="1" applyBorder="1" applyAlignment="1">
      <alignment vertical="center"/>
    </xf>
    <xf numFmtId="9" fontId="11" fillId="0" borderId="5" xfId="0" applyNumberFormat="1" applyFont="1" applyBorder="1" applyAlignment="1">
      <alignment vertical="center"/>
    </xf>
    <xf numFmtId="44" fontId="11" fillId="0" borderId="20" xfId="1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72" fontId="7" fillId="7" borderId="6" xfId="0" applyNumberFormat="1" applyFont="1" applyFill="1" applyBorder="1" applyAlignment="1">
      <alignment vertical="center"/>
    </xf>
    <xf numFmtId="44" fontId="11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vertical="center"/>
    </xf>
    <xf numFmtId="44" fontId="7" fillId="0" borderId="33" xfId="1" applyFont="1" applyFill="1" applyBorder="1" applyAlignment="1">
      <alignment vertical="center"/>
    </xf>
    <xf numFmtId="44" fontId="7" fillId="0" borderId="17" xfId="1" applyFont="1" applyFill="1" applyBorder="1" applyAlignment="1">
      <alignment vertical="center"/>
    </xf>
    <xf numFmtId="172" fontId="7" fillId="7" borderId="18" xfId="0" applyNumberFormat="1" applyFont="1" applyFill="1" applyBorder="1" applyAlignment="1">
      <alignment vertical="center"/>
    </xf>
    <xf numFmtId="44" fontId="12" fillId="0" borderId="17" xfId="1" applyFont="1" applyFill="1" applyBorder="1" applyAlignment="1">
      <alignment vertical="center"/>
    </xf>
    <xf numFmtId="44" fontId="7" fillId="7" borderId="30" xfId="1" applyFont="1" applyFill="1" applyBorder="1" applyAlignment="1">
      <alignment vertical="center"/>
    </xf>
    <xf numFmtId="44" fontId="12" fillId="0" borderId="35" xfId="1" applyFont="1" applyBorder="1" applyAlignment="1">
      <alignment vertical="center"/>
    </xf>
    <xf numFmtId="44" fontId="10" fillId="0" borderId="36" xfId="1" applyFont="1" applyFill="1" applyBorder="1" applyAlignment="1">
      <alignment horizontal="right" vertical="center" wrapText="1"/>
    </xf>
    <xf numFmtId="9" fontId="12" fillId="0" borderId="36" xfId="0" applyNumberFormat="1" applyFont="1" applyBorder="1" applyAlignment="1">
      <alignment vertical="center"/>
    </xf>
    <xf numFmtId="44" fontId="12" fillId="0" borderId="0" xfId="1" applyFont="1" applyFill="1" applyBorder="1" applyAlignment="1">
      <alignment vertical="center"/>
    </xf>
    <xf numFmtId="44" fontId="7" fillId="7" borderId="15" xfId="1" applyFont="1" applyFill="1" applyBorder="1" applyAlignment="1">
      <alignment vertical="center"/>
    </xf>
    <xf numFmtId="9" fontId="12" fillId="0" borderId="36" xfId="0" quotePrefix="1" applyNumberFormat="1" applyFont="1" applyBorder="1" applyAlignment="1">
      <alignment horizontal="center" vertical="center"/>
    </xf>
    <xf numFmtId="44" fontId="12" fillId="0" borderId="33" xfId="1" applyFont="1" applyFill="1" applyBorder="1" applyAlignment="1">
      <alignment vertical="center"/>
    </xf>
    <xf numFmtId="44" fontId="12" fillId="0" borderId="19" xfId="1" applyFont="1" applyBorder="1" applyAlignment="1">
      <alignment vertical="center"/>
    </xf>
    <xf numFmtId="10" fontId="12" fillId="0" borderId="36" xfId="3" applyNumberFormat="1" applyFont="1" applyFill="1" applyBorder="1" applyAlignment="1">
      <alignment vertical="center"/>
    </xf>
    <xf numFmtId="44" fontId="12" fillId="0" borderId="37" xfId="1" applyFont="1" applyFill="1" applyBorder="1" applyAlignment="1">
      <alignment vertical="center"/>
    </xf>
    <xf numFmtId="0" fontId="13" fillId="8" borderId="38" xfId="0" applyFont="1" applyFill="1" applyBorder="1" applyAlignment="1">
      <alignment horizontal="left" vertical="center" wrapText="1" readingOrder="1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44" fontId="7" fillId="0" borderId="41" xfId="1" applyFont="1" applyFill="1" applyBorder="1" applyAlignment="1">
      <alignment vertical="center"/>
    </xf>
    <xf numFmtId="44" fontId="7" fillId="0" borderId="0" xfId="1" applyFont="1" applyFill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0" fillId="8" borderId="43" xfId="0" applyFont="1" applyFill="1" applyBorder="1" applyAlignment="1">
      <alignment horizontal="right" vertical="center" wrapText="1"/>
    </xf>
    <xf numFmtId="0" fontId="14" fillId="8" borderId="43" xfId="0" applyFont="1" applyFill="1" applyBorder="1" applyAlignment="1">
      <alignment horizontal="left" vertical="center" wrapText="1" readingOrder="1"/>
    </xf>
    <xf numFmtId="0" fontId="14" fillId="8" borderId="44" xfId="0" applyFont="1" applyFill="1" applyBorder="1" applyAlignment="1">
      <alignment horizontal="left" vertical="center" wrapText="1" readingOrder="1"/>
    </xf>
    <xf numFmtId="0" fontId="14" fillId="8" borderId="45" xfId="0" applyFont="1" applyFill="1" applyBorder="1" applyAlignment="1">
      <alignment horizontal="left" vertical="center" wrapText="1" readingOrder="1"/>
    </xf>
    <xf numFmtId="44" fontId="14" fillId="8" borderId="46" xfId="0" applyNumberFormat="1" applyFont="1" applyFill="1" applyBorder="1" applyAlignment="1">
      <alignment horizontal="left" vertical="center" wrapText="1" readingOrder="1"/>
    </xf>
    <xf numFmtId="0" fontId="13" fillId="4" borderId="47" xfId="0" applyFont="1" applyFill="1" applyBorder="1" applyAlignment="1">
      <alignment horizontal="left" vertical="center" wrapText="1" readingOrder="1"/>
    </xf>
    <xf numFmtId="0" fontId="13" fillId="4" borderId="44" xfId="0" applyFont="1" applyFill="1" applyBorder="1" applyAlignment="1">
      <alignment horizontal="center" vertical="center" wrapText="1" readingOrder="1"/>
    </xf>
    <xf numFmtId="0" fontId="13" fillId="4" borderId="45" xfId="0" applyFont="1" applyFill="1" applyBorder="1" applyAlignment="1">
      <alignment horizontal="center" vertical="center" wrapText="1" readingOrder="1"/>
    </xf>
    <xf numFmtId="0" fontId="13" fillId="4" borderId="48" xfId="0" applyFont="1" applyFill="1" applyBorder="1" applyAlignment="1">
      <alignment horizontal="center" vertical="center" wrapText="1" readingOrder="1"/>
    </xf>
    <xf numFmtId="0" fontId="13" fillId="3" borderId="35" xfId="0" applyFont="1" applyFill="1" applyBorder="1" applyAlignment="1">
      <alignment horizontal="left" vertical="center" wrapText="1" readingOrder="1"/>
    </xf>
    <xf numFmtId="0" fontId="10" fillId="3" borderId="36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 wrapText="1" readingOrder="1"/>
    </xf>
    <xf numFmtId="0" fontId="13" fillId="3" borderId="49" xfId="0" applyFont="1" applyFill="1" applyBorder="1" applyAlignment="1">
      <alignment horizontal="center" vertical="center" wrapText="1" readingOrder="1"/>
    </xf>
    <xf numFmtId="0" fontId="13" fillId="3" borderId="48" xfId="0" applyFont="1" applyFill="1" applyBorder="1" applyAlignment="1">
      <alignment horizontal="center" vertical="center" wrapText="1" readingOrder="1"/>
    </xf>
    <xf numFmtId="0" fontId="14" fillId="3" borderId="35" xfId="0" applyFont="1" applyFill="1" applyBorder="1" applyAlignment="1">
      <alignment horizontal="left" vertical="center" wrapText="1" readingOrder="1"/>
    </xf>
    <xf numFmtId="44" fontId="10" fillId="3" borderId="36" xfId="1" applyFont="1" applyFill="1" applyBorder="1" applyAlignment="1">
      <alignment horizontal="right" vertical="center" wrapText="1"/>
    </xf>
    <xf numFmtId="0" fontId="10" fillId="3" borderId="36" xfId="0" applyFont="1" applyFill="1" applyBorder="1" applyAlignment="1">
      <alignment vertical="center" wrapText="1"/>
    </xf>
    <xf numFmtId="44" fontId="10" fillId="3" borderId="36" xfId="1" applyFont="1" applyFill="1" applyBorder="1" applyAlignment="1">
      <alignment vertical="center" wrapText="1"/>
    </xf>
    <xf numFmtId="9" fontId="10" fillId="3" borderId="49" xfId="1" applyNumberFormat="1" applyFont="1" applyFill="1" applyBorder="1" applyAlignment="1">
      <alignment vertical="center" wrapText="1"/>
    </xf>
    <xf numFmtId="44" fontId="10" fillId="3" borderId="48" xfId="1" applyFont="1" applyFill="1" applyBorder="1" applyAlignment="1">
      <alignment horizontal="right" vertical="center" wrapText="1"/>
    </xf>
    <xf numFmtId="10" fontId="7" fillId="0" borderId="0" xfId="2" applyNumberFormat="1" applyFont="1" applyAlignment="1">
      <alignment vertical="center"/>
    </xf>
    <xf numFmtId="0" fontId="7" fillId="3" borderId="0" xfId="0" applyFont="1" applyFill="1" applyAlignment="1">
      <alignment vertical="center"/>
    </xf>
    <xf numFmtId="10" fontId="14" fillId="3" borderId="36" xfId="0" applyNumberFormat="1" applyFont="1" applyFill="1" applyBorder="1" applyAlignment="1">
      <alignment horizontal="center" vertical="center" wrapText="1" readingOrder="1"/>
    </xf>
    <xf numFmtId="44" fontId="14" fillId="3" borderId="36" xfId="1" applyFont="1" applyFill="1" applyBorder="1" applyAlignment="1">
      <alignment horizontal="right" vertical="center" wrapText="1" readingOrder="1"/>
    </xf>
    <xf numFmtId="10" fontId="7" fillId="3" borderId="0" xfId="0" applyNumberFormat="1" applyFont="1" applyFill="1" applyAlignment="1">
      <alignment vertical="center"/>
    </xf>
    <xf numFmtId="10" fontId="14" fillId="3" borderId="49" xfId="1" applyNumberFormat="1" applyFont="1" applyFill="1" applyBorder="1" applyAlignment="1">
      <alignment horizontal="right" vertical="center" wrapText="1" readingOrder="1"/>
    </xf>
    <xf numFmtId="44" fontId="14" fillId="3" borderId="49" xfId="1" applyFont="1" applyFill="1" applyBorder="1" applyAlignment="1">
      <alignment horizontal="right" vertical="center" wrapText="1" readingOrder="1"/>
    </xf>
    <xf numFmtId="10" fontId="10" fillId="3" borderId="49" xfId="1" applyNumberFormat="1" applyFont="1" applyFill="1" applyBorder="1" applyAlignment="1">
      <alignment horizontal="right" vertical="center" wrapText="1"/>
    </xf>
    <xf numFmtId="0" fontId="14" fillId="3" borderId="36" xfId="0" applyFont="1" applyFill="1" applyBorder="1" applyAlignment="1">
      <alignment horizontal="center" vertical="center" wrapText="1" readingOrder="1"/>
    </xf>
    <xf numFmtId="173" fontId="14" fillId="3" borderId="36" xfId="0" applyNumberFormat="1" applyFont="1" applyFill="1" applyBorder="1" applyAlignment="1">
      <alignment horizontal="center" vertical="center" wrapText="1" readingOrder="1"/>
    </xf>
    <xf numFmtId="173" fontId="10" fillId="3" borderId="49" xfId="1" applyNumberFormat="1" applyFont="1" applyFill="1" applyBorder="1" applyAlignment="1">
      <alignment horizontal="right" vertical="center" wrapText="1"/>
    </xf>
    <xf numFmtId="44" fontId="10" fillId="3" borderId="49" xfId="1" applyFont="1" applyFill="1" applyBorder="1" applyAlignment="1">
      <alignment horizontal="right" vertical="center" wrapText="1"/>
    </xf>
    <xf numFmtId="8" fontId="10" fillId="3" borderId="48" xfId="1" applyNumberFormat="1" applyFont="1" applyFill="1" applyBorder="1" applyAlignment="1">
      <alignment horizontal="right" vertical="center" wrapText="1"/>
    </xf>
    <xf numFmtId="0" fontId="15" fillId="3" borderId="35" xfId="0" applyFont="1" applyFill="1" applyBorder="1" applyAlignment="1">
      <alignment horizontal="left" vertical="center" wrapText="1" readingOrder="1"/>
    </xf>
    <xf numFmtId="0" fontId="13" fillId="8" borderId="35" xfId="0" applyFont="1" applyFill="1" applyBorder="1" applyAlignment="1">
      <alignment horizontal="left" vertical="center" wrapText="1" readingOrder="1"/>
    </xf>
    <xf numFmtId="44" fontId="10" fillId="8" borderId="36" xfId="1" applyFont="1" applyFill="1" applyBorder="1" applyAlignment="1">
      <alignment horizontal="right" vertical="center" wrapText="1"/>
    </xf>
    <xf numFmtId="10" fontId="14" fillId="8" borderId="36" xfId="0" applyNumberFormat="1" applyFont="1" applyFill="1" applyBorder="1" applyAlignment="1">
      <alignment horizontal="center" vertical="center" wrapText="1" readingOrder="1"/>
    </xf>
    <xf numFmtId="44" fontId="10" fillId="8" borderId="48" xfId="1" applyFont="1" applyFill="1" applyBorder="1" applyAlignment="1">
      <alignment horizontal="right" vertical="center" wrapText="1"/>
    </xf>
    <xf numFmtId="0" fontId="15" fillId="8" borderId="35" xfId="0" applyFont="1" applyFill="1" applyBorder="1" applyAlignment="1">
      <alignment horizontal="left" vertical="center" wrapText="1" readingOrder="1"/>
    </xf>
    <xf numFmtId="44" fontId="14" fillId="8" borderId="36" xfId="1" applyFont="1" applyFill="1" applyBorder="1" applyAlignment="1">
      <alignment horizontal="right" vertical="center" wrapText="1" readingOrder="1"/>
    </xf>
    <xf numFmtId="44" fontId="14" fillId="8" borderId="49" xfId="1" applyFont="1" applyFill="1" applyBorder="1" applyAlignment="1">
      <alignment horizontal="right" vertical="center" wrapText="1" readingOrder="1"/>
    </xf>
    <xf numFmtId="0" fontId="9" fillId="0" borderId="50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8" fontId="7" fillId="0" borderId="48" xfId="0" applyNumberFormat="1" applyFont="1" applyBorder="1" applyAlignment="1">
      <alignment vertical="center"/>
    </xf>
    <xf numFmtId="0" fontId="13" fillId="8" borderId="36" xfId="0" applyFont="1" applyFill="1" applyBorder="1" applyAlignment="1">
      <alignment horizontal="center" vertical="center" wrapText="1" readingOrder="1"/>
    </xf>
    <xf numFmtId="44" fontId="13" fillId="8" borderId="36" xfId="1" applyFont="1" applyFill="1" applyBorder="1" applyAlignment="1">
      <alignment horizontal="right" vertical="center" wrapText="1" readingOrder="1"/>
    </xf>
    <xf numFmtId="44" fontId="13" fillId="8" borderId="51" xfId="1" applyFont="1" applyFill="1" applyBorder="1" applyAlignment="1">
      <alignment horizontal="right" vertical="center" wrapText="1" readingOrder="1"/>
    </xf>
    <xf numFmtId="44" fontId="13" fillId="8" borderId="52" xfId="1" applyFont="1" applyFill="1" applyBorder="1" applyAlignment="1">
      <alignment horizontal="right" vertical="center" wrapText="1" readingOrder="1"/>
    </xf>
    <xf numFmtId="0" fontId="14" fillId="8" borderId="35" xfId="0" applyFont="1" applyFill="1" applyBorder="1" applyAlignment="1">
      <alignment horizontal="left" vertical="center" wrapText="1" readingOrder="1"/>
    </xf>
    <xf numFmtId="43" fontId="14" fillId="8" borderId="36" xfId="3" applyFont="1" applyFill="1" applyBorder="1" applyAlignment="1">
      <alignment horizontal="right" vertical="center" wrapText="1" readingOrder="1"/>
    </xf>
    <xf numFmtId="44" fontId="10" fillId="8" borderId="53" xfId="1" applyFont="1" applyFill="1" applyBorder="1" applyAlignment="1">
      <alignment horizontal="right" vertical="center" wrapText="1"/>
    </xf>
    <xf numFmtId="0" fontId="16" fillId="0" borderId="35" xfId="0" applyFont="1" applyBorder="1" applyAlignment="1">
      <alignment horizontal="left" vertical="center" wrapText="1" readingOrder="1"/>
    </xf>
    <xf numFmtId="44" fontId="14" fillId="0" borderId="36" xfId="1" applyFont="1" applyFill="1" applyBorder="1" applyAlignment="1">
      <alignment horizontal="right" vertical="center" wrapText="1" readingOrder="1"/>
    </xf>
    <xf numFmtId="0" fontId="13" fillId="0" borderId="36" xfId="0" applyFont="1" applyBorder="1" applyAlignment="1">
      <alignment horizontal="center" vertical="center" wrapText="1" readingOrder="1"/>
    </xf>
    <xf numFmtId="44" fontId="13" fillId="0" borderId="36" xfId="1" applyFont="1" applyFill="1" applyBorder="1" applyAlignment="1">
      <alignment horizontal="right" vertical="center" wrapText="1" readingOrder="1"/>
    </xf>
    <xf numFmtId="44" fontId="13" fillId="0" borderId="0" xfId="1" applyFont="1" applyFill="1" applyBorder="1" applyAlignment="1">
      <alignment horizontal="right" vertical="center" wrapText="1" readingOrder="1"/>
    </xf>
    <xf numFmtId="44" fontId="17" fillId="0" borderId="54" xfId="1" applyFont="1" applyFill="1" applyBorder="1" applyAlignment="1">
      <alignment horizontal="right" vertical="center" wrapText="1"/>
    </xf>
    <xf numFmtId="0" fontId="13" fillId="0" borderId="35" xfId="0" applyFont="1" applyBorder="1" applyAlignment="1">
      <alignment horizontal="left" vertical="center" wrapText="1" readingOrder="1"/>
    </xf>
    <xf numFmtId="44" fontId="13" fillId="0" borderId="36" xfId="1" applyFont="1" applyFill="1" applyBorder="1" applyAlignment="1">
      <alignment horizontal="center" vertical="center" wrapText="1" readingOrder="1"/>
    </xf>
    <xf numFmtId="44" fontId="13" fillId="0" borderId="49" xfId="1" applyFont="1" applyFill="1" applyBorder="1" applyAlignment="1">
      <alignment horizontal="center" vertical="center" wrapText="1" readingOrder="1"/>
    </xf>
    <xf numFmtId="8" fontId="10" fillId="0" borderId="48" xfId="1" applyNumberFormat="1" applyFont="1" applyFill="1" applyBorder="1" applyAlignment="1">
      <alignment horizontal="right" vertical="center" wrapText="1"/>
    </xf>
    <xf numFmtId="0" fontId="13" fillId="0" borderId="36" xfId="0" applyFont="1" applyBorder="1" applyAlignment="1">
      <alignment horizontal="center" vertical="center" readingOrder="1"/>
    </xf>
    <xf numFmtId="44" fontId="13" fillId="0" borderId="48" xfId="1" applyFont="1" applyFill="1" applyBorder="1" applyAlignment="1">
      <alignment horizontal="center" vertical="center" wrapText="1" readingOrder="1"/>
    </xf>
    <xf numFmtId="0" fontId="14" fillId="0" borderId="35" xfId="0" applyFont="1" applyBorder="1" applyAlignment="1">
      <alignment horizontal="left" vertical="center" wrapText="1" readingOrder="1"/>
    </xf>
    <xf numFmtId="0" fontId="14" fillId="0" borderId="36" xfId="0" applyFont="1" applyBorder="1" applyAlignment="1">
      <alignment horizontal="center" vertical="center" wrapText="1" readingOrder="1"/>
    </xf>
    <xf numFmtId="44" fontId="13" fillId="0" borderId="36" xfId="0" applyNumberFormat="1" applyFont="1" applyBorder="1" applyAlignment="1">
      <alignment horizontal="center" vertical="center" wrapText="1" readingOrder="1"/>
    </xf>
    <xf numFmtId="0" fontId="13" fillId="0" borderId="49" xfId="0" applyFont="1" applyBorder="1" applyAlignment="1">
      <alignment horizontal="center" vertical="center" wrapText="1" readingOrder="1"/>
    </xf>
    <xf numFmtId="44" fontId="10" fillId="0" borderId="48" xfId="0" applyNumberFormat="1" applyFont="1" applyBorder="1" applyAlignment="1">
      <alignment horizontal="center" vertical="center" wrapText="1"/>
    </xf>
    <xf numFmtId="44" fontId="14" fillId="0" borderId="36" xfId="0" applyNumberFormat="1" applyFont="1" applyBorder="1" applyAlignment="1">
      <alignment horizontal="center" vertical="center" wrapText="1" readingOrder="1"/>
    </xf>
    <xf numFmtId="10" fontId="13" fillId="0" borderId="36" xfId="0" applyNumberFormat="1" applyFont="1" applyBorder="1" applyAlignment="1">
      <alignment horizontal="center" vertical="center" wrapText="1" readingOrder="1"/>
    </xf>
    <xf numFmtId="0" fontId="13" fillId="0" borderId="48" xfId="0" applyFont="1" applyBorder="1" applyAlignment="1">
      <alignment horizontal="center" vertical="center" wrapText="1" readingOrder="1"/>
    </xf>
    <xf numFmtId="0" fontId="9" fillId="0" borderId="36" xfId="0" applyFont="1" applyBorder="1" applyAlignment="1">
      <alignment horizontal="center" vertical="center" wrapText="1" readingOrder="1"/>
    </xf>
    <xf numFmtId="0" fontId="18" fillId="0" borderId="38" xfId="4" applyFont="1" applyBorder="1" applyAlignment="1">
      <alignment horizontal="center" vertical="center"/>
    </xf>
    <xf numFmtId="0" fontId="5" fillId="0" borderId="39" xfId="4" applyFont="1" applyBorder="1" applyAlignment="1">
      <alignment horizontal="center" vertical="center"/>
    </xf>
    <xf numFmtId="0" fontId="5" fillId="0" borderId="40" xfId="4" applyFont="1" applyBorder="1" applyAlignment="1">
      <alignment horizontal="center" vertical="center"/>
    </xf>
    <xf numFmtId="44" fontId="17" fillId="8" borderId="53" xfId="0" applyNumberFormat="1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vertical="center" wrapText="1"/>
    </xf>
    <xf numFmtId="170" fontId="20" fillId="8" borderId="2" xfId="2" applyNumberFormat="1" applyFont="1" applyFill="1" applyBorder="1" applyAlignment="1">
      <alignment horizontal="right" vertical="center"/>
    </xf>
    <xf numFmtId="8" fontId="21" fillId="8" borderId="3" xfId="0" applyNumberFormat="1" applyFont="1" applyFill="1" applyBorder="1" applyAlignment="1">
      <alignment horizontal="right" vertical="center"/>
    </xf>
    <xf numFmtId="0" fontId="20" fillId="8" borderId="4" xfId="0" applyFont="1" applyFill="1" applyBorder="1" applyAlignment="1">
      <alignment vertical="center" wrapText="1"/>
    </xf>
    <xf numFmtId="170" fontId="20" fillId="8" borderId="5" xfId="2" applyNumberFormat="1" applyFont="1" applyFill="1" applyBorder="1" applyAlignment="1">
      <alignment horizontal="right" vertical="center"/>
    </xf>
    <xf numFmtId="44" fontId="21" fillId="8" borderId="6" xfId="1" applyFont="1" applyFill="1" applyBorder="1" applyAlignment="1">
      <alignment horizontal="right" vertical="center"/>
    </xf>
    <xf numFmtId="172" fontId="7" fillId="0" borderId="5" xfId="0" applyNumberFormat="1" applyFont="1" applyBorder="1" applyAlignment="1">
      <alignment vertical="center"/>
    </xf>
    <xf numFmtId="10" fontId="7" fillId="0" borderId="5" xfId="0" applyNumberFormat="1" applyFont="1" applyBorder="1" applyAlignment="1">
      <alignment vertical="center"/>
    </xf>
    <xf numFmtId="172" fontId="7" fillId="0" borderId="6" xfId="0" applyNumberFormat="1" applyFont="1" applyBorder="1" applyAlignment="1">
      <alignment vertical="center"/>
    </xf>
    <xf numFmtId="172" fontId="7" fillId="0" borderId="8" xfId="0" applyNumberFormat="1" applyFont="1" applyBorder="1" applyAlignment="1">
      <alignment vertical="center"/>
    </xf>
    <xf numFmtId="10" fontId="7" fillId="0" borderId="8" xfId="0" applyNumberFormat="1" applyFont="1" applyBorder="1" applyAlignment="1">
      <alignment vertical="center"/>
    </xf>
    <xf numFmtId="172" fontId="7" fillId="0" borderId="9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44" fontId="16" fillId="2" borderId="11" xfId="0" applyNumberFormat="1" applyFont="1" applyFill="1" applyBorder="1" applyAlignment="1">
      <alignment vertical="center"/>
    </xf>
    <xf numFmtId="0" fontId="7" fillId="0" borderId="59" xfId="0" applyFont="1" applyBorder="1" applyAlignment="1">
      <alignment vertical="center"/>
    </xf>
    <xf numFmtId="44" fontId="7" fillId="0" borderId="36" xfId="0" applyNumberFormat="1" applyFont="1" applyBorder="1" applyAlignment="1">
      <alignment vertical="center"/>
    </xf>
    <xf numFmtId="10" fontId="7" fillId="0" borderId="43" xfId="0" applyNumberFormat="1" applyFont="1" applyBorder="1" applyAlignment="1">
      <alignment vertical="center"/>
    </xf>
    <xf numFmtId="44" fontId="7" fillId="0" borderId="60" xfId="0" applyNumberFormat="1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10" fontId="7" fillId="0" borderId="36" xfId="0" applyNumberFormat="1" applyFont="1" applyBorder="1" applyAlignment="1">
      <alignment vertical="center"/>
    </xf>
    <xf numFmtId="44" fontId="7" fillId="0" borderId="33" xfId="0" applyNumberFormat="1" applyFont="1" applyBorder="1" applyAlignment="1">
      <alignment vertical="center"/>
    </xf>
    <xf numFmtId="172" fontId="14" fillId="8" borderId="36" xfId="0" applyNumberFormat="1" applyFont="1" applyFill="1" applyBorder="1" applyAlignment="1">
      <alignment horizontal="right" vertical="center" wrapText="1" readingOrder="1"/>
    </xf>
    <xf numFmtId="10" fontId="14" fillId="8" borderId="36" xfId="0" applyNumberFormat="1" applyFont="1" applyFill="1" applyBorder="1" applyAlignment="1">
      <alignment horizontal="right" vertical="center" wrapText="1" readingOrder="1"/>
    </xf>
    <xf numFmtId="8" fontId="14" fillId="8" borderId="36" xfId="0" applyNumberFormat="1" applyFont="1" applyFill="1" applyBorder="1" applyAlignment="1">
      <alignment horizontal="right" vertical="center" wrapText="1" readingOrder="1"/>
    </xf>
    <xf numFmtId="0" fontId="9" fillId="0" borderId="38" xfId="0" applyFont="1" applyBorder="1" applyAlignment="1">
      <alignment vertical="center"/>
    </xf>
    <xf numFmtId="44" fontId="7" fillId="0" borderId="39" xfId="0" applyNumberFormat="1" applyFont="1" applyBorder="1" applyAlignment="1">
      <alignment vertical="center"/>
    </xf>
    <xf numFmtId="174" fontId="7" fillId="0" borderId="39" xfId="0" applyNumberFormat="1" applyFont="1" applyBorder="1" applyAlignment="1">
      <alignment vertical="center"/>
    </xf>
    <xf numFmtId="44" fontId="16" fillId="2" borderId="61" xfId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59" xfId="0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8" fontId="12" fillId="0" borderId="60" xfId="1" applyNumberFormat="1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43" fontId="12" fillId="0" borderId="36" xfId="0" applyNumberFormat="1" applyFont="1" applyBorder="1" applyAlignment="1">
      <alignment vertical="center"/>
    </xf>
    <xf numFmtId="8" fontId="7" fillId="0" borderId="36" xfId="0" applyNumberFormat="1" applyFont="1" applyBorder="1" applyAlignment="1">
      <alignment vertical="center"/>
    </xf>
    <xf numFmtId="44" fontId="12" fillId="0" borderId="33" xfId="1" applyFont="1" applyBorder="1" applyAlignment="1">
      <alignment vertical="center"/>
    </xf>
    <xf numFmtId="44" fontId="12" fillId="0" borderId="36" xfId="0" applyNumberFormat="1" applyFont="1" applyBorder="1" applyAlignment="1">
      <alignment vertical="center"/>
    </xf>
    <xf numFmtId="0" fontId="22" fillId="0" borderId="38" xfId="0" applyFont="1" applyBorder="1" applyAlignment="1">
      <alignment vertical="center"/>
    </xf>
    <xf numFmtId="0" fontId="12" fillId="0" borderId="39" xfId="0" applyFont="1" applyBorder="1" applyAlignment="1">
      <alignment vertical="center"/>
    </xf>
    <xf numFmtId="44" fontId="23" fillId="2" borderId="61" xfId="1" applyFont="1" applyFill="1" applyBorder="1" applyAlignment="1">
      <alignment vertical="center"/>
    </xf>
    <xf numFmtId="0" fontId="13" fillId="2" borderId="35" xfId="0" applyFont="1" applyFill="1" applyBorder="1" applyAlignment="1">
      <alignment horizontal="left" vertical="center" wrapText="1" readingOrder="1"/>
    </xf>
    <xf numFmtId="0" fontId="24" fillId="0" borderId="1" xfId="0" applyFont="1" applyBorder="1" applyAlignment="1">
      <alignment horizontal="justify" vertical="center"/>
    </xf>
    <xf numFmtId="44" fontId="10" fillId="0" borderId="3" xfId="1" applyFont="1" applyFill="1" applyBorder="1" applyAlignment="1">
      <alignment horizontal="right" vertical="center"/>
    </xf>
    <xf numFmtId="0" fontId="24" fillId="0" borderId="4" xfId="0" applyFont="1" applyBorder="1" applyAlignment="1">
      <alignment vertical="center"/>
    </xf>
    <xf numFmtId="44" fontId="7" fillId="0" borderId="6" xfId="1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44" fontId="7" fillId="0" borderId="9" xfId="1" applyFont="1" applyBorder="1" applyAlignment="1">
      <alignment vertical="center"/>
    </xf>
    <xf numFmtId="8" fontId="10" fillId="0" borderId="3" xfId="1" applyNumberFormat="1" applyFont="1" applyFill="1" applyBorder="1" applyAlignment="1">
      <alignment horizontal="right" vertical="center"/>
    </xf>
    <xf numFmtId="0" fontId="24" fillId="0" borderId="7" xfId="0" applyFont="1" applyBorder="1" applyAlignment="1">
      <alignment vertical="center"/>
    </xf>
    <xf numFmtId="8" fontId="7" fillId="0" borderId="9" xfId="1" applyNumberFormat="1" applyFont="1" applyBorder="1" applyAlignment="1">
      <alignment vertical="center"/>
    </xf>
    <xf numFmtId="0" fontId="13" fillId="2" borderId="59" xfId="0" applyFont="1" applyFill="1" applyBorder="1" applyAlignment="1">
      <alignment horizontal="left" vertical="center" wrapText="1" readingOrder="1"/>
    </xf>
    <xf numFmtId="0" fontId="9" fillId="0" borderId="43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26" fillId="8" borderId="35" xfId="0" applyFont="1" applyFill="1" applyBorder="1" applyAlignment="1">
      <alignment horizontal="left" vertical="center" wrapText="1" readingOrder="1"/>
    </xf>
    <xf numFmtId="44" fontId="26" fillId="8" borderId="33" xfId="0" applyNumberFormat="1" applyFont="1" applyFill="1" applyBorder="1" applyAlignment="1">
      <alignment horizontal="right" vertical="center" wrapText="1" readingOrder="1"/>
    </xf>
    <xf numFmtId="0" fontId="7" fillId="0" borderId="36" xfId="0" applyFont="1" applyBorder="1" applyAlignment="1">
      <alignment vertical="center"/>
    </xf>
    <xf numFmtId="0" fontId="26" fillId="8" borderId="33" xfId="0" applyFont="1" applyFill="1" applyBorder="1" applyAlignment="1">
      <alignment horizontal="right" vertical="center" wrapText="1" readingOrder="1"/>
    </xf>
    <xf numFmtId="173" fontId="7" fillId="0" borderId="36" xfId="0" applyNumberFormat="1" applyFont="1" applyBorder="1" applyAlignment="1">
      <alignment vertical="center"/>
    </xf>
    <xf numFmtId="44" fontId="26" fillId="8" borderId="33" xfId="1" applyFont="1" applyFill="1" applyBorder="1" applyAlignment="1">
      <alignment horizontal="right" vertical="center" wrapText="1" readingOrder="1"/>
    </xf>
    <xf numFmtId="0" fontId="27" fillId="8" borderId="38" xfId="0" applyFont="1" applyFill="1" applyBorder="1" applyAlignment="1">
      <alignment horizontal="left" vertical="center" wrapText="1" readingOrder="1"/>
    </xf>
    <xf numFmtId="4" fontId="26" fillId="8" borderId="61" xfId="0" applyNumberFormat="1" applyFont="1" applyFill="1" applyBorder="1" applyAlignment="1">
      <alignment horizontal="right" vertical="center" wrapText="1" readingOrder="1"/>
    </xf>
    <xf numFmtId="44" fontId="7" fillId="0" borderId="0" xfId="0" applyNumberFormat="1" applyFont="1" applyAlignment="1">
      <alignment vertical="center"/>
    </xf>
    <xf numFmtId="0" fontId="9" fillId="2" borderId="5" xfId="0" applyFont="1" applyFill="1" applyBorder="1" applyAlignment="1">
      <alignment vertical="center"/>
    </xf>
    <xf numFmtId="44" fontId="9" fillId="2" borderId="5" xfId="1" applyFont="1" applyFill="1" applyBorder="1" applyAlignment="1">
      <alignment vertical="center"/>
    </xf>
    <xf numFmtId="44" fontId="7" fillId="0" borderId="50" xfId="0" applyNumberFormat="1" applyFont="1" applyBorder="1" applyAlignment="1">
      <alignment vertical="center"/>
    </xf>
    <xf numFmtId="10" fontId="7" fillId="0" borderId="50" xfId="0" applyNumberFormat="1" applyFont="1" applyBorder="1" applyAlignment="1">
      <alignment vertical="center"/>
    </xf>
    <xf numFmtId="44" fontId="7" fillId="0" borderId="50" xfId="1" applyFont="1" applyBorder="1" applyAlignment="1">
      <alignment vertical="center"/>
    </xf>
    <xf numFmtId="44" fontId="7" fillId="0" borderId="0" xfId="1" applyFont="1" applyAlignment="1">
      <alignment vertical="center"/>
    </xf>
    <xf numFmtId="44" fontId="7" fillId="0" borderId="6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44" fontId="7" fillId="0" borderId="9" xfId="0" applyNumberFormat="1" applyFont="1" applyBorder="1" applyAlignment="1">
      <alignment vertical="center"/>
    </xf>
    <xf numFmtId="44" fontId="9" fillId="0" borderId="6" xfId="0" applyNumberFormat="1" applyFont="1" applyBorder="1" applyAlignment="1">
      <alignment vertical="center"/>
    </xf>
    <xf numFmtId="44" fontId="9" fillId="0" borderId="9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74" fontId="7" fillId="0" borderId="6" xfId="0" applyNumberFormat="1" applyFont="1" applyBorder="1" applyAlignment="1">
      <alignment vertical="center"/>
    </xf>
    <xf numFmtId="174" fontId="7" fillId="0" borderId="6" xfId="2" applyNumberFormat="1" applyFont="1" applyBorder="1" applyAlignment="1">
      <alignment vertical="center"/>
    </xf>
    <xf numFmtId="174" fontId="9" fillId="0" borderId="9" xfId="0" applyNumberFormat="1" applyFont="1" applyBorder="1" applyAlignment="1">
      <alignment vertical="center"/>
    </xf>
    <xf numFmtId="174" fontId="9" fillId="0" borderId="11" xfId="0" applyNumberFormat="1" applyFont="1" applyBorder="1" applyAlignment="1">
      <alignment vertical="center"/>
    </xf>
    <xf numFmtId="44" fontId="9" fillId="0" borderId="11" xfId="1" applyFont="1" applyBorder="1" applyAlignment="1">
      <alignment vertical="center"/>
    </xf>
    <xf numFmtId="44" fontId="7" fillId="0" borderId="3" xfId="0" applyNumberFormat="1" applyFont="1" applyBorder="1" applyAlignment="1">
      <alignment vertical="center"/>
    </xf>
    <xf numFmtId="44" fontId="9" fillId="0" borderId="9" xfId="1" applyFont="1" applyBorder="1" applyAlignment="1">
      <alignment vertical="center"/>
    </xf>
    <xf numFmtId="43" fontId="10" fillId="0" borderId="34" xfId="3" applyFont="1" applyFill="1" applyBorder="1" applyAlignment="1">
      <alignment horizontal="right" vertical="center" wrapText="1"/>
    </xf>
    <xf numFmtId="44" fontId="12" fillId="0" borderId="19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174" fontId="7" fillId="0" borderId="6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6" fillId="2" borderId="0" xfId="0" applyFont="1" applyFill="1" applyAlignment="1">
      <alignment vertical="center"/>
    </xf>
    <xf numFmtId="44" fontId="16" fillId="2" borderId="0" xfId="0" applyNumberFormat="1" applyFont="1" applyFill="1" applyAlignment="1">
      <alignment vertical="center"/>
    </xf>
    <xf numFmtId="43" fontId="16" fillId="2" borderId="0" xfId="3" applyFont="1" applyFill="1" applyAlignment="1">
      <alignment vertical="center"/>
    </xf>
    <xf numFmtId="175" fontId="16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4" fontId="9" fillId="2" borderId="6" xfId="0" applyNumberFormat="1" applyFont="1" applyFill="1" applyBorder="1" applyAlignment="1">
      <alignment vertical="center"/>
    </xf>
    <xf numFmtId="0" fontId="28" fillId="9" borderId="0" xfId="0" applyFont="1" applyFill="1" applyAlignment="1">
      <alignment vertical="center"/>
    </xf>
    <xf numFmtId="44" fontId="7" fillId="0" borderId="3" xfId="1" applyFont="1" applyBorder="1" applyAlignment="1">
      <alignment vertical="center"/>
    </xf>
    <xf numFmtId="44" fontId="7" fillId="0" borderId="34" xfId="0" applyNumberFormat="1" applyFont="1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44" xfId="0" applyBorder="1" applyAlignment="1">
      <alignment vertical="center"/>
    </xf>
    <xf numFmtId="14" fontId="8" fillId="6" borderId="32" xfId="4" applyNumberFormat="1" applyFont="1" applyFill="1" applyBorder="1" applyAlignment="1" applyProtection="1">
      <alignment horizontal="center" vertical="center"/>
      <protection locked="0"/>
    </xf>
    <xf numFmtId="0" fontId="0" fillId="0" borderId="63" xfId="0" applyBorder="1" applyAlignment="1">
      <alignment vertical="center"/>
    </xf>
    <xf numFmtId="14" fontId="8" fillId="6" borderId="31" xfId="4" applyNumberFormat="1" applyFont="1" applyFill="1" applyBorder="1" applyAlignment="1" applyProtection="1">
      <alignment horizontal="center" vertical="center"/>
      <protection locked="0"/>
    </xf>
    <xf numFmtId="0" fontId="1" fillId="0" borderId="31" xfId="0" applyFont="1" applyBorder="1" applyAlignment="1">
      <alignment vertical="center"/>
    </xf>
    <xf numFmtId="0" fontId="19" fillId="2" borderId="55" xfId="0" applyFont="1" applyFill="1" applyBorder="1" applyAlignment="1">
      <alignment horizontal="left" vertical="center" wrapText="1" readingOrder="1"/>
    </xf>
    <xf numFmtId="0" fontId="1" fillId="0" borderId="0" xfId="0" applyFont="1" applyAlignment="1">
      <alignment vertical="center"/>
    </xf>
    <xf numFmtId="44" fontId="20" fillId="8" borderId="2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6" fillId="2" borderId="56" xfId="0" applyFont="1" applyFill="1" applyBorder="1" applyAlignment="1">
      <alignment horizontal="left" vertical="center" wrapText="1" readingOrder="1"/>
    </xf>
    <xf numFmtId="0" fontId="16" fillId="2" borderId="57" xfId="0" applyFont="1" applyFill="1" applyBorder="1" applyAlignment="1">
      <alignment horizontal="left" vertical="center" wrapText="1" readingOrder="1"/>
    </xf>
    <xf numFmtId="0" fontId="16" fillId="2" borderId="58" xfId="0" applyFont="1" applyFill="1" applyBorder="1" applyAlignment="1">
      <alignment horizontal="left" vertical="center" wrapText="1" readingOrder="1"/>
    </xf>
    <xf numFmtId="0" fontId="18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44" fontId="17" fillId="8" borderId="0" xfId="0" applyNumberFormat="1" applyFont="1" applyFill="1" applyBorder="1" applyAlignment="1">
      <alignment horizontal="center" vertical="center" wrapText="1"/>
    </xf>
    <xf numFmtId="180" fontId="7" fillId="0" borderId="0" xfId="2" applyNumberFormat="1" applyFont="1" applyAlignment="1">
      <alignment vertical="center"/>
    </xf>
    <xf numFmtId="0" fontId="13" fillId="8" borderId="65" xfId="0" applyFont="1" applyFill="1" applyBorder="1" applyAlignment="1">
      <alignment horizontal="left" vertical="center" wrapText="1" readingOrder="1"/>
    </xf>
    <xf numFmtId="44" fontId="10" fillId="8" borderId="52" xfId="1" applyFont="1" applyFill="1" applyBorder="1" applyAlignment="1">
      <alignment horizontal="right" vertical="center" wrapText="1"/>
    </xf>
    <xf numFmtId="182" fontId="12" fillId="0" borderId="19" xfId="0" applyNumberFormat="1" applyFont="1" applyBorder="1" applyAlignment="1">
      <alignment vertical="center"/>
    </xf>
    <xf numFmtId="9" fontId="13" fillId="0" borderId="36" xfId="0" applyNumberFormat="1" applyFont="1" applyBorder="1" applyAlignment="1">
      <alignment horizontal="center" vertical="center" wrapText="1" readingOrder="1"/>
    </xf>
  </cellXfs>
  <cellStyles count="7">
    <cellStyle name="Milliers" xfId="3" builtinId="3"/>
    <cellStyle name="Monétaire" xfId="1" builtinId="4"/>
    <cellStyle name="Normal" xfId="0" builtinId="0"/>
    <cellStyle name="Normal 2" xfId="6" xr:uid="{9DC3C183-5214-4EDD-87A4-BE47D1757422}"/>
    <cellStyle name="Normal 9" xfId="5" xr:uid="{E49530D9-ADC4-41EA-97C0-26D14D48E584}"/>
    <cellStyle name="Normal_Fiche de paie TEPA plus 20 salariés" xfId="4" xr:uid="{1CDDB15C-942A-4806-8F65-3089906FEA76}"/>
    <cellStyle name="Pourcentage" xfId="2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rma1\enseigna\luccini\EUROFOAD\Activit&#233;%20PAIE\Basetau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D\Activit&#233;-Paie-2008%20mise%20&#224;%20jour%20partielle\Basetaux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_PMFORMATION38\ressources_DROIT%20SOCIAL_PAIE\AA_PAYE\COTISATIONS_REDUCTION_EXONERATIONS\TP%20BUL%202023_VIERGE_STAGIAIRES_NOUVEAU_JANVIER2023_V2.xlsx" TargetMode="External"/><Relationship Id="rId1" Type="http://schemas.openxmlformats.org/officeDocument/2006/relationships/externalLinkPath" Target="file:///D:\a_PMFORMATION38\ressources_DROIT%20SOCIAL_PAIE\AA_PAYE\COTISATIONS_REDUCTION_EXONERATIONS\TP%20BUL%202023_VIERGE_STAGIAIRES_NOUVEAU_JANVIER2023_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D\luccini\EUROFOAD\Activit&#233;%20PAIE\Basetaux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EMP\Desktop\foad%20paie%202020\PAIE%20N2%20-%20renum&#233;rot&#233;\bis-ARRET-DE-TRAVAIL-MALADIE%20ET%20MAINTIEN%20BRUT%20-%20Copie\DOCUMENTS\8-bulletin-de-paie-exercices-corrig&#233;s-v2023.xlsx" TargetMode="External"/><Relationship Id="rId1" Type="http://schemas.openxmlformats.org/officeDocument/2006/relationships/externalLinkPath" Target="/Users/TEMP/Desktop/foad%20paie%202020/PAIE%20N2%20-%20renum&#233;rot&#233;/bis-ARRET-DE-TRAVAIL-MALADIE%20ET%20MAINTIEN%20BRUT%20-%20Copie/DOCUMENTS/8-bulletin-de-paie-exercices-corrig&#233;s-v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ISATIONS"/>
      <sheetName val="saisie arrêt"/>
      <sheetName val="Non cadre TEPA plus 20 sal "/>
      <sheetName val="Cadre TEPA plus 20 sal"/>
      <sheetName val="Gérant plus 20 sal"/>
      <sheetName val="formules"/>
      <sheetName val="CADRE "/>
      <sheetName val="n_cadre"/>
      <sheetName val="cadre"/>
      <sheetName val="Basetaux"/>
      <sheetName val="Feuil1"/>
      <sheetName val="maquette"/>
      <sheetName val="maquette (2)"/>
      <sheetName val="maquette (3)"/>
      <sheetName val="Logement"/>
      <sheetName val="NC vierge"/>
      <sheetName val="Cadre vierge"/>
      <sheetName val="Gérant vierge"/>
    </sheetNames>
    <sheetDataSet>
      <sheetData sheetId="0" refreshError="1">
        <row r="9">
          <cell r="B9">
            <v>0.13100000000000001</v>
          </cell>
          <cell r="C9">
            <v>7.4999999999999997E-3</v>
          </cell>
        </row>
        <row r="10">
          <cell r="B10">
            <v>8.3000000000000004E-2</v>
          </cell>
          <cell r="C10">
            <v>6.6500000000000004E-2</v>
          </cell>
        </row>
        <row r="11">
          <cell r="B11">
            <v>1.6E-2</v>
          </cell>
          <cell r="C11">
            <v>1E-3</v>
          </cell>
        </row>
        <row r="12">
          <cell r="C12">
            <v>1E-3</v>
          </cell>
        </row>
        <row r="13">
          <cell r="B13">
            <v>5.3999999999999999E-2</v>
          </cell>
        </row>
        <row r="14">
          <cell r="B14">
            <v>1E-3</v>
          </cell>
        </row>
        <row r="16">
          <cell r="C16">
            <v>2.4E-2</v>
          </cell>
        </row>
        <row r="17">
          <cell r="C17">
            <v>5.0999999999999997E-2</v>
          </cell>
        </row>
        <row r="18">
          <cell r="C18">
            <v>5.0000000000000001E-3</v>
          </cell>
        </row>
        <row r="19">
          <cell r="B19">
            <v>4.0000000000000001E-3</v>
          </cell>
        </row>
        <row r="20">
          <cell r="B20">
            <v>0.08</v>
          </cell>
        </row>
        <row r="27">
          <cell r="B27">
            <v>0.04</v>
          </cell>
          <cell r="C27">
            <v>2.4E-2</v>
          </cell>
        </row>
        <row r="28">
          <cell r="B28">
            <v>0.04</v>
          </cell>
          <cell r="C28">
            <v>2.4E-2</v>
          </cell>
        </row>
        <row r="29">
          <cell r="B29">
            <v>1.5E-3</v>
          </cell>
        </row>
        <row r="30">
          <cell r="B30">
            <v>1E-3</v>
          </cell>
        </row>
        <row r="36">
          <cell r="B36">
            <v>0.126</v>
          </cell>
          <cell r="C36">
            <v>7.6999999999999999E-2</v>
          </cell>
        </row>
        <row r="37">
          <cell r="B37">
            <v>3.6000000000000002E-4</v>
          </cell>
          <cell r="C37">
            <v>2.4000000000000001E-4</v>
          </cell>
        </row>
        <row r="38">
          <cell r="B38">
            <v>11.59</v>
          </cell>
          <cell r="C38">
            <v>7.72</v>
          </cell>
        </row>
        <row r="39">
          <cell r="B39">
            <v>1.4999999999999999E-2</v>
          </cell>
          <cell r="C39">
            <v>7.99</v>
          </cell>
        </row>
        <row r="40">
          <cell r="B40">
            <v>2.2000000000000001E-3</v>
          </cell>
          <cell r="C40">
            <v>1.2999999999999999E-3</v>
          </cell>
        </row>
        <row r="41">
          <cell r="B41">
            <v>4.4999999999999998E-2</v>
          </cell>
        </row>
        <row r="42">
          <cell r="B42">
            <v>0.12</v>
          </cell>
          <cell r="C42">
            <v>0.08</v>
          </cell>
        </row>
        <row r="43">
          <cell r="B43">
            <v>1.2E-2</v>
          </cell>
          <cell r="C43">
            <v>8.0000000000000002E-3</v>
          </cell>
        </row>
        <row r="44">
          <cell r="B44">
            <v>1.2999999999999999E-2</v>
          </cell>
          <cell r="C44">
            <v>8.9999999999999993E-3</v>
          </cell>
        </row>
        <row r="71">
          <cell r="B71">
            <v>57.8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ISATIONS"/>
      <sheetName val="formules"/>
      <sheetName val="Non cadre TEPA plus 20 sal "/>
      <sheetName val="Cadre TEPA plus 20 sal"/>
      <sheetName val="Gérant plus 20 sal"/>
      <sheetName val="NC vierge"/>
      <sheetName val="Cadre vierge"/>
      <sheetName val="Gérant vierge"/>
    </sheetNames>
    <sheetDataSet>
      <sheetData sheetId="0">
        <row r="9">
          <cell r="B9">
            <v>0.128</v>
          </cell>
        </row>
        <row r="20">
          <cell r="B20">
            <v>4.0000000000000001E-3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VERS"/>
      <sheetName val="table cotisations 2023"/>
      <sheetName val="bulletin détaillé 2023 vierge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ISATIONS"/>
      <sheetName val="formules"/>
      <sheetName val="Non cadre TEPA plus 20 sal "/>
      <sheetName val="Cadre TEPA plus 20 sal"/>
      <sheetName val="Gérant plus 20 sal"/>
      <sheetName val="NC vierge"/>
      <sheetName val="Cadre vierge"/>
      <sheetName val="Gérant vierge"/>
      <sheetName val="CADRE "/>
      <sheetName val="n_cadre"/>
      <sheetName val="cadre"/>
      <sheetName val="Feuil1"/>
      <sheetName val="maquette"/>
    </sheetNames>
    <sheetDataSet>
      <sheetData sheetId="0">
        <row r="9">
          <cell r="B9">
            <v>0.128</v>
          </cell>
        </row>
        <row r="60">
          <cell r="B60">
            <v>3.21</v>
          </cell>
        </row>
        <row r="61">
          <cell r="B61">
            <v>3.31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lletin non-cadre"/>
      <sheetName val=" bulletin simplif non-cadre"/>
      <sheetName val="Exercice 1"/>
      <sheetName val="OUTILS"/>
      <sheetName val="Exercice 2"/>
      <sheetName val="Exercice 3"/>
      <sheetName val=" bulletin cadre"/>
      <sheetName val="bulletin cadre simplifié"/>
      <sheetName val="Décomposition non-cadre"/>
      <sheetName val="Décomposition cadre"/>
      <sheetName val="temps partiel"/>
      <sheetName val="temps complet"/>
      <sheetName val=" enonce N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7">
          <cell r="E47">
            <v>8.5500000000000007E-2</v>
          </cell>
        </row>
        <row r="48">
          <cell r="E48">
            <v>1.9E-2</v>
          </cell>
        </row>
        <row r="49">
          <cell r="E49">
            <v>6.0100000000000001E-2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D806-82F4-474F-B2BA-FB2B4DE70FEC}">
  <sheetPr>
    <tabColor rgb="FFFF0000"/>
  </sheetPr>
  <dimension ref="A1:N193"/>
  <sheetViews>
    <sheetView topLeftCell="C53" zoomScaleNormal="100" workbookViewId="0">
      <selection activeCell="H61" sqref="H61:I65"/>
    </sheetView>
  </sheetViews>
  <sheetFormatPr baseColWidth="10" defaultRowHeight="15" x14ac:dyDescent="0.25"/>
  <cols>
    <col min="1" max="1" width="92.28515625" style="5" customWidth="1"/>
    <col min="2" max="2" width="16.7109375" style="5" customWidth="1"/>
    <col min="3" max="3" width="18.85546875" style="5" bestFit="1" customWidth="1"/>
    <col min="4" max="4" width="25.5703125" style="5" bestFit="1" customWidth="1"/>
    <col min="5" max="5" width="25.5703125" style="5" customWidth="1"/>
    <col min="6" max="6" width="20.85546875" style="5" customWidth="1"/>
    <col min="7" max="8" width="27.28515625" style="5" customWidth="1"/>
    <col min="9" max="9" width="12.5703125" style="5" customWidth="1"/>
    <col min="10" max="10" width="12" style="5" customWidth="1"/>
    <col min="11" max="11" width="11.42578125" style="5" customWidth="1"/>
    <col min="12" max="12" width="12.140625" style="5" customWidth="1"/>
    <col min="13" max="14" width="12" style="5" customWidth="1"/>
    <col min="15" max="16384" width="11.42578125" style="5"/>
  </cols>
  <sheetData>
    <row r="1" spans="1:6" ht="15.75" thickBot="1" x14ac:dyDescent="0.3">
      <c r="A1" s="2" t="s">
        <v>16</v>
      </c>
      <c r="B1" s="3"/>
      <c r="C1" s="3"/>
      <c r="D1" s="3"/>
      <c r="E1" s="3"/>
      <c r="F1" s="4"/>
    </row>
    <row r="2" spans="1:6" x14ac:dyDescent="0.25">
      <c r="A2" s="6" t="s">
        <v>11</v>
      </c>
      <c r="B2" s="7"/>
      <c r="C2" s="8"/>
      <c r="D2" s="9" t="s">
        <v>10</v>
      </c>
      <c r="E2" s="10"/>
      <c r="F2" s="11" t="s">
        <v>17</v>
      </c>
    </row>
    <row r="3" spans="1:6" x14ac:dyDescent="0.25">
      <c r="A3" s="12" t="s">
        <v>18</v>
      </c>
      <c r="B3" s="13"/>
      <c r="C3" s="14"/>
      <c r="D3" s="15" t="s">
        <v>18</v>
      </c>
      <c r="E3" s="16"/>
      <c r="F3" s="17"/>
    </row>
    <row r="4" spans="1:6" x14ac:dyDescent="0.25">
      <c r="A4" s="12" t="s">
        <v>19</v>
      </c>
      <c r="B4" s="13"/>
      <c r="C4" s="14"/>
      <c r="D4" s="15" t="s">
        <v>20</v>
      </c>
      <c r="E4" s="16"/>
      <c r="F4" s="17"/>
    </row>
    <row r="5" spans="1:6" x14ac:dyDescent="0.25">
      <c r="A5" s="12" t="s">
        <v>21</v>
      </c>
      <c r="B5" s="13"/>
      <c r="C5" s="14"/>
      <c r="D5" s="15" t="s">
        <v>22</v>
      </c>
      <c r="E5" s="16"/>
      <c r="F5" s="17"/>
    </row>
    <row r="6" spans="1:6" x14ac:dyDescent="0.25">
      <c r="A6" s="12" t="s">
        <v>21</v>
      </c>
      <c r="B6" s="13"/>
      <c r="C6" s="14"/>
      <c r="D6" s="15" t="s">
        <v>23</v>
      </c>
      <c r="E6" s="16"/>
      <c r="F6" s="17"/>
    </row>
    <row r="7" spans="1:6" x14ac:dyDescent="0.25">
      <c r="A7" s="12" t="s">
        <v>24</v>
      </c>
      <c r="B7" s="13"/>
      <c r="C7" s="14"/>
      <c r="D7" s="15"/>
      <c r="E7" s="16"/>
      <c r="F7" s="17"/>
    </row>
    <row r="8" spans="1:6" x14ac:dyDescent="0.25">
      <c r="A8" s="12" t="s">
        <v>25</v>
      </c>
      <c r="B8" s="13"/>
      <c r="C8" s="14"/>
      <c r="D8" s="15" t="s">
        <v>26</v>
      </c>
      <c r="E8" s="16"/>
      <c r="F8" s="17"/>
    </row>
    <row r="9" spans="1:6" x14ac:dyDescent="0.25">
      <c r="A9" s="12" t="s">
        <v>27</v>
      </c>
      <c r="B9" s="13"/>
      <c r="C9" s="14"/>
      <c r="D9" s="15" t="s">
        <v>6</v>
      </c>
      <c r="E9" s="16"/>
      <c r="F9" s="17"/>
    </row>
    <row r="10" spans="1:6" x14ac:dyDescent="0.25">
      <c r="A10" s="12" t="s">
        <v>28</v>
      </c>
      <c r="B10" s="13"/>
      <c r="C10" s="14"/>
      <c r="D10" s="15" t="s">
        <v>7</v>
      </c>
      <c r="E10" s="16"/>
      <c r="F10" s="17"/>
    </row>
    <row r="11" spans="1:6" x14ac:dyDescent="0.25">
      <c r="A11" s="12" t="s">
        <v>29</v>
      </c>
      <c r="B11" s="13"/>
      <c r="C11" s="14"/>
      <c r="D11" s="15" t="s">
        <v>30</v>
      </c>
      <c r="E11" s="16"/>
      <c r="F11" s="17"/>
    </row>
    <row r="12" spans="1:6" x14ac:dyDescent="0.25">
      <c r="A12" s="12" t="s">
        <v>31</v>
      </c>
      <c r="B12" s="13"/>
      <c r="C12" s="14"/>
      <c r="D12" s="15" t="s">
        <v>32</v>
      </c>
      <c r="E12" s="16"/>
      <c r="F12" s="17"/>
    </row>
    <row r="13" spans="1:6" x14ac:dyDescent="0.25">
      <c r="A13" s="12" t="s">
        <v>8</v>
      </c>
      <c r="B13" s="13"/>
      <c r="C13" s="14"/>
      <c r="D13" s="15" t="s">
        <v>33</v>
      </c>
      <c r="E13" s="16"/>
      <c r="F13" s="17"/>
    </row>
    <row r="14" spans="1:6" x14ac:dyDescent="0.25">
      <c r="A14" s="12"/>
      <c r="B14" s="13"/>
      <c r="C14" s="14"/>
      <c r="D14" s="15" t="s">
        <v>34</v>
      </c>
      <c r="E14" s="16"/>
      <c r="F14" s="17"/>
    </row>
    <row r="15" spans="1:6" x14ac:dyDescent="0.25">
      <c r="A15" s="15"/>
      <c r="B15" s="13"/>
      <c r="C15" s="14"/>
      <c r="D15" s="15"/>
      <c r="E15" s="16"/>
      <c r="F15" s="17"/>
    </row>
    <row r="16" spans="1:6" ht="15.75" thickBot="1" x14ac:dyDescent="0.3">
      <c r="A16" s="18"/>
      <c r="B16" s="19"/>
      <c r="C16" s="20"/>
      <c r="D16" s="18"/>
      <c r="E16" s="21"/>
      <c r="F16" s="22"/>
    </row>
    <row r="17" spans="1:14" ht="15.75" thickBot="1" x14ac:dyDescent="0.3">
      <c r="A17" s="23" t="s">
        <v>35</v>
      </c>
      <c r="B17" s="263">
        <v>44927</v>
      </c>
      <c r="C17" s="264"/>
      <c r="D17" s="24" t="s">
        <v>36</v>
      </c>
      <c r="E17" s="261">
        <v>44957</v>
      </c>
      <c r="F17" s="262"/>
    </row>
    <row r="18" spans="1:14" ht="20.25" customHeight="1" thickBot="1" x14ac:dyDescent="0.3">
      <c r="A18" s="25" t="s">
        <v>37</v>
      </c>
      <c r="B18" s="26"/>
      <c r="C18" s="26"/>
      <c r="D18" s="26"/>
      <c r="E18" s="27"/>
      <c r="F18" s="28"/>
    </row>
    <row r="19" spans="1:14" ht="24" customHeight="1" thickBot="1" x14ac:dyDescent="0.3">
      <c r="A19" s="29" t="s">
        <v>37</v>
      </c>
      <c r="B19" s="30" t="s">
        <v>38</v>
      </c>
      <c r="C19" s="30" t="s">
        <v>39</v>
      </c>
      <c r="D19" s="31" t="s">
        <v>40</v>
      </c>
      <c r="E19" s="32"/>
      <c r="F19" s="33"/>
    </row>
    <row r="20" spans="1:14" s="39" customFormat="1" x14ac:dyDescent="0.25">
      <c r="A20" s="9" t="s">
        <v>9</v>
      </c>
      <c r="B20" s="34"/>
      <c r="C20" s="35"/>
      <c r="D20" s="36">
        <v>2500</v>
      </c>
      <c r="E20" s="37"/>
      <c r="F20" s="38"/>
      <c r="G20" s="5"/>
      <c r="H20" s="5"/>
      <c r="I20" s="5"/>
      <c r="J20" s="5"/>
      <c r="K20" s="5"/>
      <c r="L20" s="5"/>
      <c r="M20" s="5"/>
      <c r="N20" s="5"/>
    </row>
    <row r="21" spans="1:14" s="39" customFormat="1" x14ac:dyDescent="0.25">
      <c r="A21" s="40" t="s">
        <v>41</v>
      </c>
      <c r="B21" s="41"/>
      <c r="C21" s="42"/>
      <c r="D21" s="43"/>
      <c r="E21" s="44"/>
      <c r="F21" s="45"/>
      <c r="I21" s="5"/>
      <c r="J21" s="5"/>
      <c r="K21" s="5"/>
      <c r="L21" s="5"/>
      <c r="M21" s="5"/>
      <c r="N21" s="5"/>
    </row>
    <row r="22" spans="1:14" s="39" customFormat="1" x14ac:dyDescent="0.25">
      <c r="A22" s="40" t="s">
        <v>42</v>
      </c>
      <c r="B22" s="46"/>
      <c r="C22" s="47"/>
      <c r="D22" s="48"/>
      <c r="E22" s="49"/>
      <c r="F22" s="45"/>
      <c r="I22" s="5"/>
      <c r="J22" s="5"/>
      <c r="K22" s="5"/>
      <c r="L22" s="5"/>
      <c r="M22" s="5"/>
      <c r="N22" s="5"/>
    </row>
    <row r="23" spans="1:14" s="39" customFormat="1" x14ac:dyDescent="0.25">
      <c r="A23" s="40" t="s">
        <v>43</v>
      </c>
      <c r="B23" s="41"/>
      <c r="C23" s="42"/>
      <c r="D23" s="50"/>
      <c r="E23" s="51"/>
      <c r="F23" s="45"/>
      <c r="I23" s="5"/>
      <c r="J23" s="5"/>
      <c r="K23" s="5"/>
      <c r="L23" s="5"/>
      <c r="M23" s="5"/>
      <c r="N23" s="5"/>
    </row>
    <row r="24" spans="1:14" x14ac:dyDescent="0.25">
      <c r="A24" s="15" t="s">
        <v>44</v>
      </c>
      <c r="B24" s="225"/>
      <c r="C24" s="226">
        <f>D20/151.67*1.25</f>
        <v>20.603942770488565</v>
      </c>
      <c r="D24" s="226">
        <f>C24*B24</f>
        <v>0</v>
      </c>
      <c r="E24" s="54"/>
      <c r="F24" s="55"/>
      <c r="H24" s="224">
        <f>SUM(D20:D34)</f>
        <v>2500</v>
      </c>
    </row>
    <row r="25" spans="1:14" x14ac:dyDescent="0.25">
      <c r="A25" s="15" t="s">
        <v>45</v>
      </c>
      <c r="B25" s="225"/>
      <c r="C25" s="226">
        <f>D20/151.67*1.5</f>
        <v>24.724731324586276</v>
      </c>
      <c r="D25" s="226">
        <f t="shared" ref="D25:D30" si="0">C25*B25</f>
        <v>0</v>
      </c>
      <c r="E25" s="54"/>
      <c r="F25" s="56"/>
    </row>
    <row r="26" spans="1:14" x14ac:dyDescent="0.25">
      <c r="A26" s="15" t="s">
        <v>132</v>
      </c>
      <c r="B26" s="52"/>
      <c r="C26" s="53">
        <f>D20/151.67</f>
        <v>16.483154216390851</v>
      </c>
      <c r="D26" s="53">
        <f t="shared" si="0"/>
        <v>0</v>
      </c>
      <c r="E26" s="54"/>
      <c r="F26" s="56"/>
    </row>
    <row r="27" spans="1:14" x14ac:dyDescent="0.25">
      <c r="A27" s="15" t="s">
        <v>133</v>
      </c>
      <c r="B27" s="52"/>
      <c r="C27" s="53">
        <f>D20/151.67*0.25</f>
        <v>4.1207885540977127</v>
      </c>
      <c r="D27" s="53">
        <f t="shared" si="0"/>
        <v>0</v>
      </c>
      <c r="E27" s="54"/>
      <c r="F27" s="56"/>
    </row>
    <row r="28" spans="1:14" x14ac:dyDescent="0.25">
      <c r="A28" s="15" t="s">
        <v>46</v>
      </c>
      <c r="B28" s="57"/>
      <c r="C28" s="58"/>
      <c r="D28" s="53">
        <f t="shared" si="0"/>
        <v>0</v>
      </c>
      <c r="E28" s="59"/>
      <c r="F28" s="56"/>
    </row>
    <row r="29" spans="1:14" x14ac:dyDescent="0.25">
      <c r="A29" s="15" t="s">
        <v>47</v>
      </c>
      <c r="B29" s="60"/>
      <c r="C29" s="52"/>
      <c r="D29" s="53">
        <f t="shared" si="0"/>
        <v>0</v>
      </c>
      <c r="E29" s="54"/>
      <c r="F29" s="61"/>
    </row>
    <row r="30" spans="1:14" x14ac:dyDescent="0.25">
      <c r="A30" s="15" t="s">
        <v>48</v>
      </c>
      <c r="B30" s="62"/>
      <c r="C30" s="58"/>
      <c r="D30" s="53">
        <f t="shared" si="0"/>
        <v>0</v>
      </c>
      <c r="E30" s="59"/>
      <c r="F30" s="61"/>
    </row>
    <row r="31" spans="1:14" x14ac:dyDescent="0.25">
      <c r="A31" s="15"/>
      <c r="B31" s="63"/>
      <c r="C31" s="64"/>
      <c r="D31" s="65"/>
      <c r="E31" s="66"/>
      <c r="F31" s="67"/>
    </row>
    <row r="32" spans="1:14" ht="15.75" thickBot="1" x14ac:dyDescent="0.3">
      <c r="A32" s="5" t="s">
        <v>49</v>
      </c>
      <c r="B32" s="244"/>
      <c r="C32" s="245">
        <f>-C173</f>
        <v>-25.170068027210885</v>
      </c>
      <c r="D32" s="65">
        <f>C32*B32</f>
        <v>0</v>
      </c>
      <c r="E32" s="68"/>
      <c r="F32" s="69"/>
    </row>
    <row r="33" spans="1:8" x14ac:dyDescent="0.25">
      <c r="A33" s="70" t="s">
        <v>50</v>
      </c>
      <c r="B33" s="71"/>
      <c r="C33" s="72"/>
      <c r="D33" s="65"/>
      <c r="E33" s="73"/>
      <c r="F33" s="74"/>
    </row>
    <row r="34" spans="1:8" x14ac:dyDescent="0.25">
      <c r="A34" s="5" t="s">
        <v>51</v>
      </c>
      <c r="B34" s="71"/>
      <c r="C34" s="72"/>
      <c r="D34" s="65"/>
      <c r="E34" s="73"/>
      <c r="F34" s="74"/>
    </row>
    <row r="35" spans="1:8" x14ac:dyDescent="0.25">
      <c r="A35" s="70" t="s">
        <v>52</v>
      </c>
      <c r="B35" s="71"/>
      <c r="C35" s="75"/>
      <c r="D35" s="76"/>
      <c r="E35" s="73"/>
      <c r="F35" s="74"/>
    </row>
    <row r="36" spans="1:8" ht="15.75" thickBot="1" x14ac:dyDescent="0.3">
      <c r="A36" s="77" t="s">
        <v>53</v>
      </c>
      <c r="B36" s="71"/>
      <c r="C36" s="78"/>
      <c r="D36" s="79"/>
      <c r="E36" s="73"/>
      <c r="F36" s="74"/>
    </row>
    <row r="37" spans="1:8" ht="16.5" thickTop="1" thickBot="1" x14ac:dyDescent="0.3">
      <c r="A37" s="80" t="s">
        <v>15</v>
      </c>
      <c r="B37" s="81"/>
      <c r="C37" s="82"/>
      <c r="D37" s="83">
        <f>SUM(D20:D36)</f>
        <v>2500</v>
      </c>
      <c r="E37" s="84"/>
      <c r="F37" s="74"/>
      <c r="H37" s="224">
        <f>D37-2763</f>
        <v>-263</v>
      </c>
    </row>
    <row r="38" spans="1:8" x14ac:dyDescent="0.25">
      <c r="A38" s="85"/>
      <c r="B38" s="86"/>
      <c r="C38" s="87"/>
      <c r="D38" s="88"/>
      <c r="E38" s="89"/>
      <c r="F38" s="90"/>
    </row>
    <row r="39" spans="1:8" x14ac:dyDescent="0.25">
      <c r="A39" s="91" t="s">
        <v>54</v>
      </c>
      <c r="B39" s="92" t="s">
        <v>55</v>
      </c>
      <c r="C39" s="92" t="s">
        <v>56</v>
      </c>
      <c r="D39" s="92" t="s">
        <v>57</v>
      </c>
      <c r="E39" s="93"/>
      <c r="F39" s="94" t="s">
        <v>58</v>
      </c>
    </row>
    <row r="40" spans="1:8" x14ac:dyDescent="0.25">
      <c r="A40" s="95" t="s">
        <v>59</v>
      </c>
      <c r="B40" s="96"/>
      <c r="C40" s="97"/>
      <c r="D40" s="97"/>
      <c r="E40" s="98"/>
      <c r="F40" s="99"/>
    </row>
    <row r="41" spans="1:8" x14ac:dyDescent="0.25">
      <c r="A41" s="100" t="s">
        <v>60</v>
      </c>
      <c r="B41" s="101">
        <f>D37</f>
        <v>2500</v>
      </c>
      <c r="C41" s="102"/>
      <c r="D41" s="103"/>
      <c r="E41" s="104">
        <v>7.0000000000000007E-2</v>
      </c>
      <c r="F41" s="105">
        <f>E41*B41</f>
        <v>175.00000000000003</v>
      </c>
      <c r="G41" s="106"/>
    </row>
    <row r="42" spans="1:8" x14ac:dyDescent="0.25">
      <c r="A42" s="107" t="s">
        <v>61</v>
      </c>
      <c r="B42" s="101">
        <f>D37</f>
        <v>2500</v>
      </c>
      <c r="C42" s="108">
        <v>1.2500000000000001E-2</v>
      </c>
      <c r="D42" s="109">
        <f>C42*B42</f>
        <v>31.25</v>
      </c>
      <c r="E42" s="110">
        <v>0.03</v>
      </c>
      <c r="F42" s="105">
        <f>E42*B42</f>
        <v>75</v>
      </c>
      <c r="G42" s="106"/>
      <c r="H42" s="106"/>
    </row>
    <row r="43" spans="1:8" x14ac:dyDescent="0.25">
      <c r="A43" s="100" t="s">
        <v>62</v>
      </c>
      <c r="B43" s="101">
        <f>+D37</f>
        <v>2500</v>
      </c>
      <c r="C43" s="108">
        <v>7.4999999999999997E-3</v>
      </c>
      <c r="D43" s="109">
        <f>C43*B43</f>
        <v>18.75</v>
      </c>
      <c r="E43" s="111">
        <v>1.4999999999999999E-2</v>
      </c>
      <c r="F43" s="105">
        <f>E43*B43</f>
        <v>37.5</v>
      </c>
      <c r="G43" s="106"/>
      <c r="H43" s="106"/>
    </row>
    <row r="44" spans="1:8" x14ac:dyDescent="0.25">
      <c r="A44" s="100" t="s">
        <v>63</v>
      </c>
      <c r="B44" s="101"/>
      <c r="C44" s="108"/>
      <c r="D44" s="109"/>
      <c r="E44" s="112"/>
      <c r="F44" s="105"/>
      <c r="G44" s="106"/>
      <c r="H44" s="106"/>
    </row>
    <row r="45" spans="1:8" x14ac:dyDescent="0.25">
      <c r="A45" s="95" t="s">
        <v>64</v>
      </c>
      <c r="B45" s="101">
        <f>D37</f>
        <v>2500</v>
      </c>
      <c r="C45" s="107"/>
      <c r="D45" s="101"/>
      <c r="E45" s="113">
        <v>2.7E-2</v>
      </c>
      <c r="F45" s="105">
        <f>E45*B45</f>
        <v>67.5</v>
      </c>
      <c r="G45" s="106"/>
      <c r="H45" s="106"/>
    </row>
    <row r="46" spans="1:8" x14ac:dyDescent="0.25">
      <c r="A46" s="95" t="s">
        <v>65</v>
      </c>
      <c r="B46" s="96"/>
      <c r="C46" s="97"/>
      <c r="D46" s="97"/>
      <c r="E46" s="98"/>
      <c r="F46" s="99"/>
      <c r="G46" s="106"/>
      <c r="H46" s="106"/>
    </row>
    <row r="47" spans="1:8" x14ac:dyDescent="0.25">
      <c r="A47" s="100" t="s">
        <v>66</v>
      </c>
      <c r="B47" s="101">
        <f>B45</f>
        <v>2500</v>
      </c>
      <c r="C47" s="108">
        <v>6.9000000000000006E-2</v>
      </c>
      <c r="D47" s="109">
        <f t="shared" ref="D47:D49" si="1">C47*B47</f>
        <v>172.50000000000003</v>
      </c>
      <c r="E47" s="111">
        <f>'[5]Exercice 2'!E47</f>
        <v>8.5500000000000007E-2</v>
      </c>
      <c r="F47" s="105">
        <f t="shared" ref="F47:F49" si="2">E47*B47</f>
        <v>213.75000000000003</v>
      </c>
      <c r="G47" s="106"/>
      <c r="H47" s="106"/>
    </row>
    <row r="48" spans="1:8" x14ac:dyDescent="0.25">
      <c r="A48" s="100" t="s">
        <v>67</v>
      </c>
      <c r="B48" s="101">
        <f>B47</f>
        <v>2500</v>
      </c>
      <c r="C48" s="108">
        <v>4.0000000000000001E-3</v>
      </c>
      <c r="D48" s="109">
        <f t="shared" si="1"/>
        <v>10</v>
      </c>
      <c r="E48" s="111">
        <f>'[5]Exercice 2'!E48</f>
        <v>1.9E-2</v>
      </c>
      <c r="F48" s="105">
        <f t="shared" si="2"/>
        <v>47.5</v>
      </c>
      <c r="G48" s="106"/>
      <c r="H48" s="106"/>
    </row>
    <row r="49" spans="1:9" x14ac:dyDescent="0.25">
      <c r="A49" s="100" t="s">
        <v>68</v>
      </c>
      <c r="B49" s="101">
        <f>B48</f>
        <v>2500</v>
      </c>
      <c r="C49" s="108">
        <v>4.0099999999999997E-2</v>
      </c>
      <c r="D49" s="109">
        <f t="shared" si="1"/>
        <v>100.24999999999999</v>
      </c>
      <c r="E49" s="111">
        <f>'[5]Exercice 2'!E49</f>
        <v>6.0100000000000001E-2</v>
      </c>
      <c r="F49" s="105">
        <f t="shared" si="2"/>
        <v>150.25</v>
      </c>
      <c r="G49" s="106"/>
      <c r="H49" s="106"/>
    </row>
    <row r="50" spans="1:9" x14ac:dyDescent="0.25">
      <c r="A50" s="100" t="s">
        <v>69</v>
      </c>
      <c r="B50" s="101"/>
      <c r="C50" s="108"/>
      <c r="D50" s="109"/>
      <c r="E50" s="111">
        <f t="shared" ref="E50:E51" si="3">G46</f>
        <v>0</v>
      </c>
      <c r="F50" s="105"/>
      <c r="G50" s="106"/>
      <c r="H50" s="106"/>
    </row>
    <row r="51" spans="1:9" x14ac:dyDescent="0.25">
      <c r="A51" s="100" t="s">
        <v>70</v>
      </c>
      <c r="B51" s="101"/>
      <c r="C51" s="108"/>
      <c r="D51" s="109"/>
      <c r="E51" s="111">
        <f t="shared" si="3"/>
        <v>0</v>
      </c>
      <c r="F51" s="105"/>
      <c r="G51" s="106"/>
      <c r="H51" s="106"/>
    </row>
    <row r="52" spans="1:9" x14ac:dyDescent="0.25">
      <c r="A52" s="100" t="s">
        <v>71</v>
      </c>
      <c r="B52" s="101"/>
      <c r="C52" s="108"/>
      <c r="D52" s="109"/>
      <c r="E52" s="112"/>
      <c r="F52" s="105"/>
      <c r="G52" s="106"/>
      <c r="H52" s="106"/>
    </row>
    <row r="53" spans="1:9" x14ac:dyDescent="0.25">
      <c r="A53" s="95" t="s">
        <v>72</v>
      </c>
      <c r="B53" s="101">
        <f>D37</f>
        <v>2500</v>
      </c>
      <c r="C53" s="114"/>
      <c r="D53" s="101"/>
      <c r="E53" s="113">
        <v>3.4500000000000003E-2</v>
      </c>
      <c r="F53" s="105">
        <f t="shared" ref="F53:F54" si="4">E53*B53</f>
        <v>86.250000000000014</v>
      </c>
      <c r="G53" s="106"/>
      <c r="H53" s="106"/>
    </row>
    <row r="54" spans="1:9" x14ac:dyDescent="0.25">
      <c r="A54" s="95" t="s">
        <v>73</v>
      </c>
      <c r="B54" s="101">
        <f>B53</f>
        <v>2500</v>
      </c>
      <c r="C54" s="114"/>
      <c r="D54" s="101"/>
      <c r="E54" s="113">
        <v>4.2000000000000003E-2</v>
      </c>
      <c r="F54" s="105">
        <f t="shared" si="4"/>
        <v>105</v>
      </c>
      <c r="G54" s="106"/>
      <c r="H54" s="106"/>
    </row>
    <row r="55" spans="1:9" x14ac:dyDescent="0.25">
      <c r="A55" s="100" t="s">
        <v>74</v>
      </c>
      <c r="B55" s="101"/>
      <c r="C55" s="115">
        <v>2.4000000000000001E-4</v>
      </c>
      <c r="D55" s="101">
        <f>+C55*B55</f>
        <v>0</v>
      </c>
      <c r="E55" s="116">
        <v>3.6000000000000002E-4</v>
      </c>
      <c r="F55" s="105">
        <f>+E55*B55</f>
        <v>0</v>
      </c>
      <c r="G55" s="106"/>
      <c r="H55" s="106"/>
    </row>
    <row r="56" spans="1:9" x14ac:dyDescent="0.25">
      <c r="A56" s="95" t="s">
        <v>75</v>
      </c>
      <c r="B56" s="101"/>
      <c r="C56" s="114"/>
      <c r="D56" s="101"/>
      <c r="E56" s="117"/>
      <c r="F56" s="105">
        <f>D140</f>
        <v>41.15</v>
      </c>
      <c r="G56" s="106"/>
      <c r="H56" s="106"/>
    </row>
    <row r="57" spans="1:9" x14ac:dyDescent="0.25">
      <c r="A57" s="95"/>
      <c r="B57" s="101"/>
      <c r="C57" s="101"/>
      <c r="D57" s="101"/>
      <c r="E57" s="117"/>
      <c r="F57" s="118"/>
      <c r="G57" s="106"/>
      <c r="H57" s="106"/>
    </row>
    <row r="58" spans="1:9" x14ac:dyDescent="0.25">
      <c r="A58" s="119" t="s">
        <v>76</v>
      </c>
      <c r="B58" s="101"/>
      <c r="C58" s="101"/>
      <c r="D58" s="101"/>
      <c r="E58" s="117"/>
      <c r="F58" s="118"/>
      <c r="G58" s="106"/>
      <c r="H58" s="106"/>
    </row>
    <row r="59" spans="1:9" ht="18" customHeight="1" x14ac:dyDescent="0.25">
      <c r="A59" s="100"/>
      <c r="B59" s="101"/>
      <c r="C59" s="115"/>
      <c r="D59" s="101"/>
      <c r="E59" s="117"/>
      <c r="F59" s="105"/>
      <c r="G59" s="106"/>
      <c r="H59" s="106"/>
    </row>
    <row r="60" spans="1:9" ht="18" customHeight="1" x14ac:dyDescent="0.25">
      <c r="A60" s="95" t="s">
        <v>77</v>
      </c>
      <c r="B60" s="101">
        <f>((D37*0.9825)+(F42+F43))</f>
        <v>2568.75</v>
      </c>
      <c r="C60" s="108">
        <v>6.8000000000000005E-2</v>
      </c>
      <c r="D60" s="109">
        <f>C60*B60</f>
        <v>174.67500000000001</v>
      </c>
      <c r="E60" s="112"/>
      <c r="F60" s="105"/>
    </row>
    <row r="61" spans="1:9" ht="18" customHeight="1" x14ac:dyDescent="0.25">
      <c r="A61" s="120" t="s">
        <v>78</v>
      </c>
      <c r="B61" s="121">
        <f>B60</f>
        <v>2568.75</v>
      </c>
      <c r="C61" s="122">
        <v>2.9000000000000001E-2</v>
      </c>
      <c r="D61" s="109">
        <f>C61*B61</f>
        <v>74.493750000000006</v>
      </c>
      <c r="E61" s="112"/>
      <c r="F61" s="123"/>
      <c r="H61" s="5" t="s">
        <v>165</v>
      </c>
      <c r="I61" s="224" t="e">
        <f>+#REF!</f>
        <v>#REF!</v>
      </c>
    </row>
    <row r="62" spans="1:9" ht="18" customHeight="1" x14ac:dyDescent="0.25">
      <c r="A62" s="124" t="s">
        <v>79</v>
      </c>
      <c r="B62" s="121">
        <f>I38*0.9825</f>
        <v>0</v>
      </c>
      <c r="C62" s="122">
        <v>9.7000000000000003E-2</v>
      </c>
      <c r="D62" s="109">
        <f>C62*B62</f>
        <v>0</v>
      </c>
      <c r="E62" s="126"/>
      <c r="F62" s="123"/>
      <c r="H62" s="5" t="s">
        <v>134</v>
      </c>
      <c r="I62" s="224">
        <f>+C154</f>
        <v>303.48</v>
      </c>
    </row>
    <row r="63" spans="1:9" ht="18" customHeight="1" x14ac:dyDescent="0.25">
      <c r="A63" s="127" t="s">
        <v>80</v>
      </c>
      <c r="B63" s="227">
        <f>I38</f>
        <v>0</v>
      </c>
      <c r="C63" s="228">
        <v>-0.11310000000000001</v>
      </c>
      <c r="D63" s="125">
        <f>C63*B63</f>
        <v>0</v>
      </c>
      <c r="E63" s="128"/>
      <c r="F63" s="129"/>
      <c r="H63" s="5" t="s">
        <v>166</v>
      </c>
      <c r="I63" s="230">
        <f>I62*3.8/100</f>
        <v>11.53224</v>
      </c>
    </row>
    <row r="64" spans="1:9" ht="18" customHeight="1" x14ac:dyDescent="0.25">
      <c r="A64" s="127" t="s">
        <v>80</v>
      </c>
      <c r="B64" s="128"/>
      <c r="C64" s="128"/>
      <c r="D64" s="128"/>
      <c r="E64" s="229">
        <v>-1.5</v>
      </c>
      <c r="F64" s="129">
        <f>E64*B64</f>
        <v>0</v>
      </c>
      <c r="H64" s="5" t="s">
        <v>167</v>
      </c>
      <c r="I64" s="224">
        <f>I62-I63</f>
        <v>291.94776000000002</v>
      </c>
    </row>
    <row r="65" spans="1:9" ht="18" customHeight="1" x14ac:dyDescent="0.25">
      <c r="A65" s="120" t="s">
        <v>81</v>
      </c>
      <c r="B65" s="125"/>
      <c r="C65" s="130"/>
      <c r="D65" s="131">
        <f>SUM(D41:D63)</f>
        <v>581.91875000000005</v>
      </c>
      <c r="E65" s="131"/>
      <c r="F65" s="131">
        <f>SUM(F41:F64)</f>
        <v>998.9</v>
      </c>
      <c r="H65" s="5" t="s">
        <v>168</v>
      </c>
      <c r="I65" s="224" t="e">
        <f>+I61+I64</f>
        <v>#REF!</v>
      </c>
    </row>
    <row r="66" spans="1:9" ht="18" customHeight="1" x14ac:dyDescent="0.25">
      <c r="A66" s="120"/>
      <c r="B66" s="125"/>
      <c r="C66" s="130"/>
      <c r="D66" s="131"/>
      <c r="E66" s="132"/>
      <c r="F66" s="133"/>
    </row>
    <row r="67" spans="1:9" x14ac:dyDescent="0.25">
      <c r="A67" s="134" t="s">
        <v>13</v>
      </c>
      <c r="B67" s="125"/>
      <c r="C67" s="130"/>
      <c r="D67" s="131"/>
      <c r="E67" s="132"/>
      <c r="F67" s="133"/>
    </row>
    <row r="68" spans="1:9" x14ac:dyDescent="0.25">
      <c r="A68" s="134" t="s">
        <v>82</v>
      </c>
      <c r="B68" s="125"/>
      <c r="C68" s="130"/>
      <c r="D68" s="131"/>
      <c r="E68" s="132"/>
      <c r="F68" s="133"/>
    </row>
    <row r="69" spans="1:9" x14ac:dyDescent="0.25">
      <c r="A69" s="134" t="s">
        <v>83</v>
      </c>
      <c r="B69" s="125"/>
      <c r="C69" s="130"/>
      <c r="D69" s="131"/>
      <c r="E69" s="132"/>
      <c r="F69" s="133"/>
    </row>
    <row r="70" spans="1:9" ht="15.75" customHeight="1" x14ac:dyDescent="0.25">
      <c r="A70" s="134" t="s">
        <v>84</v>
      </c>
      <c r="B70" s="135"/>
      <c r="C70" s="130"/>
      <c r="D70" s="131"/>
      <c r="E70" s="132"/>
      <c r="F70" s="133"/>
    </row>
    <row r="71" spans="1:9" x14ac:dyDescent="0.25">
      <c r="A71" s="134" t="s">
        <v>85</v>
      </c>
      <c r="B71" s="125"/>
      <c r="C71" s="130"/>
      <c r="D71" s="131"/>
      <c r="E71" s="132"/>
      <c r="F71" s="133"/>
    </row>
    <row r="72" spans="1:9" x14ac:dyDescent="0.25">
      <c r="A72" s="134" t="s">
        <v>134</v>
      </c>
      <c r="B72" s="125"/>
      <c r="C72" s="130"/>
      <c r="D72" s="131">
        <f>+C156</f>
        <v>283.14684</v>
      </c>
      <c r="E72" s="132"/>
      <c r="F72" s="133"/>
    </row>
    <row r="73" spans="1:9" ht="15.75" thickBot="1" x14ac:dyDescent="0.3">
      <c r="A73" s="120"/>
      <c r="B73" s="125"/>
      <c r="C73" s="130"/>
      <c r="D73" s="131"/>
      <c r="E73" s="132"/>
      <c r="F73" s="136"/>
    </row>
    <row r="74" spans="1:9" s="63" customFormat="1" x14ac:dyDescent="0.25">
      <c r="A74" s="144" t="s">
        <v>88</v>
      </c>
      <c r="B74" s="144" t="s">
        <v>89</v>
      </c>
      <c r="C74" s="144" t="s">
        <v>90</v>
      </c>
      <c r="D74" s="147" t="s">
        <v>91</v>
      </c>
      <c r="E74" s="147"/>
      <c r="F74" s="148" t="s">
        <v>92</v>
      </c>
    </row>
    <row r="75" spans="1:9" s="63" customFormat="1" x14ac:dyDescent="0.25">
      <c r="A75" s="149" t="s">
        <v>14</v>
      </c>
      <c r="B75" s="150"/>
      <c r="C75" s="139"/>
      <c r="D75" s="151">
        <f>D37+F42+D61-D65</f>
        <v>2067.5749999999998</v>
      </c>
      <c r="E75" s="152"/>
      <c r="F75" s="153"/>
    </row>
    <row r="76" spans="1:9" s="63" customFormat="1" x14ac:dyDescent="0.25">
      <c r="A76" s="149" t="s">
        <v>93</v>
      </c>
      <c r="B76" s="154">
        <f>D75</f>
        <v>2067.5749999999998</v>
      </c>
      <c r="C76" s="155"/>
      <c r="D76" s="151"/>
      <c r="E76" s="152"/>
      <c r="F76" s="153"/>
    </row>
    <row r="77" spans="1:9" s="63" customFormat="1" x14ac:dyDescent="0.25">
      <c r="A77" s="149" t="s">
        <v>94</v>
      </c>
      <c r="B77" s="150"/>
      <c r="C77" s="151"/>
      <c r="D77" s="151"/>
      <c r="E77" s="152"/>
      <c r="F77" s="153"/>
    </row>
    <row r="78" spans="1:9" s="63" customFormat="1" x14ac:dyDescent="0.25">
      <c r="A78" s="149"/>
      <c r="B78" s="150"/>
      <c r="C78" s="139"/>
      <c r="D78" s="139"/>
      <c r="E78" s="152"/>
      <c r="F78" s="156"/>
    </row>
    <row r="79" spans="1:9" s="63" customFormat="1" x14ac:dyDescent="0.25">
      <c r="A79" s="137" t="s">
        <v>95</v>
      </c>
      <c r="B79" s="151">
        <f>D37-D65</f>
        <v>1918.08125</v>
      </c>
      <c r="C79" s="139"/>
      <c r="D79" s="139"/>
      <c r="E79" s="152"/>
      <c r="F79" s="153"/>
    </row>
    <row r="80" spans="1:9" s="63" customFormat="1" x14ac:dyDescent="0.25">
      <c r="A80" s="149" t="s">
        <v>96</v>
      </c>
      <c r="B80" s="139"/>
      <c r="C80" s="139"/>
      <c r="D80" s="139"/>
      <c r="E80" s="152"/>
      <c r="F80" s="153"/>
    </row>
    <row r="81" spans="1:6" s="63" customFormat="1" x14ac:dyDescent="0.25">
      <c r="A81" s="149" t="s">
        <v>97</v>
      </c>
      <c r="B81" s="157"/>
      <c r="C81" s="139"/>
      <c r="D81" s="139"/>
      <c r="E81" s="152"/>
      <c r="F81" s="153"/>
    </row>
    <row r="82" spans="1:6" s="63" customFormat="1" ht="15.75" thickBot="1" x14ac:dyDescent="0.3">
      <c r="A82" s="158" t="s">
        <v>98</v>
      </c>
      <c r="B82" s="159"/>
      <c r="C82" s="159"/>
      <c r="D82" s="159"/>
      <c r="E82" s="160"/>
      <c r="F82" s="161"/>
    </row>
    <row r="83" spans="1:6" s="63" customFormat="1" x14ac:dyDescent="0.25">
      <c r="A83" s="272"/>
      <c r="B83" s="273"/>
      <c r="C83" s="273"/>
      <c r="D83" s="273"/>
      <c r="E83" s="273"/>
      <c r="F83" s="274"/>
    </row>
    <row r="85" spans="1:6" hidden="1" x14ac:dyDescent="0.25"/>
    <row r="86" spans="1:6" hidden="1" x14ac:dyDescent="0.25">
      <c r="A86" s="265" t="s">
        <v>75</v>
      </c>
      <c r="B86" s="266"/>
    </row>
    <row r="87" spans="1:6" hidden="1" x14ac:dyDescent="0.25">
      <c r="A87" s="162"/>
      <c r="B87" s="163"/>
      <c r="C87" s="267">
        <f>D37</f>
        <v>2500</v>
      </c>
      <c r="D87" s="164"/>
    </row>
    <row r="88" spans="1:6" hidden="1" x14ac:dyDescent="0.25">
      <c r="A88" s="165" t="s">
        <v>99</v>
      </c>
      <c r="B88" s="166" t="e">
        <f>IF(#REF!&gt;=11,#REF!,0)</f>
        <v>#REF!</v>
      </c>
      <c r="C88" s="268"/>
      <c r="D88" s="167" t="e">
        <f>$C$87*B88</f>
        <v>#REF!</v>
      </c>
    </row>
    <row r="89" spans="1:6" hidden="1" x14ac:dyDescent="0.25">
      <c r="A89" s="165" t="s">
        <v>100</v>
      </c>
      <c r="B89" s="166" t="e">
        <f>IF(#REF!&lt;50,0%,0.5%)</f>
        <v>#REF!</v>
      </c>
      <c r="C89" s="268"/>
      <c r="D89" s="167" t="e">
        <f t="shared" ref="D89:D94" si="5">$C$87*B89</f>
        <v>#REF!</v>
      </c>
    </row>
    <row r="90" spans="1:6" hidden="1" x14ac:dyDescent="0.25">
      <c r="A90" s="165" t="s">
        <v>101</v>
      </c>
      <c r="B90" s="166">
        <v>1.6000000000000001E-4</v>
      </c>
      <c r="C90" s="268"/>
      <c r="D90" s="167">
        <f t="shared" si="5"/>
        <v>0.4</v>
      </c>
    </row>
    <row r="91" spans="1:6" hidden="1" x14ac:dyDescent="0.25">
      <c r="A91" s="165" t="s">
        <v>102</v>
      </c>
      <c r="B91" s="166">
        <v>3.0000000000000001E-3</v>
      </c>
      <c r="C91" s="268"/>
      <c r="D91" s="167">
        <f t="shared" si="5"/>
        <v>7.5</v>
      </c>
    </row>
    <row r="92" spans="1:6" hidden="1" x14ac:dyDescent="0.25">
      <c r="A92" s="165" t="s">
        <v>103</v>
      </c>
      <c r="B92" s="166">
        <v>5.8999999999999999E-3</v>
      </c>
      <c r="C92" s="268"/>
      <c r="D92" s="167">
        <f t="shared" si="5"/>
        <v>14.75</v>
      </c>
    </row>
    <row r="93" spans="1:6" hidden="1" x14ac:dyDescent="0.25">
      <c r="A93" s="165" t="s">
        <v>104</v>
      </c>
      <c r="B93" s="166" t="e">
        <f>IF(#REF!&lt;11,0.55%,1%)</f>
        <v>#REF!</v>
      </c>
      <c r="C93" s="268"/>
      <c r="D93" s="167" t="e">
        <f t="shared" si="5"/>
        <v>#REF!</v>
      </c>
    </row>
    <row r="94" spans="1:6" hidden="1" x14ac:dyDescent="0.25">
      <c r="A94" s="165" t="s">
        <v>105</v>
      </c>
      <c r="B94" s="166" t="e">
        <f>IF(#REF!&lt;=50,0,0.45%)</f>
        <v>#REF!</v>
      </c>
      <c r="C94" s="268"/>
      <c r="D94" s="167" t="e">
        <f t="shared" si="5"/>
        <v>#REF!</v>
      </c>
    </row>
    <row r="95" spans="1:6" hidden="1" x14ac:dyDescent="0.25">
      <c r="A95" s="15"/>
      <c r="B95" s="52"/>
      <c r="C95" s="52"/>
      <c r="D95" s="17"/>
    </row>
    <row r="96" spans="1:6" hidden="1" x14ac:dyDescent="0.25">
      <c r="A96" s="15" t="s">
        <v>106</v>
      </c>
      <c r="B96" s="168" t="e">
        <f>IF(#REF!&gt;=11,+F38+F39+F40,0)</f>
        <v>#REF!</v>
      </c>
      <c r="C96" s="169">
        <v>0.08</v>
      </c>
      <c r="D96" s="170" t="e">
        <f>C96*B96</f>
        <v>#REF!</v>
      </c>
    </row>
    <row r="97" spans="1:4" ht="15.75" hidden="1" thickBot="1" x14ac:dyDescent="0.3">
      <c r="A97" s="18" t="s">
        <v>107</v>
      </c>
      <c r="B97" s="171">
        <f>D37</f>
        <v>2500</v>
      </c>
      <c r="C97" s="172">
        <v>1E-3</v>
      </c>
      <c r="D97" s="173">
        <f>C97*B97</f>
        <v>2.5</v>
      </c>
    </row>
    <row r="98" spans="1:4" hidden="1" x14ac:dyDescent="0.25"/>
    <row r="99" spans="1:4" ht="15.75" hidden="1" thickBot="1" x14ac:dyDescent="0.3">
      <c r="A99" s="174" t="s">
        <v>108</v>
      </c>
      <c r="B99" s="175"/>
      <c r="C99" s="175"/>
      <c r="D99" s="176" t="e">
        <f>SUM(D88:D97)</f>
        <v>#REF!</v>
      </c>
    </row>
    <row r="100" spans="1:4" hidden="1" x14ac:dyDescent="0.25"/>
    <row r="101" spans="1:4" ht="15.75" hidden="1" thickBot="1" x14ac:dyDescent="0.3">
      <c r="A101" s="269" t="s">
        <v>109</v>
      </c>
      <c r="B101" s="270"/>
      <c r="C101" s="270"/>
      <c r="D101" s="271"/>
    </row>
    <row r="102" spans="1:4" hidden="1" x14ac:dyDescent="0.25">
      <c r="A102" s="177" t="s">
        <v>110</v>
      </c>
      <c r="B102" s="178">
        <f>D37</f>
        <v>2500</v>
      </c>
      <c r="C102" s="179">
        <v>2.4E-2</v>
      </c>
      <c r="D102" s="180">
        <f>C102*B102</f>
        <v>60</v>
      </c>
    </row>
    <row r="103" spans="1:4" hidden="1" x14ac:dyDescent="0.25">
      <c r="A103" s="181" t="s">
        <v>0</v>
      </c>
      <c r="B103" s="178">
        <f>B102</f>
        <v>2500</v>
      </c>
      <c r="C103" s="182">
        <v>7.4999999999999997E-3</v>
      </c>
      <c r="D103" s="183">
        <f>C103*B103</f>
        <v>18.75</v>
      </c>
    </row>
    <row r="104" spans="1:4" hidden="1" x14ac:dyDescent="0.25">
      <c r="A104" s="181" t="s">
        <v>111</v>
      </c>
      <c r="B104" s="178">
        <f>B60</f>
        <v>2568.75</v>
      </c>
      <c r="C104" s="182">
        <v>-1.7000000000000001E-2</v>
      </c>
      <c r="D104" s="183">
        <f>C104*B104</f>
        <v>-43.668750000000003</v>
      </c>
    </row>
    <row r="105" spans="1:4" hidden="1" x14ac:dyDescent="0.25">
      <c r="A105" s="120"/>
      <c r="B105" s="184"/>
      <c r="C105" s="185"/>
      <c r="D105" s="186"/>
    </row>
    <row r="106" spans="1:4" ht="15.75" hidden="1" thickBot="1" x14ac:dyDescent="0.3">
      <c r="A106" s="187" t="s">
        <v>112</v>
      </c>
      <c r="B106" s="188"/>
      <c r="C106" s="189"/>
      <c r="D106" s="190">
        <f>SUM(D102:D105)</f>
        <v>35.081249999999997</v>
      </c>
    </row>
    <row r="107" spans="1:4" hidden="1" x14ac:dyDescent="0.25">
      <c r="A107" s="191"/>
      <c r="B107" s="191"/>
      <c r="C107" s="191"/>
      <c r="D107" s="191"/>
    </row>
    <row r="108" spans="1:4" hidden="1" x14ac:dyDescent="0.25">
      <c r="A108" s="191"/>
      <c r="B108" s="191"/>
      <c r="C108" s="191"/>
      <c r="D108" s="191"/>
    </row>
    <row r="109" spans="1:4" ht="15.75" hidden="1" thickBot="1" x14ac:dyDescent="0.3">
      <c r="A109" s="269" t="s">
        <v>113</v>
      </c>
      <c r="B109" s="270"/>
      <c r="C109" s="270"/>
      <c r="D109" s="271"/>
    </row>
    <row r="110" spans="1:4" hidden="1" x14ac:dyDescent="0.25">
      <c r="A110" s="192" t="s">
        <v>114</v>
      </c>
      <c r="B110" s="193"/>
      <c r="C110" s="193"/>
      <c r="D110" s="194">
        <f>-F63</f>
        <v>0</v>
      </c>
    </row>
    <row r="111" spans="1:4" hidden="1" x14ac:dyDescent="0.25">
      <c r="A111" s="195" t="s">
        <v>115</v>
      </c>
      <c r="B111" s="196">
        <f>B62</f>
        <v>0</v>
      </c>
      <c r="C111" s="197">
        <v>1.5</v>
      </c>
      <c r="D111" s="198">
        <f>C111*B111</f>
        <v>0</v>
      </c>
    </row>
    <row r="112" spans="1:4" hidden="1" x14ac:dyDescent="0.25">
      <c r="A112" s="195" t="s">
        <v>116</v>
      </c>
      <c r="B112" s="199">
        <f>D37</f>
        <v>2500</v>
      </c>
      <c r="C112" s="182">
        <v>1.7999999999999999E-2</v>
      </c>
      <c r="D112" s="198">
        <f>C112*B112</f>
        <v>45</v>
      </c>
    </row>
    <row r="113" spans="1:13" hidden="1" x14ac:dyDescent="0.25">
      <c r="A113" s="195" t="s">
        <v>117</v>
      </c>
      <c r="B113" s="199">
        <f>B112</f>
        <v>2500</v>
      </c>
      <c r="C113" s="182">
        <v>0.06</v>
      </c>
      <c r="D113" s="198">
        <f>C113*B113</f>
        <v>150</v>
      </c>
    </row>
    <row r="114" spans="1:13" ht="15.75" hidden="1" thickBot="1" x14ac:dyDescent="0.3">
      <c r="A114" s="200" t="s">
        <v>118</v>
      </c>
      <c r="B114" s="201"/>
      <c r="C114" s="201"/>
      <c r="D114" s="202">
        <f>D110+D111+D112+D113</f>
        <v>195</v>
      </c>
    </row>
    <row r="115" spans="1:13" hidden="1" x14ac:dyDescent="0.25"/>
    <row r="116" spans="1:13" hidden="1" x14ac:dyDescent="0.25"/>
    <row r="117" spans="1:13" hidden="1" x14ac:dyDescent="0.25"/>
    <row r="118" spans="1:13" hidden="1" x14ac:dyDescent="0.25"/>
    <row r="120" spans="1:13" ht="15.75" thickBot="1" x14ac:dyDescent="0.3">
      <c r="A120" s="203" t="s">
        <v>87</v>
      </c>
      <c r="G120" s="250" t="s">
        <v>169</v>
      </c>
      <c r="H120" s="250"/>
      <c r="I120" s="251">
        <f>+C155</f>
        <v>20.333160000000003</v>
      </c>
    </row>
    <row r="121" spans="1:13" x14ac:dyDescent="0.25">
      <c r="A121" s="204" t="s">
        <v>119</v>
      </c>
      <c r="B121" s="205">
        <f>-1.7%*B60</f>
        <v>-43.668750000000003</v>
      </c>
      <c r="D121" s="275">
        <f>B79/2500</f>
        <v>0.76723249999999998</v>
      </c>
      <c r="G121" s="252">
        <v>21</v>
      </c>
      <c r="H121" s="251">
        <f>+C172</f>
        <v>19.600901020408163</v>
      </c>
      <c r="I121" s="253">
        <f>+H121*G121</f>
        <v>411.61892142857141</v>
      </c>
    </row>
    <row r="122" spans="1:13" x14ac:dyDescent="0.25">
      <c r="A122" s="206" t="s">
        <v>120</v>
      </c>
      <c r="B122" s="207">
        <f>$D$37*0.75%</f>
        <v>18.75</v>
      </c>
      <c r="G122" s="250"/>
      <c r="H122" s="250"/>
      <c r="I122" s="251" t="e">
        <f>+#REF!</f>
        <v>#REF!</v>
      </c>
    </row>
    <row r="123" spans="1:13" x14ac:dyDescent="0.25">
      <c r="A123" s="206" t="s">
        <v>121</v>
      </c>
      <c r="B123" s="207">
        <f>$D$37*2.4%</f>
        <v>60</v>
      </c>
      <c r="G123" s="250"/>
      <c r="H123" s="250"/>
      <c r="I123" s="253" t="e">
        <f>+I122+I121+I120</f>
        <v>#REF!</v>
      </c>
      <c r="K123" s="254" t="s">
        <v>171</v>
      </c>
      <c r="L123" s="254"/>
      <c r="M123" s="254"/>
    </row>
    <row r="124" spans="1:13" ht="15.75" thickBot="1" x14ac:dyDescent="0.3">
      <c r="A124" s="208"/>
      <c r="B124" s="209">
        <f>SUM(B121:B123)</f>
        <v>35.081249999999997</v>
      </c>
      <c r="G124" s="250" t="s">
        <v>170</v>
      </c>
      <c r="H124" s="250"/>
      <c r="I124" s="251">
        <f>+C169</f>
        <v>2881.3324499999999</v>
      </c>
    </row>
    <row r="126" spans="1:13" ht="15.75" thickBot="1" x14ac:dyDescent="0.3">
      <c r="A126" s="203" t="s">
        <v>96</v>
      </c>
    </row>
    <row r="127" spans="1:13" x14ac:dyDescent="0.25">
      <c r="A127" s="204" t="s">
        <v>122</v>
      </c>
      <c r="B127" s="210">
        <f>-F63</f>
        <v>0</v>
      </c>
    </row>
    <row r="128" spans="1:13" x14ac:dyDescent="0.25">
      <c r="A128" s="206" t="s">
        <v>123</v>
      </c>
      <c r="B128" s="207">
        <f>$D$37*6%</f>
        <v>150</v>
      </c>
    </row>
    <row r="129" spans="1:4" x14ac:dyDescent="0.25">
      <c r="A129" s="206" t="s">
        <v>124</v>
      </c>
      <c r="B129" s="207">
        <f>$D$37*1.8%</f>
        <v>45.000000000000007</v>
      </c>
    </row>
    <row r="130" spans="1:4" ht="15.75" thickBot="1" x14ac:dyDescent="0.3">
      <c r="A130" s="211" t="s">
        <v>118</v>
      </c>
      <c r="B130" s="212">
        <f>SUM(B127:B129)</f>
        <v>195</v>
      </c>
    </row>
    <row r="132" spans="1:4" ht="15.75" thickBot="1" x14ac:dyDescent="0.3"/>
    <row r="133" spans="1:4" x14ac:dyDescent="0.25">
      <c r="A133" s="213" t="s">
        <v>75</v>
      </c>
      <c r="B133" s="214" t="s">
        <v>89</v>
      </c>
      <c r="C133" s="214" t="s">
        <v>90</v>
      </c>
      <c r="D133" s="215" t="s">
        <v>40</v>
      </c>
    </row>
    <row r="134" spans="1:4" ht="16.5" x14ac:dyDescent="0.25">
      <c r="A134" s="216" t="s">
        <v>125</v>
      </c>
      <c r="B134" s="258">
        <f>D37</f>
        <v>2500</v>
      </c>
      <c r="C134" s="182">
        <v>1E-3</v>
      </c>
      <c r="D134" s="217">
        <f>C134*$B$134</f>
        <v>2.5</v>
      </c>
    </row>
    <row r="135" spans="1:4" ht="16.5" x14ac:dyDescent="0.25">
      <c r="A135" s="216" t="s">
        <v>126</v>
      </c>
      <c r="B135" s="259"/>
      <c r="C135" s="218"/>
      <c r="D135" s="219"/>
    </row>
    <row r="136" spans="1:4" ht="16.5" x14ac:dyDescent="0.25">
      <c r="A136" s="216" t="s">
        <v>127</v>
      </c>
      <c r="B136" s="259"/>
      <c r="C136" s="182">
        <v>3.0000000000000001E-3</v>
      </c>
      <c r="D136" s="217">
        <f t="shared" ref="D136:D139" si="6">C136*$B$134</f>
        <v>7.5</v>
      </c>
    </row>
    <row r="137" spans="1:4" ht="16.5" x14ac:dyDescent="0.25">
      <c r="A137" s="216" t="s">
        <v>128</v>
      </c>
      <c r="B137" s="259"/>
      <c r="C137" s="182">
        <v>6.7999999999999996E-3</v>
      </c>
      <c r="D137" s="217">
        <f t="shared" si="6"/>
        <v>17</v>
      </c>
    </row>
    <row r="138" spans="1:4" ht="16.5" x14ac:dyDescent="0.25">
      <c r="A138" s="216" t="s">
        <v>104</v>
      </c>
      <c r="B138" s="259"/>
      <c r="C138" s="182">
        <v>5.4999999999999997E-3</v>
      </c>
      <c r="D138" s="217">
        <f t="shared" si="6"/>
        <v>13.75</v>
      </c>
    </row>
    <row r="139" spans="1:4" ht="16.5" x14ac:dyDescent="0.25">
      <c r="A139" s="216" t="s">
        <v>129</v>
      </c>
      <c r="B139" s="260"/>
      <c r="C139" s="220">
        <v>1.6000000000000001E-4</v>
      </c>
      <c r="D139" s="217">
        <f t="shared" si="6"/>
        <v>0.4</v>
      </c>
    </row>
    <row r="140" spans="1:4" ht="16.5" x14ac:dyDescent="0.25">
      <c r="A140" s="216" t="s">
        <v>130</v>
      </c>
      <c r="B140" s="218"/>
      <c r="C140" s="218"/>
      <c r="D140" s="221">
        <f>SUM(D134:D139)</f>
        <v>41.15</v>
      </c>
    </row>
    <row r="141" spans="1:4" ht="16.5" x14ac:dyDescent="0.25">
      <c r="A141" s="216" t="s">
        <v>106</v>
      </c>
      <c r="B141" s="218"/>
      <c r="C141" s="218"/>
      <c r="D141" s="217"/>
    </row>
    <row r="142" spans="1:4" ht="16.5" x14ac:dyDescent="0.25">
      <c r="A142" s="216"/>
      <c r="B142" s="218"/>
      <c r="C142" s="218"/>
      <c r="D142" s="219"/>
    </row>
    <row r="143" spans="1:4" ht="17.25" thickBot="1" x14ac:dyDescent="0.3">
      <c r="A143" s="222" t="s">
        <v>131</v>
      </c>
      <c r="B143" s="81"/>
      <c r="C143" s="81"/>
      <c r="D143" s="223"/>
    </row>
    <row r="146" spans="1:6" ht="15.75" thickBot="1" x14ac:dyDescent="0.3"/>
    <row r="147" spans="1:6" x14ac:dyDescent="0.25">
      <c r="A147" s="236" t="s">
        <v>134</v>
      </c>
      <c r="B147" s="7"/>
      <c r="C147" s="11" t="s">
        <v>138</v>
      </c>
    </row>
    <row r="148" spans="1:6" x14ac:dyDescent="0.25">
      <c r="A148" s="15" t="s">
        <v>135</v>
      </c>
      <c r="B148" s="1">
        <v>3500</v>
      </c>
      <c r="C148" s="207">
        <f>1.8*11.27*151.6667</f>
        <v>3076.7106761999999</v>
      </c>
    </row>
    <row r="149" spans="1:6" x14ac:dyDescent="0.25">
      <c r="A149" s="15" t="s">
        <v>136</v>
      </c>
      <c r="B149" s="1">
        <v>3500</v>
      </c>
      <c r="C149" s="207">
        <f t="shared" ref="C149:C150" si="7">1.8*11.27*151.6667</f>
        <v>3076.7106761999999</v>
      </c>
    </row>
    <row r="150" spans="1:6" x14ac:dyDescent="0.25">
      <c r="A150" s="15" t="s">
        <v>137</v>
      </c>
      <c r="B150" s="1">
        <v>3700</v>
      </c>
      <c r="C150" s="207">
        <f t="shared" si="7"/>
        <v>3076.7106761999999</v>
      </c>
    </row>
    <row r="151" spans="1:6" x14ac:dyDescent="0.25">
      <c r="A151" s="15" t="s">
        <v>139</v>
      </c>
      <c r="B151" s="52"/>
      <c r="C151" s="231">
        <f>SUM(C148:C150)</f>
        <v>9230.1320285999991</v>
      </c>
    </row>
    <row r="152" spans="1:6" x14ac:dyDescent="0.25">
      <c r="A152" s="15" t="s">
        <v>140</v>
      </c>
      <c r="B152" s="52"/>
      <c r="C152" s="207">
        <f>ROUND(C151/91.25*0.5,2)</f>
        <v>50.58</v>
      </c>
    </row>
    <row r="153" spans="1:6" x14ac:dyDescent="0.25">
      <c r="A153" s="15" t="s">
        <v>141</v>
      </c>
      <c r="B153" s="52"/>
      <c r="C153" s="17">
        <f>9-3</f>
        <v>6</v>
      </c>
    </row>
    <row r="154" spans="1:6" x14ac:dyDescent="0.25">
      <c r="A154" s="15" t="s">
        <v>142</v>
      </c>
      <c r="B154" s="52"/>
      <c r="C154" s="234">
        <f>+C153*C152</f>
        <v>303.48</v>
      </c>
    </row>
    <row r="155" spans="1:6" x14ac:dyDescent="0.25">
      <c r="A155" s="15" t="s">
        <v>143</v>
      </c>
      <c r="B155" s="52"/>
      <c r="C155" s="207">
        <f>+C154*6.7/100</f>
        <v>20.333160000000003</v>
      </c>
    </row>
    <row r="156" spans="1:6" ht="15.75" thickBot="1" x14ac:dyDescent="0.3">
      <c r="A156" s="18" t="s">
        <v>142</v>
      </c>
      <c r="B156" s="232"/>
      <c r="C156" s="235">
        <f>+C154-C155</f>
        <v>283.14684</v>
      </c>
    </row>
    <row r="158" spans="1:6" ht="15.75" thickBot="1" x14ac:dyDescent="0.3"/>
    <row r="159" spans="1:6" x14ac:dyDescent="0.25">
      <c r="A159" s="9" t="s">
        <v>144</v>
      </c>
      <c r="B159" s="7"/>
      <c r="C159" s="8"/>
      <c r="E159" s="5" t="s">
        <v>149</v>
      </c>
      <c r="F159" s="5">
        <v>2881.33</v>
      </c>
    </row>
    <row r="160" spans="1:6" x14ac:dyDescent="0.25">
      <c r="A160" s="15" t="s">
        <v>145</v>
      </c>
      <c r="B160" s="52"/>
      <c r="C160" s="237">
        <v>0.11310000000000001</v>
      </c>
      <c r="E160" s="5" t="s">
        <v>172</v>
      </c>
    </row>
    <row r="161" spans="1:6" x14ac:dyDescent="0.25">
      <c r="A161" s="15" t="s">
        <v>143</v>
      </c>
      <c r="B161" s="52"/>
      <c r="C161" s="238">
        <f>9.7%*0.9825</f>
        <v>9.5302499999999998E-2</v>
      </c>
    </row>
    <row r="162" spans="1:6" x14ac:dyDescent="0.25">
      <c r="A162" s="15" t="s">
        <v>146</v>
      </c>
      <c r="B162" s="52"/>
      <c r="C162" s="237">
        <v>0.01</v>
      </c>
    </row>
    <row r="163" spans="1:6" x14ac:dyDescent="0.25">
      <c r="A163" s="246" t="s">
        <v>163</v>
      </c>
      <c r="B163" s="64" t="s">
        <v>164</v>
      </c>
      <c r="C163" s="247">
        <f>9.7%*2.7%</f>
        <v>2.6189999999999998E-3</v>
      </c>
    </row>
    <row r="164" spans="1:6" x14ac:dyDescent="0.25">
      <c r="A164" s="246" t="s">
        <v>12</v>
      </c>
      <c r="B164" s="64"/>
      <c r="C164" s="247">
        <v>2.4000000000000001E-4</v>
      </c>
    </row>
    <row r="165" spans="1:6" ht="15.75" thickBot="1" x14ac:dyDescent="0.3">
      <c r="A165" s="18" t="s">
        <v>147</v>
      </c>
      <c r="B165" s="232"/>
      <c r="C165" s="239">
        <f>SUM(C160:C164)</f>
        <v>0.2212615</v>
      </c>
    </row>
    <row r="166" spans="1:6" ht="15.75" thickBot="1" x14ac:dyDescent="0.3"/>
    <row r="167" spans="1:6" ht="15.75" thickBot="1" x14ac:dyDescent="0.3">
      <c r="A167" s="174" t="s">
        <v>148</v>
      </c>
      <c r="B167" s="175"/>
      <c r="C167" s="240">
        <f>1-C165</f>
        <v>0.7787385</v>
      </c>
    </row>
    <row r="168" spans="1:6" ht="15.75" thickBot="1" x14ac:dyDescent="0.3"/>
    <row r="169" spans="1:6" ht="15.75" thickBot="1" x14ac:dyDescent="0.3">
      <c r="A169" s="174" t="s">
        <v>149</v>
      </c>
      <c r="B169" s="175"/>
      <c r="C169" s="241">
        <f>3700*C167</f>
        <v>2881.3324499999999</v>
      </c>
    </row>
    <row r="170" spans="1:6" ht="15.75" thickBot="1" x14ac:dyDescent="0.3"/>
    <row r="171" spans="1:6" x14ac:dyDescent="0.25">
      <c r="A171" s="9" t="s">
        <v>150</v>
      </c>
      <c r="B171" s="7"/>
      <c r="C171" s="8">
        <v>147</v>
      </c>
      <c r="E171" s="5">
        <f>3700/147</f>
        <v>25.170068027210885</v>
      </c>
      <c r="F171" s="5">
        <f>3700/21</f>
        <v>176.1904761904762</v>
      </c>
    </row>
    <row r="172" spans="1:6" x14ac:dyDescent="0.25">
      <c r="A172" s="15" t="s">
        <v>151</v>
      </c>
      <c r="B172" s="52"/>
      <c r="C172" s="207">
        <f>+C169/C171</f>
        <v>19.600901020408163</v>
      </c>
      <c r="E172" s="5">
        <f>E171*7</f>
        <v>176.1904761904762</v>
      </c>
      <c r="F172" s="5">
        <f>F171*3</f>
        <v>528.57142857142867</v>
      </c>
    </row>
    <row r="173" spans="1:6" ht="15.75" thickBot="1" x14ac:dyDescent="0.3">
      <c r="A173" s="18" t="s">
        <v>152</v>
      </c>
      <c r="B173" s="232"/>
      <c r="C173" s="209">
        <f>3700/C171</f>
        <v>25.170068027210885</v>
      </c>
    </row>
    <row r="174" spans="1:6" ht="15.75" thickBot="1" x14ac:dyDescent="0.3"/>
    <row r="175" spans="1:6" x14ac:dyDescent="0.25">
      <c r="A175" s="9" t="s">
        <v>153</v>
      </c>
      <c r="B175" s="7"/>
      <c r="C175" s="242">
        <f>+C169</f>
        <v>2881.3324499999999</v>
      </c>
    </row>
    <row r="176" spans="1:6" x14ac:dyDescent="0.25">
      <c r="A176" s="15" t="s">
        <v>154</v>
      </c>
      <c r="B176" s="52" t="s">
        <v>177</v>
      </c>
      <c r="C176" s="231">
        <f>+-49*C172</f>
        <v>-960.44414999999992</v>
      </c>
    </row>
    <row r="177" spans="1:4" x14ac:dyDescent="0.25">
      <c r="A177" s="15" t="s">
        <v>155</v>
      </c>
      <c r="B177" s="52" t="s">
        <v>178</v>
      </c>
      <c r="C177" s="231">
        <f>28*C172</f>
        <v>548.82522857142851</v>
      </c>
    </row>
    <row r="178" spans="1:4" x14ac:dyDescent="0.25">
      <c r="A178" s="15" t="s">
        <v>156</v>
      </c>
      <c r="B178" s="52"/>
      <c r="C178" s="231">
        <f>-C154</f>
        <v>-303.48</v>
      </c>
    </row>
    <row r="179" spans="1:4" x14ac:dyDescent="0.25">
      <c r="A179" s="248" t="s">
        <v>157</v>
      </c>
      <c r="B179" s="249"/>
      <c r="C179" s="255">
        <f>SUM(C175:C178)</f>
        <v>2166.2335285714285</v>
      </c>
    </row>
    <row r="180" spans="1:4" x14ac:dyDescent="0.25">
      <c r="A180" s="15" t="s">
        <v>158</v>
      </c>
      <c r="B180" s="52"/>
      <c r="C180" s="237">
        <f>+C167</f>
        <v>0.7787385</v>
      </c>
    </row>
    <row r="181" spans="1:4" ht="15.75" thickBot="1" x14ac:dyDescent="0.3">
      <c r="A181" s="18" t="s">
        <v>159</v>
      </c>
      <c r="B181" s="232" t="s">
        <v>160</v>
      </c>
      <c r="C181" s="243">
        <f>+C179/C180</f>
        <v>2781.7213719001029</v>
      </c>
    </row>
    <row r="183" spans="1:4" ht="15.75" thickBot="1" x14ac:dyDescent="0.3">
      <c r="A183" s="256" t="s">
        <v>179</v>
      </c>
    </row>
    <row r="184" spans="1:4" x14ac:dyDescent="0.25">
      <c r="A184" s="9" t="s">
        <v>173</v>
      </c>
      <c r="B184" s="7"/>
      <c r="C184" s="257">
        <f>C169</f>
        <v>2881.3324499999999</v>
      </c>
    </row>
    <row r="185" spans="1:4" x14ac:dyDescent="0.25">
      <c r="A185" s="15" t="s">
        <v>174</v>
      </c>
      <c r="B185" s="52"/>
      <c r="C185" s="207">
        <f>-C155</f>
        <v>-20.333160000000003</v>
      </c>
    </row>
    <row r="186" spans="1:4" x14ac:dyDescent="0.25">
      <c r="A186" s="15" t="s">
        <v>175</v>
      </c>
      <c r="B186" s="52" t="s">
        <v>176</v>
      </c>
      <c r="C186" s="207">
        <f>-2881.33/147*21</f>
        <v>-411.61857142857139</v>
      </c>
    </row>
    <row r="187" spans="1:4" x14ac:dyDescent="0.25">
      <c r="A187" s="15"/>
      <c r="B187" s="52"/>
      <c r="C187" s="207"/>
    </row>
    <row r="188" spans="1:4" ht="15.75" thickBot="1" x14ac:dyDescent="0.3">
      <c r="A188" s="18" t="s">
        <v>180</v>
      </c>
      <c r="B188" s="232"/>
      <c r="C188" s="233">
        <f>SUM(C184:C187)</f>
        <v>2449.3807185714286</v>
      </c>
      <c r="D188" s="256" t="s">
        <v>181</v>
      </c>
    </row>
    <row r="189" spans="1:4" x14ac:dyDescent="0.25">
      <c r="A189" s="5" t="s">
        <v>134</v>
      </c>
      <c r="C189" s="224"/>
    </row>
    <row r="190" spans="1:4" x14ac:dyDescent="0.25">
      <c r="C190" s="224"/>
    </row>
    <row r="191" spans="1:4" x14ac:dyDescent="0.25">
      <c r="C191" s="224"/>
    </row>
    <row r="192" spans="1:4" x14ac:dyDescent="0.25">
      <c r="C192" s="224"/>
    </row>
    <row r="193" spans="3:3" x14ac:dyDescent="0.25">
      <c r="C193" s="224"/>
    </row>
  </sheetData>
  <mergeCells count="7">
    <mergeCell ref="B134:B139"/>
    <mergeCell ref="E17:F17"/>
    <mergeCell ref="B17:C17"/>
    <mergeCell ref="A86:B86"/>
    <mergeCell ref="C87:C94"/>
    <mergeCell ref="A101:D101"/>
    <mergeCell ref="A109:D109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D7C8F-4F45-40C3-B15D-508709D6B1DF}">
  <sheetPr>
    <tabColor rgb="FFFF0000"/>
  </sheetPr>
  <dimension ref="A1:N194"/>
  <sheetViews>
    <sheetView tabSelected="1" topLeftCell="A15" zoomScaleNormal="100" workbookViewId="0">
      <selection activeCell="D37" sqref="D37"/>
    </sheetView>
  </sheetViews>
  <sheetFormatPr baseColWidth="10" defaultRowHeight="15" x14ac:dyDescent="0.25"/>
  <cols>
    <col min="1" max="1" width="92.28515625" style="5" customWidth="1"/>
    <col min="2" max="2" width="16.7109375" style="5" customWidth="1"/>
    <col min="3" max="3" width="18.85546875" style="5" bestFit="1" customWidth="1"/>
    <col min="4" max="4" width="25.5703125" style="5" bestFit="1" customWidth="1"/>
    <col min="5" max="5" width="25.5703125" style="5" customWidth="1"/>
    <col min="6" max="6" width="20.85546875" style="5" customWidth="1"/>
    <col min="7" max="8" width="27.28515625" style="5" customWidth="1"/>
    <col min="9" max="9" width="12.5703125" style="5" customWidth="1"/>
    <col min="10" max="10" width="12" style="5" customWidth="1"/>
    <col min="11" max="11" width="11.42578125" style="5" customWidth="1"/>
    <col min="12" max="12" width="12.140625" style="5" customWidth="1"/>
    <col min="13" max="14" width="12" style="5" customWidth="1"/>
    <col min="15" max="16384" width="11.42578125" style="5"/>
  </cols>
  <sheetData>
    <row r="1" spans="1:6" ht="15.75" thickBot="1" x14ac:dyDescent="0.3">
      <c r="A1" s="2" t="s">
        <v>16</v>
      </c>
      <c r="B1" s="3"/>
      <c r="C1" s="3"/>
      <c r="D1" s="3"/>
      <c r="E1" s="3"/>
      <c r="F1" s="4"/>
    </row>
    <row r="2" spans="1:6" x14ac:dyDescent="0.25">
      <c r="A2" s="6" t="s">
        <v>11</v>
      </c>
      <c r="B2" s="7"/>
      <c r="C2" s="8"/>
      <c r="D2" s="9" t="s">
        <v>10</v>
      </c>
      <c r="E2" s="10"/>
      <c r="F2" s="11" t="s">
        <v>17</v>
      </c>
    </row>
    <row r="3" spans="1:6" x14ac:dyDescent="0.25">
      <c r="A3" s="12" t="s">
        <v>18</v>
      </c>
      <c r="B3" s="13"/>
      <c r="C3" s="14"/>
      <c r="D3" s="15" t="s">
        <v>18</v>
      </c>
      <c r="E3" s="16"/>
      <c r="F3" s="17"/>
    </row>
    <row r="4" spans="1:6" x14ac:dyDescent="0.25">
      <c r="A4" s="12" t="s">
        <v>19</v>
      </c>
      <c r="B4" s="13"/>
      <c r="C4" s="14"/>
      <c r="D4" s="15" t="s">
        <v>20</v>
      </c>
      <c r="E4" s="16"/>
      <c r="F4" s="17"/>
    </row>
    <row r="5" spans="1:6" x14ac:dyDescent="0.25">
      <c r="A5" s="12" t="s">
        <v>21</v>
      </c>
      <c r="B5" s="13"/>
      <c r="C5" s="14"/>
      <c r="D5" s="15" t="s">
        <v>22</v>
      </c>
      <c r="E5" s="16"/>
      <c r="F5" s="17"/>
    </row>
    <row r="6" spans="1:6" x14ac:dyDescent="0.25">
      <c r="A6" s="12" t="s">
        <v>21</v>
      </c>
      <c r="B6" s="13"/>
      <c r="C6" s="14"/>
      <c r="D6" s="15" t="s">
        <v>23</v>
      </c>
      <c r="E6" s="16"/>
      <c r="F6" s="17"/>
    </row>
    <row r="7" spans="1:6" x14ac:dyDescent="0.25">
      <c r="A7" s="12" t="s">
        <v>24</v>
      </c>
      <c r="B7" s="13"/>
      <c r="C7" s="14"/>
      <c r="D7" s="15"/>
      <c r="E7" s="16"/>
      <c r="F7" s="17"/>
    </row>
    <row r="8" spans="1:6" x14ac:dyDescent="0.25">
      <c r="A8" s="12" t="s">
        <v>25</v>
      </c>
      <c r="B8" s="13"/>
      <c r="C8" s="14"/>
      <c r="D8" s="15" t="s">
        <v>26</v>
      </c>
      <c r="E8" s="16"/>
      <c r="F8" s="17"/>
    </row>
    <row r="9" spans="1:6" x14ac:dyDescent="0.25">
      <c r="A9" s="12" t="s">
        <v>27</v>
      </c>
      <c r="B9" s="13"/>
      <c r="C9" s="14"/>
      <c r="D9" s="15" t="s">
        <v>6</v>
      </c>
      <c r="E9" s="16"/>
      <c r="F9" s="17"/>
    </row>
    <row r="10" spans="1:6" x14ac:dyDescent="0.25">
      <c r="A10" s="12" t="s">
        <v>28</v>
      </c>
      <c r="B10" s="13"/>
      <c r="C10" s="14"/>
      <c r="D10" s="15" t="s">
        <v>7</v>
      </c>
      <c r="E10" s="16"/>
      <c r="F10" s="17"/>
    </row>
    <row r="11" spans="1:6" x14ac:dyDescent="0.25">
      <c r="A11" s="12" t="s">
        <v>29</v>
      </c>
      <c r="B11" s="13"/>
      <c r="C11" s="14"/>
      <c r="D11" s="15" t="s">
        <v>30</v>
      </c>
      <c r="E11" s="16"/>
      <c r="F11" s="17"/>
    </row>
    <row r="12" spans="1:6" x14ac:dyDescent="0.25">
      <c r="A12" s="12" t="s">
        <v>31</v>
      </c>
      <c r="B12" s="13"/>
      <c r="C12" s="14"/>
      <c r="D12" s="15" t="s">
        <v>32</v>
      </c>
      <c r="E12" s="16"/>
      <c r="F12" s="17"/>
    </row>
    <row r="13" spans="1:6" x14ac:dyDescent="0.25">
      <c r="A13" s="12" t="s">
        <v>8</v>
      </c>
      <c r="B13" s="13"/>
      <c r="C13" s="14"/>
      <c r="D13" s="15" t="s">
        <v>33</v>
      </c>
      <c r="E13" s="16"/>
      <c r="F13" s="17"/>
    </row>
    <row r="14" spans="1:6" x14ac:dyDescent="0.25">
      <c r="A14" s="12"/>
      <c r="B14" s="13"/>
      <c r="C14" s="14"/>
      <c r="D14" s="15" t="s">
        <v>34</v>
      </c>
      <c r="E14" s="16"/>
      <c r="F14" s="17"/>
    </row>
    <row r="15" spans="1:6" x14ac:dyDescent="0.25">
      <c r="A15" s="15"/>
      <c r="B15" s="13"/>
      <c r="C15" s="14"/>
      <c r="D15" s="15"/>
      <c r="E15" s="16"/>
      <c r="F15" s="17"/>
    </row>
    <row r="16" spans="1:6" ht="15.75" thickBot="1" x14ac:dyDescent="0.3">
      <c r="A16" s="18"/>
      <c r="B16" s="19"/>
      <c r="C16" s="20"/>
      <c r="D16" s="18"/>
      <c r="E16" s="21"/>
      <c r="F16" s="22"/>
    </row>
    <row r="17" spans="1:14" ht="15.75" thickBot="1" x14ac:dyDescent="0.3">
      <c r="A17" s="23" t="s">
        <v>35</v>
      </c>
      <c r="B17" s="263">
        <v>44927</v>
      </c>
      <c r="C17" s="264"/>
      <c r="D17" s="24" t="s">
        <v>36</v>
      </c>
      <c r="E17" s="261">
        <v>44957</v>
      </c>
      <c r="F17" s="262"/>
    </row>
    <row r="18" spans="1:14" ht="20.25" customHeight="1" thickBot="1" x14ac:dyDescent="0.3">
      <c r="A18" s="25" t="s">
        <v>37</v>
      </c>
      <c r="B18" s="26"/>
      <c r="C18" s="26"/>
      <c r="D18" s="26"/>
      <c r="E18" s="27"/>
      <c r="F18" s="28"/>
    </row>
    <row r="19" spans="1:14" ht="24" customHeight="1" thickBot="1" x14ac:dyDescent="0.3">
      <c r="A19" s="29" t="s">
        <v>37</v>
      </c>
      <c r="B19" s="30" t="s">
        <v>38</v>
      </c>
      <c r="C19" s="30" t="s">
        <v>39</v>
      </c>
      <c r="D19" s="31" t="s">
        <v>40</v>
      </c>
      <c r="E19" s="32"/>
      <c r="F19" s="33"/>
    </row>
    <row r="20" spans="1:14" s="39" customFormat="1" x14ac:dyDescent="0.25">
      <c r="A20" s="9" t="s">
        <v>9</v>
      </c>
      <c r="B20" s="34"/>
      <c r="C20" s="35"/>
      <c r="D20" s="36">
        <v>2500</v>
      </c>
      <c r="E20" s="37"/>
      <c r="F20" s="38"/>
      <c r="G20" s="5"/>
      <c r="H20" s="5"/>
      <c r="I20" s="5"/>
      <c r="J20" s="5"/>
      <c r="K20" s="5"/>
      <c r="L20" s="5"/>
      <c r="M20" s="5"/>
      <c r="N20" s="5"/>
    </row>
    <row r="21" spans="1:14" s="39" customFormat="1" x14ac:dyDescent="0.25">
      <c r="A21" s="40" t="s">
        <v>41</v>
      </c>
      <c r="B21" s="41"/>
      <c r="C21" s="42"/>
      <c r="D21" s="43"/>
      <c r="E21" s="44"/>
      <c r="F21" s="45"/>
      <c r="I21" s="5"/>
      <c r="J21" s="5"/>
      <c r="K21" s="5"/>
      <c r="L21" s="5"/>
      <c r="M21" s="5"/>
      <c r="N21" s="5"/>
    </row>
    <row r="22" spans="1:14" s="39" customFormat="1" x14ac:dyDescent="0.25">
      <c r="A22" s="40" t="s">
        <v>42</v>
      </c>
      <c r="B22" s="46"/>
      <c r="C22" s="47"/>
      <c r="D22" s="48"/>
      <c r="E22" s="49"/>
      <c r="F22" s="45"/>
      <c r="I22" s="5"/>
      <c r="J22" s="5"/>
      <c r="K22" s="5"/>
      <c r="L22" s="5"/>
      <c r="M22" s="5"/>
      <c r="N22" s="5"/>
    </row>
    <row r="23" spans="1:14" s="39" customFormat="1" x14ac:dyDescent="0.25">
      <c r="A23" s="40" t="s">
        <v>43</v>
      </c>
      <c r="B23" s="41"/>
      <c r="C23" s="42"/>
      <c r="D23" s="50"/>
      <c r="E23" s="51"/>
      <c r="F23" s="45"/>
      <c r="I23" s="5"/>
      <c r="J23" s="5"/>
      <c r="K23" s="5"/>
      <c r="L23" s="5"/>
      <c r="M23" s="5"/>
      <c r="N23" s="5"/>
    </row>
    <row r="24" spans="1:14" x14ac:dyDescent="0.25">
      <c r="A24" s="15" t="s">
        <v>44</v>
      </c>
      <c r="B24" s="225"/>
      <c r="C24" s="226">
        <f>D20/151.67*1.25</f>
        <v>20.603942770488565</v>
      </c>
      <c r="D24" s="226">
        <f>C24*B24</f>
        <v>0</v>
      </c>
      <c r="E24" s="54"/>
      <c r="F24" s="55"/>
      <c r="H24" s="224">
        <f>SUM(D20:D34)</f>
        <v>1750.0329999999999</v>
      </c>
    </row>
    <row r="25" spans="1:14" x14ac:dyDescent="0.25">
      <c r="A25" s="15" t="s">
        <v>45</v>
      </c>
      <c r="B25" s="225"/>
      <c r="C25" s="226">
        <f>D20/151.67*1.5</f>
        <v>24.724731324586276</v>
      </c>
      <c r="D25" s="226">
        <f t="shared" ref="D25:D30" si="0">C25*B25</f>
        <v>0</v>
      </c>
      <c r="E25" s="54"/>
      <c r="F25" s="56"/>
    </row>
    <row r="26" spans="1:14" x14ac:dyDescent="0.25">
      <c r="A26" s="15" t="s">
        <v>132</v>
      </c>
      <c r="B26" s="52"/>
      <c r="C26" s="53">
        <f>D20/151.67</f>
        <v>16.483154216390851</v>
      </c>
      <c r="D26" s="53">
        <f t="shared" si="0"/>
        <v>0</v>
      </c>
      <c r="E26" s="54"/>
      <c r="F26" s="56"/>
    </row>
    <row r="27" spans="1:14" x14ac:dyDescent="0.25">
      <c r="A27" s="15" t="s">
        <v>133</v>
      </c>
      <c r="B27" s="52"/>
      <c r="C27" s="53">
        <f>D20/151.67*0.25</f>
        <v>4.1207885540977127</v>
      </c>
      <c r="D27" s="53">
        <f t="shared" si="0"/>
        <v>0</v>
      </c>
      <c r="E27" s="54"/>
      <c r="F27" s="56"/>
    </row>
    <row r="28" spans="1:14" x14ac:dyDescent="0.25">
      <c r="A28" s="15" t="s">
        <v>46</v>
      </c>
      <c r="B28" s="57"/>
      <c r="C28" s="58"/>
      <c r="D28" s="53">
        <f t="shared" si="0"/>
        <v>0</v>
      </c>
      <c r="E28" s="59"/>
      <c r="F28" s="56"/>
    </row>
    <row r="29" spans="1:14" x14ac:dyDescent="0.25">
      <c r="A29" s="15" t="s">
        <v>47</v>
      </c>
      <c r="B29" s="60"/>
      <c r="C29" s="52"/>
      <c r="D29" s="53">
        <f t="shared" si="0"/>
        <v>0</v>
      </c>
      <c r="E29" s="54"/>
      <c r="F29" s="61"/>
    </row>
    <row r="30" spans="1:14" x14ac:dyDescent="0.25">
      <c r="A30" s="15" t="s">
        <v>48</v>
      </c>
      <c r="B30" s="62"/>
      <c r="C30" s="58"/>
      <c r="D30" s="53">
        <f t="shared" si="0"/>
        <v>0</v>
      </c>
      <c r="E30" s="59"/>
      <c r="F30" s="61"/>
    </row>
    <row r="31" spans="1:14" x14ac:dyDescent="0.25">
      <c r="A31" s="15"/>
      <c r="B31" s="63"/>
      <c r="C31" s="64"/>
      <c r="D31" s="65"/>
      <c r="E31" s="66"/>
      <c r="F31" s="67"/>
    </row>
    <row r="32" spans="1:14" ht="15.75" thickBot="1" x14ac:dyDescent="0.3">
      <c r="A32" s="5" t="s">
        <v>49</v>
      </c>
      <c r="B32" s="244">
        <v>91</v>
      </c>
      <c r="C32" s="278">
        <v>17.007000000000001</v>
      </c>
      <c r="D32" s="65">
        <f>-C32*B32</f>
        <v>-1547.6370000000002</v>
      </c>
      <c r="E32" s="68"/>
      <c r="F32" s="69"/>
    </row>
    <row r="33" spans="1:8" x14ac:dyDescent="0.25">
      <c r="A33" s="70" t="s">
        <v>50</v>
      </c>
      <c r="B33" s="71"/>
      <c r="C33" s="72"/>
      <c r="D33" s="65">
        <f>-575.4</f>
        <v>-575.4</v>
      </c>
      <c r="E33" s="73"/>
      <c r="F33" s="74"/>
    </row>
    <row r="34" spans="1:8" x14ac:dyDescent="0.25">
      <c r="A34" s="5" t="s">
        <v>51</v>
      </c>
      <c r="B34" s="244"/>
      <c r="C34" s="199"/>
      <c r="D34" s="65">
        <v>1373.07</v>
      </c>
      <c r="E34" s="73"/>
      <c r="F34" s="74"/>
    </row>
    <row r="35" spans="1:8" x14ac:dyDescent="0.25">
      <c r="A35" s="70" t="s">
        <v>52</v>
      </c>
      <c r="B35" s="71"/>
      <c r="C35" s="75"/>
      <c r="D35" s="76"/>
      <c r="E35" s="73"/>
      <c r="F35" s="74"/>
    </row>
    <row r="36" spans="1:8" ht="15.75" thickBot="1" x14ac:dyDescent="0.3">
      <c r="A36" s="77" t="s">
        <v>53</v>
      </c>
      <c r="B36" s="71"/>
      <c r="C36" s="78"/>
      <c r="D36" s="79"/>
      <c r="E36" s="73"/>
      <c r="F36" s="74"/>
    </row>
    <row r="37" spans="1:8" ht="16.5" thickTop="1" thickBot="1" x14ac:dyDescent="0.3">
      <c r="A37" s="80" t="s">
        <v>15</v>
      </c>
      <c r="B37" s="81"/>
      <c r="C37" s="82"/>
      <c r="D37" s="83">
        <f>SUM(D20:D36)</f>
        <v>1750.0329999999999</v>
      </c>
      <c r="E37" s="84"/>
      <c r="F37" s="74"/>
      <c r="H37" s="224">
        <f>D37-2763</f>
        <v>-1012.9670000000001</v>
      </c>
    </row>
    <row r="38" spans="1:8" x14ac:dyDescent="0.25">
      <c r="A38" s="85"/>
      <c r="B38" s="86"/>
      <c r="C38" s="87"/>
      <c r="D38" s="88"/>
      <c r="E38" s="89"/>
      <c r="F38" s="90"/>
    </row>
    <row r="39" spans="1:8" x14ac:dyDescent="0.25">
      <c r="A39" s="91" t="s">
        <v>54</v>
      </c>
      <c r="B39" s="92" t="s">
        <v>55</v>
      </c>
      <c r="C39" s="92" t="s">
        <v>56</v>
      </c>
      <c r="D39" s="92" t="s">
        <v>57</v>
      </c>
      <c r="E39" s="93"/>
      <c r="F39" s="94" t="s">
        <v>58</v>
      </c>
    </row>
    <row r="40" spans="1:8" x14ac:dyDescent="0.25">
      <c r="A40" s="95" t="s">
        <v>59</v>
      </c>
      <c r="B40" s="96"/>
      <c r="C40" s="97"/>
      <c r="D40" s="97"/>
      <c r="E40" s="98"/>
      <c r="F40" s="99"/>
    </row>
    <row r="41" spans="1:8" x14ac:dyDescent="0.25">
      <c r="A41" s="100" t="s">
        <v>60</v>
      </c>
      <c r="B41" s="101">
        <f>D37</f>
        <v>1750.0329999999999</v>
      </c>
      <c r="C41" s="102"/>
      <c r="D41" s="103"/>
      <c r="E41" s="104">
        <v>7.0000000000000007E-2</v>
      </c>
      <c r="F41" s="105">
        <f>E41*B41</f>
        <v>122.50231000000001</v>
      </c>
      <c r="G41" s="106"/>
    </row>
    <row r="42" spans="1:8" x14ac:dyDescent="0.25">
      <c r="A42" s="107" t="s">
        <v>61</v>
      </c>
      <c r="B42" s="101">
        <f>D37</f>
        <v>1750.0329999999999</v>
      </c>
      <c r="C42" s="108">
        <v>1.2500000000000001E-2</v>
      </c>
      <c r="D42" s="109">
        <f>C42*B42</f>
        <v>21.875412499999999</v>
      </c>
      <c r="E42" s="110">
        <v>0.03</v>
      </c>
      <c r="F42" s="105">
        <f>E42*B42</f>
        <v>52.500989999999994</v>
      </c>
      <c r="G42" s="106"/>
      <c r="H42" s="106"/>
    </row>
    <row r="43" spans="1:8" x14ac:dyDescent="0.25">
      <c r="A43" s="100" t="s">
        <v>62</v>
      </c>
      <c r="B43" s="101">
        <f>+D37</f>
        <v>1750.0329999999999</v>
      </c>
      <c r="C43" s="108">
        <v>7.4999999999999997E-3</v>
      </c>
      <c r="D43" s="109">
        <f>C43*B43</f>
        <v>13.125247499999999</v>
      </c>
      <c r="E43" s="111">
        <v>1.4999999999999999E-2</v>
      </c>
      <c r="F43" s="105">
        <f>E43*B43</f>
        <v>26.250494999999997</v>
      </c>
      <c r="G43" s="106"/>
      <c r="H43" s="106"/>
    </row>
    <row r="44" spans="1:8" x14ac:dyDescent="0.25">
      <c r="A44" s="100" t="s">
        <v>63</v>
      </c>
      <c r="B44" s="101"/>
      <c r="C44" s="108"/>
      <c r="D44" s="109"/>
      <c r="E44" s="112"/>
      <c r="F44" s="105"/>
      <c r="G44" s="106"/>
      <c r="H44" s="106"/>
    </row>
    <row r="45" spans="1:8" x14ac:dyDescent="0.25">
      <c r="A45" s="95" t="s">
        <v>64</v>
      </c>
      <c r="B45" s="101">
        <f>D37</f>
        <v>1750.0329999999999</v>
      </c>
      <c r="C45" s="107"/>
      <c r="D45" s="101"/>
      <c r="E45" s="113">
        <v>2.7E-2</v>
      </c>
      <c r="F45" s="105">
        <f>E45*B45</f>
        <v>47.250890999999996</v>
      </c>
      <c r="G45" s="106"/>
      <c r="H45" s="106"/>
    </row>
    <row r="46" spans="1:8" x14ac:dyDescent="0.25">
      <c r="A46" s="95" t="s">
        <v>65</v>
      </c>
      <c r="B46" s="96"/>
      <c r="C46" s="97"/>
      <c r="D46" s="97"/>
      <c r="E46" s="98"/>
      <c r="F46" s="99"/>
      <c r="G46" s="106"/>
      <c r="H46" s="106"/>
    </row>
    <row r="47" spans="1:8" x14ac:dyDescent="0.25">
      <c r="A47" s="100" t="s">
        <v>66</v>
      </c>
      <c r="B47" s="101">
        <f>B45</f>
        <v>1750.0329999999999</v>
      </c>
      <c r="C47" s="108">
        <v>6.9000000000000006E-2</v>
      </c>
      <c r="D47" s="109">
        <f t="shared" ref="D47:D49" si="1">C47*B47</f>
        <v>120.75227700000001</v>
      </c>
      <c r="E47" s="111">
        <f>'[5]Exercice 2'!E47</f>
        <v>8.5500000000000007E-2</v>
      </c>
      <c r="F47" s="105">
        <f t="shared" ref="F47:F49" si="2">E47*B47</f>
        <v>149.62782150000001</v>
      </c>
      <c r="G47" s="106"/>
      <c r="H47" s="106"/>
    </row>
    <row r="48" spans="1:8" x14ac:dyDescent="0.25">
      <c r="A48" s="100" t="s">
        <v>67</v>
      </c>
      <c r="B48" s="101">
        <f>B47</f>
        <v>1750.0329999999999</v>
      </c>
      <c r="C48" s="108">
        <v>4.0000000000000001E-3</v>
      </c>
      <c r="D48" s="109">
        <f t="shared" si="1"/>
        <v>7.0001319999999998</v>
      </c>
      <c r="E48" s="111">
        <f>'[5]Exercice 2'!E48</f>
        <v>1.9E-2</v>
      </c>
      <c r="F48" s="105">
        <f t="shared" si="2"/>
        <v>33.250626999999994</v>
      </c>
      <c r="G48" s="106"/>
      <c r="H48" s="106"/>
    </row>
    <row r="49" spans="1:9" x14ac:dyDescent="0.25">
      <c r="A49" s="100" t="s">
        <v>68</v>
      </c>
      <c r="B49" s="101">
        <f>B48</f>
        <v>1750.0329999999999</v>
      </c>
      <c r="C49" s="108">
        <v>4.0099999999999997E-2</v>
      </c>
      <c r="D49" s="109">
        <f t="shared" si="1"/>
        <v>70.176323299999993</v>
      </c>
      <c r="E49" s="111">
        <f>'[5]Exercice 2'!E49</f>
        <v>6.0100000000000001E-2</v>
      </c>
      <c r="F49" s="105">
        <f t="shared" si="2"/>
        <v>105.17698329999999</v>
      </c>
      <c r="G49" s="106"/>
      <c r="H49" s="106"/>
    </row>
    <row r="50" spans="1:9" x14ac:dyDescent="0.25">
      <c r="A50" s="100" t="s">
        <v>69</v>
      </c>
      <c r="B50" s="101"/>
      <c r="C50" s="108"/>
      <c r="D50" s="109"/>
      <c r="E50" s="111">
        <f t="shared" ref="E50:E51" si="3">G46</f>
        <v>0</v>
      </c>
      <c r="F50" s="105"/>
      <c r="G50" s="106"/>
      <c r="H50" s="106"/>
    </row>
    <row r="51" spans="1:9" x14ac:dyDescent="0.25">
      <c r="A51" s="100" t="s">
        <v>70</v>
      </c>
      <c r="B51" s="101"/>
      <c r="C51" s="108"/>
      <c r="D51" s="109"/>
      <c r="E51" s="111">
        <f t="shared" si="3"/>
        <v>0</v>
      </c>
      <c r="F51" s="105"/>
      <c r="G51" s="106"/>
      <c r="H51" s="106"/>
    </row>
    <row r="52" spans="1:9" x14ac:dyDescent="0.25">
      <c r="A52" s="100" t="s">
        <v>71</v>
      </c>
      <c r="B52" s="101"/>
      <c r="C52" s="108"/>
      <c r="D52" s="109"/>
      <c r="E52" s="112"/>
      <c r="F52" s="105"/>
      <c r="G52" s="106"/>
      <c r="H52" s="106"/>
    </row>
    <row r="53" spans="1:9" x14ac:dyDescent="0.25">
      <c r="A53" s="95" t="s">
        <v>72</v>
      </c>
      <c r="B53" s="101">
        <f>D37</f>
        <v>1750.0329999999999</v>
      </c>
      <c r="C53" s="114"/>
      <c r="D53" s="101"/>
      <c r="E53" s="113">
        <v>3.4500000000000003E-2</v>
      </c>
      <c r="F53" s="105">
        <f t="shared" ref="F53:F54" si="4">E53*B53</f>
        <v>60.376138500000003</v>
      </c>
      <c r="G53" s="106"/>
      <c r="H53" s="106"/>
    </row>
    <row r="54" spans="1:9" x14ac:dyDescent="0.25">
      <c r="A54" s="95" t="s">
        <v>73</v>
      </c>
      <c r="B54" s="101">
        <f>B53</f>
        <v>1750.0329999999999</v>
      </c>
      <c r="C54" s="114"/>
      <c r="D54" s="101"/>
      <c r="E54" s="113">
        <v>4.2000000000000003E-2</v>
      </c>
      <c r="F54" s="105">
        <f t="shared" si="4"/>
        <v>73.501385999999997</v>
      </c>
      <c r="G54" s="106"/>
      <c r="H54" s="106"/>
    </row>
    <row r="55" spans="1:9" x14ac:dyDescent="0.25">
      <c r="A55" s="100" t="s">
        <v>74</v>
      </c>
      <c r="B55" s="101"/>
      <c r="C55" s="115">
        <v>2.4000000000000001E-4</v>
      </c>
      <c r="D55" s="101">
        <f>+C55*B55</f>
        <v>0</v>
      </c>
      <c r="E55" s="116">
        <v>3.6000000000000002E-4</v>
      </c>
      <c r="F55" s="105">
        <f>+E55*B55</f>
        <v>0</v>
      </c>
      <c r="G55" s="106"/>
      <c r="H55" s="106"/>
    </row>
    <row r="56" spans="1:9" x14ac:dyDescent="0.25">
      <c r="A56" s="95" t="s">
        <v>75</v>
      </c>
      <c r="B56" s="101"/>
      <c r="C56" s="114"/>
      <c r="D56" s="101"/>
      <c r="E56" s="117"/>
      <c r="F56" s="105">
        <f>D141</f>
        <v>28.805543179999997</v>
      </c>
      <c r="G56" s="106"/>
      <c r="H56" s="106"/>
    </row>
    <row r="57" spans="1:9" x14ac:dyDescent="0.25">
      <c r="A57" s="95"/>
      <c r="B57" s="101"/>
      <c r="C57" s="101"/>
      <c r="D57" s="101"/>
      <c r="E57" s="117"/>
      <c r="F57" s="118"/>
      <c r="G57" s="106"/>
      <c r="H57" s="106"/>
    </row>
    <row r="58" spans="1:9" x14ac:dyDescent="0.25">
      <c r="A58" s="119" t="s">
        <v>76</v>
      </c>
      <c r="B58" s="101"/>
      <c r="C58" s="101"/>
      <c r="D58" s="101"/>
      <c r="E58" s="117"/>
      <c r="F58" s="118"/>
      <c r="G58" s="106"/>
      <c r="H58" s="106"/>
    </row>
    <row r="59" spans="1:9" ht="18" customHeight="1" x14ac:dyDescent="0.25">
      <c r="A59" s="100"/>
      <c r="B59" s="101"/>
      <c r="C59" s="115"/>
      <c r="D59" s="101"/>
      <c r="E59" s="117"/>
      <c r="F59" s="105"/>
      <c r="G59" s="106"/>
      <c r="H59" s="106"/>
    </row>
    <row r="60" spans="1:9" ht="18" customHeight="1" x14ac:dyDescent="0.25">
      <c r="A60" s="95" t="s">
        <v>77</v>
      </c>
      <c r="B60" s="101">
        <f>((D37*0.9825)+(F42+F43))</f>
        <v>1798.1589074999999</v>
      </c>
      <c r="C60" s="108">
        <v>6.8000000000000005E-2</v>
      </c>
      <c r="D60" s="109">
        <f>C60*B60</f>
        <v>122.27480571000001</v>
      </c>
      <c r="E60" s="112"/>
      <c r="F60" s="105"/>
    </row>
    <row r="61" spans="1:9" ht="18" customHeight="1" x14ac:dyDescent="0.25">
      <c r="A61" s="120" t="s">
        <v>78</v>
      </c>
      <c r="B61" s="121">
        <f>B60</f>
        <v>1798.1589074999999</v>
      </c>
      <c r="C61" s="122">
        <v>2.9000000000000001E-2</v>
      </c>
      <c r="D61" s="109">
        <f>C61*B61</f>
        <v>52.146608317500004</v>
      </c>
      <c r="E61" s="112"/>
      <c r="F61" s="123"/>
      <c r="H61" s="5" t="s">
        <v>165</v>
      </c>
      <c r="I61" s="224">
        <f>D76</f>
        <v>1447.3297919899999</v>
      </c>
    </row>
    <row r="62" spans="1:9" ht="18" customHeight="1" x14ac:dyDescent="0.25">
      <c r="A62" s="124" t="s">
        <v>79</v>
      </c>
      <c r="B62" s="121">
        <f>I38*0.9825</f>
        <v>0</v>
      </c>
      <c r="C62" s="122">
        <v>9.7000000000000003E-2</v>
      </c>
      <c r="D62" s="109">
        <f>C62*B62</f>
        <v>0</v>
      </c>
      <c r="E62" s="126"/>
      <c r="F62" s="123"/>
      <c r="H62" s="5" t="s">
        <v>183</v>
      </c>
      <c r="I62" s="224">
        <v>575.4</v>
      </c>
    </row>
    <row r="63" spans="1:9" ht="18" customHeight="1" x14ac:dyDescent="0.25">
      <c r="A63" s="127" t="s">
        <v>80</v>
      </c>
      <c r="B63" s="227">
        <f>I38</f>
        <v>0</v>
      </c>
      <c r="C63" s="228">
        <v>-0.11310000000000001</v>
      </c>
      <c r="D63" s="125">
        <f>C63*B63</f>
        <v>0</v>
      </c>
      <c r="E63" s="128"/>
      <c r="F63" s="129"/>
      <c r="H63" s="5" t="s">
        <v>166</v>
      </c>
      <c r="I63" s="230">
        <f>I62*3.8/100</f>
        <v>21.865200000000002</v>
      </c>
    </row>
    <row r="64" spans="1:9" ht="18" customHeight="1" x14ac:dyDescent="0.25">
      <c r="A64" s="127" t="s">
        <v>80</v>
      </c>
      <c r="B64" s="128"/>
      <c r="C64" s="128"/>
      <c r="D64" s="128"/>
      <c r="E64" s="229">
        <v>-1.5</v>
      </c>
      <c r="F64" s="129">
        <f>E64*B64</f>
        <v>0</v>
      </c>
      <c r="H64" s="5" t="s">
        <v>167</v>
      </c>
      <c r="I64" s="224">
        <f>I62-I63</f>
        <v>553.53480000000002</v>
      </c>
    </row>
    <row r="65" spans="1:9" ht="18" customHeight="1" x14ac:dyDescent="0.25">
      <c r="A65" s="120" t="s">
        <v>81</v>
      </c>
      <c r="B65" s="125"/>
      <c r="C65" s="130"/>
      <c r="D65" s="131">
        <f>SUM(D41:D63)</f>
        <v>407.35080632750004</v>
      </c>
      <c r="E65" s="131"/>
      <c r="F65" s="131">
        <f>SUM(F41:F64)</f>
        <v>699.24318547999997</v>
      </c>
      <c r="H65" s="5" t="s">
        <v>168</v>
      </c>
      <c r="I65" s="224">
        <f>+I61+I64</f>
        <v>2000.86459199</v>
      </c>
    </row>
    <row r="66" spans="1:9" ht="18" customHeight="1" x14ac:dyDescent="0.25">
      <c r="A66" s="120"/>
      <c r="B66" s="125"/>
      <c r="C66" s="130"/>
      <c r="D66" s="131"/>
      <c r="E66" s="132"/>
      <c r="F66" s="133"/>
    </row>
    <row r="67" spans="1:9" x14ac:dyDescent="0.25">
      <c r="A67" s="134" t="s">
        <v>13</v>
      </c>
      <c r="B67" s="125"/>
      <c r="C67" s="130"/>
      <c r="D67" s="131"/>
      <c r="E67" s="132"/>
      <c r="F67" s="133"/>
    </row>
    <row r="68" spans="1:9" x14ac:dyDescent="0.25">
      <c r="A68" s="134" t="s">
        <v>82</v>
      </c>
      <c r="B68" s="125"/>
      <c r="C68" s="130"/>
      <c r="D68" s="131"/>
      <c r="E68" s="132"/>
      <c r="F68" s="133"/>
    </row>
    <row r="69" spans="1:9" x14ac:dyDescent="0.25">
      <c r="A69" s="134" t="s">
        <v>83</v>
      </c>
      <c r="B69" s="125"/>
      <c r="C69" s="130"/>
      <c r="D69" s="131"/>
      <c r="E69" s="132"/>
      <c r="F69" s="133"/>
    </row>
    <row r="70" spans="1:9" ht="15.75" customHeight="1" x14ac:dyDescent="0.25">
      <c r="A70" s="134" t="s">
        <v>84</v>
      </c>
      <c r="B70" s="135"/>
      <c r="C70" s="130"/>
      <c r="D70" s="131"/>
      <c r="E70" s="132"/>
      <c r="F70" s="133"/>
    </row>
    <row r="71" spans="1:9" x14ac:dyDescent="0.25">
      <c r="A71" s="134" t="s">
        <v>85</v>
      </c>
      <c r="B71" s="125"/>
      <c r="C71" s="130"/>
      <c r="D71" s="131"/>
      <c r="E71" s="132"/>
      <c r="F71" s="133"/>
    </row>
    <row r="72" spans="1:9" x14ac:dyDescent="0.25">
      <c r="A72" s="134" t="s">
        <v>134</v>
      </c>
      <c r="B72" s="125"/>
      <c r="C72" s="130"/>
      <c r="D72" s="131"/>
      <c r="E72" s="132"/>
      <c r="F72" s="133"/>
    </row>
    <row r="73" spans="1:9" ht="15.75" thickBot="1" x14ac:dyDescent="0.3">
      <c r="A73" s="120" t="s">
        <v>182</v>
      </c>
      <c r="B73" s="125"/>
      <c r="C73" s="130"/>
      <c r="D73" s="131">
        <f>+D37-D65</f>
        <v>1342.6821936724998</v>
      </c>
      <c r="E73" s="132"/>
      <c r="F73" s="136"/>
    </row>
    <row r="74" spans="1:9" x14ac:dyDescent="0.25">
      <c r="A74" s="276"/>
      <c r="B74" s="125"/>
      <c r="C74" s="130"/>
      <c r="D74" s="131"/>
      <c r="E74" s="132"/>
      <c r="F74" s="277"/>
    </row>
    <row r="75" spans="1:9" s="63" customFormat="1" x14ac:dyDescent="0.25">
      <c r="A75" s="144" t="s">
        <v>88</v>
      </c>
      <c r="B75" s="144" t="s">
        <v>89</v>
      </c>
      <c r="C75" s="144" t="s">
        <v>90</v>
      </c>
      <c r="D75" s="147" t="s">
        <v>91</v>
      </c>
      <c r="E75" s="147"/>
      <c r="F75" s="148" t="s">
        <v>92</v>
      </c>
    </row>
    <row r="76" spans="1:9" s="63" customFormat="1" x14ac:dyDescent="0.25">
      <c r="A76" s="149" t="s">
        <v>14</v>
      </c>
      <c r="D76" s="151">
        <f>D37+F42+D61-D65</f>
        <v>1447.3297919899999</v>
      </c>
      <c r="E76" s="152"/>
      <c r="F76" s="153"/>
    </row>
    <row r="77" spans="1:9" s="63" customFormat="1" x14ac:dyDescent="0.25">
      <c r="A77" s="149" t="s">
        <v>93</v>
      </c>
      <c r="B77" s="154">
        <f>I65</f>
        <v>2000.86459199</v>
      </c>
      <c r="C77" s="279">
        <v>0.06</v>
      </c>
      <c r="D77" s="151">
        <f>C77*B77</f>
        <v>120.0518755194</v>
      </c>
      <c r="E77" s="152"/>
      <c r="F77" s="153"/>
    </row>
    <row r="78" spans="1:9" s="63" customFormat="1" x14ac:dyDescent="0.25">
      <c r="A78" s="149" t="s">
        <v>94</v>
      </c>
      <c r="B78" s="150"/>
      <c r="C78" s="151"/>
      <c r="D78" s="151"/>
      <c r="E78" s="152"/>
      <c r="F78" s="153"/>
    </row>
    <row r="79" spans="1:9" s="63" customFormat="1" x14ac:dyDescent="0.25">
      <c r="A79" s="149"/>
      <c r="B79" s="150"/>
      <c r="C79" s="139"/>
      <c r="D79" s="139"/>
      <c r="E79" s="152"/>
      <c r="F79" s="156"/>
    </row>
    <row r="80" spans="1:9" s="63" customFormat="1" x14ac:dyDescent="0.25">
      <c r="A80" s="137" t="s">
        <v>95</v>
      </c>
      <c r="B80" s="151"/>
      <c r="C80" s="139"/>
      <c r="D80" s="151">
        <f>D73-D77</f>
        <v>1222.6303181530998</v>
      </c>
      <c r="E80" s="152"/>
      <c r="F80" s="153"/>
    </row>
    <row r="81" spans="1:6" s="63" customFormat="1" x14ac:dyDescent="0.25">
      <c r="A81" s="149" t="s">
        <v>96</v>
      </c>
      <c r="B81" s="139"/>
      <c r="C81" s="139"/>
      <c r="D81" s="139"/>
      <c r="E81" s="152"/>
      <c r="F81" s="153"/>
    </row>
    <row r="82" spans="1:6" s="63" customFormat="1" x14ac:dyDescent="0.25">
      <c r="A82" s="149" t="s">
        <v>97</v>
      </c>
      <c r="B82" s="157"/>
      <c r="C82" s="139"/>
      <c r="D82" s="139"/>
      <c r="E82" s="152"/>
      <c r="F82" s="153"/>
    </row>
    <row r="83" spans="1:6" s="63" customFormat="1" ht="15.75" thickBot="1" x14ac:dyDescent="0.3">
      <c r="A83" s="158" t="s">
        <v>98</v>
      </c>
      <c r="B83" s="159"/>
      <c r="C83" s="159"/>
      <c r="D83" s="159"/>
      <c r="E83" s="160"/>
      <c r="F83" s="161"/>
    </row>
    <row r="84" spans="1:6" s="63" customFormat="1" x14ac:dyDescent="0.25">
      <c r="A84" s="272"/>
      <c r="B84" s="273"/>
      <c r="C84" s="273"/>
      <c r="D84" s="273"/>
      <c r="E84" s="273"/>
      <c r="F84" s="274"/>
    </row>
    <row r="86" spans="1:6" hidden="1" x14ac:dyDescent="0.25"/>
    <row r="87" spans="1:6" hidden="1" x14ac:dyDescent="0.25">
      <c r="A87" s="265" t="s">
        <v>75</v>
      </c>
      <c r="B87" s="266"/>
    </row>
    <row r="88" spans="1:6" hidden="1" x14ac:dyDescent="0.25">
      <c r="A88" s="162"/>
      <c r="B88" s="163"/>
      <c r="C88" s="267">
        <f>D37</f>
        <v>1750.0329999999999</v>
      </c>
      <c r="D88" s="164"/>
    </row>
    <row r="89" spans="1:6" hidden="1" x14ac:dyDescent="0.25">
      <c r="A89" s="165" t="s">
        <v>99</v>
      </c>
      <c r="B89" s="166" t="e">
        <f>IF(#REF!&gt;=11,#REF!,0)</f>
        <v>#REF!</v>
      </c>
      <c r="C89" s="268"/>
      <c r="D89" s="167" t="e">
        <f>$C$88*B89</f>
        <v>#REF!</v>
      </c>
    </row>
    <row r="90" spans="1:6" hidden="1" x14ac:dyDescent="0.25">
      <c r="A90" s="165" t="s">
        <v>100</v>
      </c>
      <c r="B90" s="166" t="e">
        <f>IF(#REF!&lt;50,0%,0.5%)</f>
        <v>#REF!</v>
      </c>
      <c r="C90" s="268"/>
      <c r="D90" s="167" t="e">
        <f t="shared" ref="D90:D95" si="5">$C$88*B90</f>
        <v>#REF!</v>
      </c>
    </row>
    <row r="91" spans="1:6" hidden="1" x14ac:dyDescent="0.25">
      <c r="A91" s="165" t="s">
        <v>101</v>
      </c>
      <c r="B91" s="166">
        <v>1.6000000000000001E-4</v>
      </c>
      <c r="C91" s="268"/>
      <c r="D91" s="167">
        <f t="shared" si="5"/>
        <v>0.28000528000000002</v>
      </c>
    </row>
    <row r="92" spans="1:6" hidden="1" x14ac:dyDescent="0.25">
      <c r="A92" s="165" t="s">
        <v>102</v>
      </c>
      <c r="B92" s="166">
        <v>3.0000000000000001E-3</v>
      </c>
      <c r="C92" s="268"/>
      <c r="D92" s="167">
        <f t="shared" si="5"/>
        <v>5.2500989999999996</v>
      </c>
    </row>
    <row r="93" spans="1:6" hidden="1" x14ac:dyDescent="0.25">
      <c r="A93" s="165" t="s">
        <v>103</v>
      </c>
      <c r="B93" s="166">
        <v>5.8999999999999999E-3</v>
      </c>
      <c r="C93" s="268"/>
      <c r="D93" s="167">
        <f t="shared" si="5"/>
        <v>10.325194699999999</v>
      </c>
    </row>
    <row r="94" spans="1:6" hidden="1" x14ac:dyDescent="0.25">
      <c r="A94" s="165" t="s">
        <v>104</v>
      </c>
      <c r="B94" s="166" t="e">
        <f>IF(#REF!&lt;11,0.55%,1%)</f>
        <v>#REF!</v>
      </c>
      <c r="C94" s="268"/>
      <c r="D94" s="167" t="e">
        <f t="shared" si="5"/>
        <v>#REF!</v>
      </c>
    </row>
    <row r="95" spans="1:6" hidden="1" x14ac:dyDescent="0.25">
      <c r="A95" s="165" t="s">
        <v>105</v>
      </c>
      <c r="B95" s="166" t="e">
        <f>IF(#REF!&lt;=50,0,0.45%)</f>
        <v>#REF!</v>
      </c>
      <c r="C95" s="268"/>
      <c r="D95" s="167" t="e">
        <f t="shared" si="5"/>
        <v>#REF!</v>
      </c>
    </row>
    <row r="96" spans="1:6" hidden="1" x14ac:dyDescent="0.25">
      <c r="A96" s="15"/>
      <c r="B96" s="52"/>
      <c r="C96" s="52"/>
      <c r="D96" s="17"/>
    </row>
    <row r="97" spans="1:4" hidden="1" x14ac:dyDescent="0.25">
      <c r="A97" s="15" t="s">
        <v>106</v>
      </c>
      <c r="B97" s="168" t="e">
        <f>IF(#REF!&gt;=11,+F38+F39+F40,0)</f>
        <v>#REF!</v>
      </c>
      <c r="C97" s="169">
        <v>0.08</v>
      </c>
      <c r="D97" s="170" t="e">
        <f>C97*B97</f>
        <v>#REF!</v>
      </c>
    </row>
    <row r="98" spans="1:4" ht="15.75" hidden="1" thickBot="1" x14ac:dyDescent="0.3">
      <c r="A98" s="18" t="s">
        <v>107</v>
      </c>
      <c r="B98" s="171">
        <f>D37</f>
        <v>1750.0329999999999</v>
      </c>
      <c r="C98" s="172">
        <v>1E-3</v>
      </c>
      <c r="D98" s="173">
        <f>C98*B98</f>
        <v>1.7500329999999999</v>
      </c>
    </row>
    <row r="99" spans="1:4" hidden="1" x14ac:dyDescent="0.25"/>
    <row r="100" spans="1:4" ht="15.75" hidden="1" thickBot="1" x14ac:dyDescent="0.3">
      <c r="A100" s="174" t="s">
        <v>108</v>
      </c>
      <c r="B100" s="175"/>
      <c r="C100" s="175"/>
      <c r="D100" s="176" t="e">
        <f>SUM(D89:D98)</f>
        <v>#REF!</v>
      </c>
    </row>
    <row r="101" spans="1:4" hidden="1" x14ac:dyDescent="0.25"/>
    <row r="102" spans="1:4" ht="15.75" hidden="1" thickBot="1" x14ac:dyDescent="0.3">
      <c r="A102" s="269" t="s">
        <v>109</v>
      </c>
      <c r="B102" s="270"/>
      <c r="C102" s="270"/>
      <c r="D102" s="271"/>
    </row>
    <row r="103" spans="1:4" hidden="1" x14ac:dyDescent="0.25">
      <c r="A103" s="177" t="s">
        <v>110</v>
      </c>
      <c r="B103" s="178">
        <f>D37</f>
        <v>1750.0329999999999</v>
      </c>
      <c r="C103" s="179">
        <v>2.4E-2</v>
      </c>
      <c r="D103" s="180">
        <f>C103*B103</f>
        <v>42.000791999999997</v>
      </c>
    </row>
    <row r="104" spans="1:4" hidden="1" x14ac:dyDescent="0.25">
      <c r="A104" s="181" t="s">
        <v>0</v>
      </c>
      <c r="B104" s="178">
        <f>B103</f>
        <v>1750.0329999999999</v>
      </c>
      <c r="C104" s="182">
        <v>7.4999999999999997E-3</v>
      </c>
      <c r="D104" s="183">
        <f>C104*B104</f>
        <v>13.125247499999999</v>
      </c>
    </row>
    <row r="105" spans="1:4" hidden="1" x14ac:dyDescent="0.25">
      <c r="A105" s="181" t="s">
        <v>111</v>
      </c>
      <c r="B105" s="178">
        <f>B60</f>
        <v>1798.1589074999999</v>
      </c>
      <c r="C105" s="182">
        <v>-1.7000000000000001E-2</v>
      </c>
      <c r="D105" s="183">
        <f>C105*B105</f>
        <v>-30.568701427500002</v>
      </c>
    </row>
    <row r="106" spans="1:4" hidden="1" x14ac:dyDescent="0.25">
      <c r="A106" s="120"/>
      <c r="B106" s="184"/>
      <c r="C106" s="185"/>
      <c r="D106" s="186"/>
    </row>
    <row r="107" spans="1:4" ht="15.75" hidden="1" thickBot="1" x14ac:dyDescent="0.3">
      <c r="A107" s="187" t="s">
        <v>112</v>
      </c>
      <c r="B107" s="188"/>
      <c r="C107" s="189"/>
      <c r="D107" s="190">
        <f>SUM(D103:D106)</f>
        <v>24.557338072499995</v>
      </c>
    </row>
    <row r="108" spans="1:4" hidden="1" x14ac:dyDescent="0.25">
      <c r="A108" s="191"/>
      <c r="B108" s="191"/>
      <c r="C108" s="191"/>
      <c r="D108" s="191"/>
    </row>
    <row r="109" spans="1:4" hidden="1" x14ac:dyDescent="0.25">
      <c r="A109" s="191"/>
      <c r="B109" s="191"/>
      <c r="C109" s="191"/>
      <c r="D109" s="191"/>
    </row>
    <row r="110" spans="1:4" ht="15.75" hidden="1" thickBot="1" x14ac:dyDescent="0.3">
      <c r="A110" s="269" t="s">
        <v>113</v>
      </c>
      <c r="B110" s="270"/>
      <c r="C110" s="270"/>
      <c r="D110" s="271"/>
    </row>
    <row r="111" spans="1:4" hidden="1" x14ac:dyDescent="0.25">
      <c r="A111" s="192" t="s">
        <v>114</v>
      </c>
      <c r="B111" s="193"/>
      <c r="C111" s="193"/>
      <c r="D111" s="194">
        <f>-F63</f>
        <v>0</v>
      </c>
    </row>
    <row r="112" spans="1:4" hidden="1" x14ac:dyDescent="0.25">
      <c r="A112" s="195" t="s">
        <v>115</v>
      </c>
      <c r="B112" s="196">
        <f>B62</f>
        <v>0</v>
      </c>
      <c r="C112" s="197">
        <v>1.5</v>
      </c>
      <c r="D112" s="198">
        <f>C112*B112</f>
        <v>0</v>
      </c>
    </row>
    <row r="113" spans="1:13" hidden="1" x14ac:dyDescent="0.25">
      <c r="A113" s="195" t="s">
        <v>116</v>
      </c>
      <c r="B113" s="199">
        <f>D37</f>
        <v>1750.0329999999999</v>
      </c>
      <c r="C113" s="182">
        <v>1.7999999999999999E-2</v>
      </c>
      <c r="D113" s="198">
        <f>C113*B113</f>
        <v>31.500593999999996</v>
      </c>
    </row>
    <row r="114" spans="1:13" hidden="1" x14ac:dyDescent="0.25">
      <c r="A114" s="195" t="s">
        <v>117</v>
      </c>
      <c r="B114" s="199">
        <f>B113</f>
        <v>1750.0329999999999</v>
      </c>
      <c r="C114" s="182">
        <v>0.06</v>
      </c>
      <c r="D114" s="198">
        <f>C114*B114</f>
        <v>105.00197999999999</v>
      </c>
    </row>
    <row r="115" spans="1:13" ht="15.75" hidden="1" thickBot="1" x14ac:dyDescent="0.3">
      <c r="A115" s="200" t="s">
        <v>118</v>
      </c>
      <c r="B115" s="201"/>
      <c r="C115" s="201"/>
      <c r="D115" s="202">
        <f>D111+D112+D113+D114</f>
        <v>136.50257399999998</v>
      </c>
    </row>
    <row r="116" spans="1:13" hidden="1" x14ac:dyDescent="0.25"/>
    <row r="117" spans="1:13" hidden="1" x14ac:dyDescent="0.25"/>
    <row r="118" spans="1:13" hidden="1" x14ac:dyDescent="0.25"/>
    <row r="119" spans="1:13" hidden="1" x14ac:dyDescent="0.25"/>
    <row r="121" spans="1:13" ht="15.75" thickBot="1" x14ac:dyDescent="0.3">
      <c r="A121" s="203" t="s">
        <v>87</v>
      </c>
      <c r="G121" s="250" t="s">
        <v>169</v>
      </c>
      <c r="H121" s="250"/>
      <c r="I121" s="251">
        <f>+C156</f>
        <v>20.333160000000003</v>
      </c>
    </row>
    <row r="122" spans="1:13" x14ac:dyDescent="0.25">
      <c r="A122" s="204" t="s">
        <v>119</v>
      </c>
      <c r="B122" s="205">
        <f>-1.7%*B60</f>
        <v>-30.568701427500002</v>
      </c>
      <c r="D122" s="275"/>
      <c r="G122" s="252">
        <v>21</v>
      </c>
      <c r="H122" s="251">
        <f>+C173</f>
        <v>19.600901020408163</v>
      </c>
      <c r="I122" s="253">
        <f>+H122*G122</f>
        <v>411.61892142857141</v>
      </c>
    </row>
    <row r="123" spans="1:13" x14ac:dyDescent="0.25">
      <c r="A123" s="206" t="s">
        <v>120</v>
      </c>
      <c r="B123" s="207">
        <f>$D$37*0.75%</f>
        <v>13.125247499999999</v>
      </c>
      <c r="G123" s="250"/>
      <c r="H123" s="250"/>
      <c r="I123" s="251" t="e">
        <f>+#REF!</f>
        <v>#REF!</v>
      </c>
    </row>
    <row r="124" spans="1:13" x14ac:dyDescent="0.25">
      <c r="A124" s="206" t="s">
        <v>121</v>
      </c>
      <c r="B124" s="207">
        <f>$D$37*2.4%</f>
        <v>42.000791999999997</v>
      </c>
      <c r="G124" s="250"/>
      <c r="H124" s="250"/>
      <c r="I124" s="253" t="e">
        <f>+I123+I122+I121</f>
        <v>#REF!</v>
      </c>
      <c r="K124" s="254" t="s">
        <v>171</v>
      </c>
      <c r="L124" s="254"/>
      <c r="M124" s="254"/>
    </row>
    <row r="125" spans="1:13" ht="15.75" thickBot="1" x14ac:dyDescent="0.3">
      <c r="A125" s="208"/>
      <c r="B125" s="209">
        <f>SUM(B122:B124)</f>
        <v>24.557338072499995</v>
      </c>
      <c r="G125" s="250" t="s">
        <v>170</v>
      </c>
      <c r="H125" s="250"/>
      <c r="I125" s="251">
        <f>+C170</f>
        <v>2881.3324499999999</v>
      </c>
    </row>
    <row r="127" spans="1:13" ht="15.75" thickBot="1" x14ac:dyDescent="0.3">
      <c r="A127" s="203" t="s">
        <v>96</v>
      </c>
    </row>
    <row r="128" spans="1:13" x14ac:dyDescent="0.25">
      <c r="A128" s="204" t="s">
        <v>122</v>
      </c>
      <c r="B128" s="210">
        <f>-F63</f>
        <v>0</v>
      </c>
    </row>
    <row r="129" spans="1:4" x14ac:dyDescent="0.25">
      <c r="A129" s="206" t="s">
        <v>123</v>
      </c>
      <c r="B129" s="207">
        <f>$D$37*6%</f>
        <v>105.00197999999999</v>
      </c>
    </row>
    <row r="130" spans="1:4" x14ac:dyDescent="0.25">
      <c r="A130" s="206" t="s">
        <v>124</v>
      </c>
      <c r="B130" s="207">
        <f>$D$37*1.8%</f>
        <v>31.500594000000003</v>
      </c>
    </row>
    <row r="131" spans="1:4" ht="15.75" thickBot="1" x14ac:dyDescent="0.3">
      <c r="A131" s="211" t="s">
        <v>118</v>
      </c>
      <c r="B131" s="212">
        <f>SUM(B128:B130)</f>
        <v>136.50257399999998</v>
      </c>
    </row>
    <row r="133" spans="1:4" ht="15.75" thickBot="1" x14ac:dyDescent="0.3"/>
    <row r="134" spans="1:4" x14ac:dyDescent="0.25">
      <c r="A134" s="213" t="s">
        <v>75</v>
      </c>
      <c r="B134" s="214" t="s">
        <v>89</v>
      </c>
      <c r="C134" s="214" t="s">
        <v>90</v>
      </c>
      <c r="D134" s="215" t="s">
        <v>40</v>
      </c>
    </row>
    <row r="135" spans="1:4" ht="16.5" x14ac:dyDescent="0.25">
      <c r="A135" s="216" t="s">
        <v>125</v>
      </c>
      <c r="B135" s="258">
        <f>D37</f>
        <v>1750.0329999999999</v>
      </c>
      <c r="C135" s="182">
        <v>1E-3</v>
      </c>
      <c r="D135" s="217">
        <f>C135*$B$135</f>
        <v>1.7500329999999999</v>
      </c>
    </row>
    <row r="136" spans="1:4" ht="16.5" x14ac:dyDescent="0.25">
      <c r="A136" s="216" t="s">
        <v>126</v>
      </c>
      <c r="B136" s="259"/>
      <c r="C136" s="218"/>
      <c r="D136" s="219"/>
    </row>
    <row r="137" spans="1:4" ht="16.5" x14ac:dyDescent="0.25">
      <c r="A137" s="216" t="s">
        <v>127</v>
      </c>
      <c r="B137" s="259"/>
      <c r="C137" s="182">
        <v>3.0000000000000001E-3</v>
      </c>
      <c r="D137" s="217">
        <f t="shared" ref="D137:D140" si="6">C137*$B$135</f>
        <v>5.2500989999999996</v>
      </c>
    </row>
    <row r="138" spans="1:4" ht="16.5" x14ac:dyDescent="0.25">
      <c r="A138" s="216" t="s">
        <v>128</v>
      </c>
      <c r="B138" s="259"/>
      <c r="C138" s="182">
        <v>6.7999999999999996E-3</v>
      </c>
      <c r="D138" s="217">
        <f t="shared" si="6"/>
        <v>11.900224399999999</v>
      </c>
    </row>
    <row r="139" spans="1:4" ht="16.5" x14ac:dyDescent="0.25">
      <c r="A139" s="216" t="s">
        <v>104</v>
      </c>
      <c r="B139" s="259"/>
      <c r="C139" s="182">
        <v>5.4999999999999997E-3</v>
      </c>
      <c r="D139" s="217">
        <f t="shared" si="6"/>
        <v>9.6251814999999983</v>
      </c>
    </row>
    <row r="140" spans="1:4" ht="16.5" x14ac:dyDescent="0.25">
      <c r="A140" s="216" t="s">
        <v>129</v>
      </c>
      <c r="B140" s="260"/>
      <c r="C140" s="220">
        <v>1.6000000000000001E-4</v>
      </c>
      <c r="D140" s="217">
        <f t="shared" si="6"/>
        <v>0.28000528000000002</v>
      </c>
    </row>
    <row r="141" spans="1:4" ht="16.5" x14ac:dyDescent="0.25">
      <c r="A141" s="216" t="s">
        <v>130</v>
      </c>
      <c r="B141" s="218"/>
      <c r="C141" s="218"/>
      <c r="D141" s="221">
        <f>SUM(D135:D140)</f>
        <v>28.805543179999997</v>
      </c>
    </row>
    <row r="142" spans="1:4" ht="16.5" x14ac:dyDescent="0.25">
      <c r="A142" s="216" t="s">
        <v>106</v>
      </c>
      <c r="B142" s="218"/>
      <c r="C142" s="218"/>
      <c r="D142" s="217"/>
    </row>
    <row r="143" spans="1:4" ht="16.5" x14ac:dyDescent="0.25">
      <c r="A143" s="216"/>
      <c r="B143" s="218"/>
      <c r="C143" s="218"/>
      <c r="D143" s="219"/>
    </row>
    <row r="144" spans="1:4" ht="17.25" thickBot="1" x14ac:dyDescent="0.3">
      <c r="A144" s="222" t="s">
        <v>131</v>
      </c>
      <c r="B144" s="81"/>
      <c r="C144" s="81"/>
      <c r="D144" s="223"/>
    </row>
    <row r="147" spans="1:6" ht="15.75" thickBot="1" x14ac:dyDescent="0.3"/>
    <row r="148" spans="1:6" x14ac:dyDescent="0.25">
      <c r="A148" s="236" t="s">
        <v>134</v>
      </c>
      <c r="B148" s="7"/>
      <c r="C148" s="11" t="s">
        <v>138</v>
      </c>
    </row>
    <row r="149" spans="1:6" x14ac:dyDescent="0.25">
      <c r="A149" s="15" t="s">
        <v>135</v>
      </c>
      <c r="B149" s="1">
        <v>3500</v>
      </c>
      <c r="C149" s="207">
        <f>1.8*11.27*151.6667</f>
        <v>3076.7106761999999</v>
      </c>
    </row>
    <row r="150" spans="1:6" x14ac:dyDescent="0.25">
      <c r="A150" s="15" t="s">
        <v>136</v>
      </c>
      <c r="B150" s="1">
        <v>3500</v>
      </c>
      <c r="C150" s="207">
        <f t="shared" ref="C150:C151" si="7">1.8*11.27*151.6667</f>
        <v>3076.7106761999999</v>
      </c>
    </row>
    <row r="151" spans="1:6" x14ac:dyDescent="0.25">
      <c r="A151" s="15" t="s">
        <v>137</v>
      </c>
      <c r="B151" s="1">
        <v>3700</v>
      </c>
      <c r="C151" s="207">
        <f t="shared" si="7"/>
        <v>3076.7106761999999</v>
      </c>
    </row>
    <row r="152" spans="1:6" x14ac:dyDescent="0.25">
      <c r="A152" s="15" t="s">
        <v>139</v>
      </c>
      <c r="B152" s="52"/>
      <c r="C152" s="231">
        <f>SUM(C149:C151)</f>
        <v>9230.1320285999991</v>
      </c>
    </row>
    <row r="153" spans="1:6" x14ac:dyDescent="0.25">
      <c r="A153" s="15" t="s">
        <v>140</v>
      </c>
      <c r="B153" s="52"/>
      <c r="C153" s="207">
        <f>ROUND(C152/91.25*0.5,2)</f>
        <v>50.58</v>
      </c>
    </row>
    <row r="154" spans="1:6" x14ac:dyDescent="0.25">
      <c r="A154" s="15" t="s">
        <v>141</v>
      </c>
      <c r="B154" s="52"/>
      <c r="C154" s="17">
        <f>9-3</f>
        <v>6</v>
      </c>
    </row>
    <row r="155" spans="1:6" x14ac:dyDescent="0.25">
      <c r="A155" s="15" t="s">
        <v>142</v>
      </c>
      <c r="B155" s="52"/>
      <c r="C155" s="234">
        <f>+C154*C153</f>
        <v>303.48</v>
      </c>
    </row>
    <row r="156" spans="1:6" x14ac:dyDescent="0.25">
      <c r="A156" s="15" t="s">
        <v>143</v>
      </c>
      <c r="B156" s="52"/>
      <c r="C156" s="207">
        <f>+C155*6.7/100</f>
        <v>20.333160000000003</v>
      </c>
    </row>
    <row r="157" spans="1:6" ht="15.75" thickBot="1" x14ac:dyDescent="0.3">
      <c r="A157" s="18" t="s">
        <v>142</v>
      </c>
      <c r="B157" s="232"/>
      <c r="C157" s="235">
        <f>+C155-C156</f>
        <v>283.14684</v>
      </c>
    </row>
    <row r="159" spans="1:6" ht="15.75" thickBot="1" x14ac:dyDescent="0.3"/>
    <row r="160" spans="1:6" x14ac:dyDescent="0.25">
      <c r="A160" s="9" t="s">
        <v>144</v>
      </c>
      <c r="B160" s="7"/>
      <c r="C160" s="8"/>
      <c r="E160" s="5" t="s">
        <v>149</v>
      </c>
      <c r="F160" s="5">
        <v>2881.33</v>
      </c>
    </row>
    <row r="161" spans="1:6" x14ac:dyDescent="0.25">
      <c r="A161" s="15" t="s">
        <v>145</v>
      </c>
      <c r="B161" s="52"/>
      <c r="C161" s="237">
        <v>0.11310000000000001</v>
      </c>
      <c r="E161" s="5" t="s">
        <v>172</v>
      </c>
    </row>
    <row r="162" spans="1:6" x14ac:dyDescent="0.25">
      <c r="A162" s="15" t="s">
        <v>143</v>
      </c>
      <c r="B162" s="52"/>
      <c r="C162" s="238">
        <f>9.7%*0.9825</f>
        <v>9.5302499999999998E-2</v>
      </c>
    </row>
    <row r="163" spans="1:6" x14ac:dyDescent="0.25">
      <c r="A163" s="15" t="s">
        <v>146</v>
      </c>
      <c r="B163" s="52"/>
      <c r="C163" s="237">
        <v>0.01</v>
      </c>
    </row>
    <row r="164" spans="1:6" x14ac:dyDescent="0.25">
      <c r="A164" s="246" t="s">
        <v>163</v>
      </c>
      <c r="B164" s="64" t="s">
        <v>164</v>
      </c>
      <c r="C164" s="247">
        <f>9.7%*2.7%</f>
        <v>2.6189999999999998E-3</v>
      </c>
    </row>
    <row r="165" spans="1:6" x14ac:dyDescent="0.25">
      <c r="A165" s="246" t="s">
        <v>12</v>
      </c>
      <c r="B165" s="64"/>
      <c r="C165" s="247">
        <v>2.4000000000000001E-4</v>
      </c>
    </row>
    <row r="166" spans="1:6" ht="15.75" thickBot="1" x14ac:dyDescent="0.3">
      <c r="A166" s="18" t="s">
        <v>147</v>
      </c>
      <c r="B166" s="232"/>
      <c r="C166" s="239">
        <f>SUM(C161:C165)</f>
        <v>0.2212615</v>
      </c>
    </row>
    <row r="167" spans="1:6" ht="15.75" thickBot="1" x14ac:dyDescent="0.3"/>
    <row r="168" spans="1:6" ht="15.75" thickBot="1" x14ac:dyDescent="0.3">
      <c r="A168" s="174" t="s">
        <v>148</v>
      </c>
      <c r="B168" s="175"/>
      <c r="C168" s="240">
        <f>1-C166</f>
        <v>0.7787385</v>
      </c>
    </row>
    <row r="169" spans="1:6" ht="15.75" thickBot="1" x14ac:dyDescent="0.3"/>
    <row r="170" spans="1:6" ht="15.75" thickBot="1" x14ac:dyDescent="0.3">
      <c r="A170" s="174" t="s">
        <v>149</v>
      </c>
      <c r="B170" s="175"/>
      <c r="C170" s="241">
        <f>3700*C168</f>
        <v>2881.3324499999999</v>
      </c>
    </row>
    <row r="171" spans="1:6" ht="15.75" thickBot="1" x14ac:dyDescent="0.3"/>
    <row r="172" spans="1:6" x14ac:dyDescent="0.25">
      <c r="A172" s="9" t="s">
        <v>150</v>
      </c>
      <c r="B172" s="7"/>
      <c r="C172" s="8">
        <v>147</v>
      </c>
      <c r="E172" s="5">
        <f>3700/147</f>
        <v>25.170068027210885</v>
      </c>
      <c r="F172" s="5">
        <f>3700/21</f>
        <v>176.1904761904762</v>
      </c>
    </row>
    <row r="173" spans="1:6" x14ac:dyDescent="0.25">
      <c r="A173" s="15" t="s">
        <v>151</v>
      </c>
      <c r="B173" s="52"/>
      <c r="C173" s="207">
        <f>+C170/C172</f>
        <v>19.600901020408163</v>
      </c>
      <c r="E173" s="5">
        <f>E172*7</f>
        <v>176.1904761904762</v>
      </c>
      <c r="F173" s="5">
        <f>F172*3</f>
        <v>528.57142857142867</v>
      </c>
    </row>
    <row r="174" spans="1:6" ht="15.75" thickBot="1" x14ac:dyDescent="0.3">
      <c r="A174" s="18" t="s">
        <v>152</v>
      </c>
      <c r="B174" s="232"/>
      <c r="C174" s="209">
        <f>3700/C172</f>
        <v>25.170068027210885</v>
      </c>
    </row>
    <row r="175" spans="1:6" ht="15.75" thickBot="1" x14ac:dyDescent="0.3"/>
    <row r="176" spans="1:6" x14ac:dyDescent="0.25">
      <c r="A176" s="9" t="s">
        <v>153</v>
      </c>
      <c r="B176" s="7"/>
      <c r="C176" s="242">
        <f>+C170</f>
        <v>2881.3324499999999</v>
      </c>
    </row>
    <row r="177" spans="1:4" x14ac:dyDescent="0.25">
      <c r="A177" s="15" t="s">
        <v>154</v>
      </c>
      <c r="B177" s="52" t="s">
        <v>177</v>
      </c>
      <c r="C177" s="231">
        <f>+-49*C173</f>
        <v>-960.44414999999992</v>
      </c>
    </row>
    <row r="178" spans="1:4" x14ac:dyDescent="0.25">
      <c r="A178" s="15" t="s">
        <v>155</v>
      </c>
      <c r="B178" s="52" t="s">
        <v>178</v>
      </c>
      <c r="C178" s="231">
        <f>28*C173</f>
        <v>548.82522857142851</v>
      </c>
    </row>
    <row r="179" spans="1:4" x14ac:dyDescent="0.25">
      <c r="A179" s="15" t="s">
        <v>156</v>
      </c>
      <c r="B179" s="52"/>
      <c r="C179" s="231">
        <f>-C155</f>
        <v>-303.48</v>
      </c>
    </row>
    <row r="180" spans="1:4" x14ac:dyDescent="0.25">
      <c r="A180" s="248" t="s">
        <v>157</v>
      </c>
      <c r="B180" s="249"/>
      <c r="C180" s="255">
        <f>SUM(C176:C179)</f>
        <v>2166.2335285714285</v>
      </c>
    </row>
    <row r="181" spans="1:4" x14ac:dyDescent="0.25">
      <c r="A181" s="15" t="s">
        <v>158</v>
      </c>
      <c r="B181" s="52"/>
      <c r="C181" s="237">
        <f>+C168</f>
        <v>0.7787385</v>
      </c>
    </row>
    <row r="182" spans="1:4" ht="15.75" thickBot="1" x14ac:dyDescent="0.3">
      <c r="A182" s="18" t="s">
        <v>159</v>
      </c>
      <c r="B182" s="232" t="s">
        <v>160</v>
      </c>
      <c r="C182" s="243">
        <f>+C180/C181</f>
        <v>2781.7213719001029</v>
      </c>
    </row>
    <row r="184" spans="1:4" ht="15.75" thickBot="1" x14ac:dyDescent="0.3">
      <c r="A184" s="256" t="s">
        <v>179</v>
      </c>
    </row>
    <row r="185" spans="1:4" x14ac:dyDescent="0.25">
      <c r="A185" s="9" t="s">
        <v>173</v>
      </c>
      <c r="B185" s="7"/>
      <c r="C185" s="257">
        <f>C170</f>
        <v>2881.3324499999999</v>
      </c>
    </row>
    <row r="186" spans="1:4" x14ac:dyDescent="0.25">
      <c r="A186" s="15" t="s">
        <v>174</v>
      </c>
      <c r="B186" s="52"/>
      <c r="C186" s="207">
        <f>-C156</f>
        <v>-20.333160000000003</v>
      </c>
    </row>
    <row r="187" spans="1:4" x14ac:dyDescent="0.25">
      <c r="A187" s="15" t="s">
        <v>175</v>
      </c>
      <c r="B187" s="52" t="s">
        <v>176</v>
      </c>
      <c r="C187" s="207">
        <f>-2881.33/147*21</f>
        <v>-411.61857142857139</v>
      </c>
    </row>
    <row r="188" spans="1:4" x14ac:dyDescent="0.25">
      <c r="A188" s="15"/>
      <c r="B188" s="52"/>
      <c r="C188" s="207"/>
    </row>
    <row r="189" spans="1:4" ht="15.75" thickBot="1" x14ac:dyDescent="0.3">
      <c r="A189" s="18" t="s">
        <v>180</v>
      </c>
      <c r="B189" s="232"/>
      <c r="C189" s="233">
        <f>SUM(C185:C188)</f>
        <v>2449.3807185714286</v>
      </c>
      <c r="D189" s="256" t="s">
        <v>181</v>
      </c>
    </row>
    <row r="190" spans="1:4" x14ac:dyDescent="0.25">
      <c r="A190" s="5" t="s">
        <v>134</v>
      </c>
      <c r="C190" s="224"/>
    </row>
    <row r="191" spans="1:4" x14ac:dyDescent="0.25">
      <c r="C191" s="224"/>
    </row>
    <row r="192" spans="1:4" x14ac:dyDescent="0.25">
      <c r="C192" s="224"/>
    </row>
    <row r="193" spans="3:3" x14ac:dyDescent="0.25">
      <c r="C193" s="224"/>
    </row>
    <row r="194" spans="3:3" x14ac:dyDescent="0.25">
      <c r="C194" s="224"/>
    </row>
  </sheetData>
  <mergeCells count="7">
    <mergeCell ref="B135:B140"/>
    <mergeCell ref="B17:C17"/>
    <mergeCell ref="E17:F17"/>
    <mergeCell ref="A87:B87"/>
    <mergeCell ref="C88:C95"/>
    <mergeCell ref="A102:D102"/>
    <mergeCell ref="A110:D1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1A6C4-5FED-49B1-AF06-4363B9549438}">
  <sheetPr>
    <tabColor rgb="FFFF0000"/>
  </sheetPr>
  <dimension ref="A1:N194"/>
  <sheetViews>
    <sheetView topLeftCell="A56" zoomScaleNormal="100" workbookViewId="0">
      <selection activeCell="H61" sqref="H61:I65"/>
    </sheetView>
  </sheetViews>
  <sheetFormatPr baseColWidth="10" defaultRowHeight="15" x14ac:dyDescent="0.25"/>
  <cols>
    <col min="1" max="1" width="92.28515625" style="5" customWidth="1"/>
    <col min="2" max="2" width="16.7109375" style="5" customWidth="1"/>
    <col min="3" max="3" width="18.85546875" style="5" bestFit="1" customWidth="1"/>
    <col min="4" max="4" width="25.5703125" style="5" bestFit="1" customWidth="1"/>
    <col min="5" max="5" width="25.5703125" style="5" customWidth="1"/>
    <col min="6" max="6" width="20.85546875" style="5" customWidth="1"/>
    <col min="7" max="8" width="27.28515625" style="5" customWidth="1"/>
    <col min="9" max="9" width="12.5703125" style="5" customWidth="1"/>
    <col min="10" max="10" width="12" style="5" customWidth="1"/>
    <col min="11" max="11" width="11.42578125" style="5" customWidth="1"/>
    <col min="12" max="12" width="12.140625" style="5" customWidth="1"/>
    <col min="13" max="14" width="12" style="5" customWidth="1"/>
    <col min="15" max="16384" width="11.42578125" style="5"/>
  </cols>
  <sheetData>
    <row r="1" spans="1:6" ht="15.75" thickBot="1" x14ac:dyDescent="0.3">
      <c r="A1" s="2" t="s">
        <v>16</v>
      </c>
      <c r="B1" s="3"/>
      <c r="C1" s="3"/>
      <c r="D1" s="3"/>
      <c r="E1" s="3"/>
      <c r="F1" s="4"/>
    </row>
    <row r="2" spans="1:6" x14ac:dyDescent="0.25">
      <c r="A2" s="6" t="s">
        <v>11</v>
      </c>
      <c r="B2" s="7"/>
      <c r="C2" s="8"/>
      <c r="D2" s="9" t="s">
        <v>10</v>
      </c>
      <c r="E2" s="10"/>
      <c r="F2" s="11" t="s">
        <v>17</v>
      </c>
    </row>
    <row r="3" spans="1:6" x14ac:dyDescent="0.25">
      <c r="A3" s="12" t="s">
        <v>18</v>
      </c>
      <c r="B3" s="13"/>
      <c r="C3" s="14"/>
      <c r="D3" s="15" t="s">
        <v>18</v>
      </c>
      <c r="E3" s="16"/>
      <c r="F3" s="17"/>
    </row>
    <row r="4" spans="1:6" x14ac:dyDescent="0.25">
      <c r="A4" s="12" t="s">
        <v>19</v>
      </c>
      <c r="B4" s="13"/>
      <c r="C4" s="14"/>
      <c r="D4" s="15" t="s">
        <v>20</v>
      </c>
      <c r="E4" s="16"/>
      <c r="F4" s="17"/>
    </row>
    <row r="5" spans="1:6" x14ac:dyDescent="0.25">
      <c r="A5" s="12" t="s">
        <v>21</v>
      </c>
      <c r="B5" s="13"/>
      <c r="C5" s="14"/>
      <c r="D5" s="15" t="s">
        <v>22</v>
      </c>
      <c r="E5" s="16"/>
      <c r="F5" s="17"/>
    </row>
    <row r="6" spans="1:6" x14ac:dyDescent="0.25">
      <c r="A6" s="12" t="s">
        <v>21</v>
      </c>
      <c r="B6" s="13"/>
      <c r="C6" s="14"/>
      <c r="D6" s="15" t="s">
        <v>23</v>
      </c>
      <c r="E6" s="16"/>
      <c r="F6" s="17"/>
    </row>
    <row r="7" spans="1:6" x14ac:dyDescent="0.25">
      <c r="A7" s="12" t="s">
        <v>24</v>
      </c>
      <c r="B7" s="13"/>
      <c r="C7" s="14"/>
      <c r="D7" s="15"/>
      <c r="E7" s="16"/>
      <c r="F7" s="17"/>
    </row>
    <row r="8" spans="1:6" x14ac:dyDescent="0.25">
      <c r="A8" s="12" t="s">
        <v>25</v>
      </c>
      <c r="B8" s="13"/>
      <c r="C8" s="14"/>
      <c r="D8" s="15" t="s">
        <v>26</v>
      </c>
      <c r="E8" s="16"/>
      <c r="F8" s="17"/>
    </row>
    <row r="9" spans="1:6" x14ac:dyDescent="0.25">
      <c r="A9" s="12" t="s">
        <v>27</v>
      </c>
      <c r="B9" s="13"/>
      <c r="C9" s="14"/>
      <c r="D9" s="15" t="s">
        <v>6</v>
      </c>
      <c r="E9" s="16"/>
      <c r="F9" s="17"/>
    </row>
    <row r="10" spans="1:6" x14ac:dyDescent="0.25">
      <c r="A10" s="12" t="s">
        <v>28</v>
      </c>
      <c r="B10" s="13"/>
      <c r="C10" s="14"/>
      <c r="D10" s="15" t="s">
        <v>7</v>
      </c>
      <c r="E10" s="16"/>
      <c r="F10" s="17"/>
    </row>
    <row r="11" spans="1:6" x14ac:dyDescent="0.25">
      <c r="A11" s="12" t="s">
        <v>29</v>
      </c>
      <c r="B11" s="13"/>
      <c r="C11" s="14"/>
      <c r="D11" s="15" t="s">
        <v>30</v>
      </c>
      <c r="E11" s="16"/>
      <c r="F11" s="17"/>
    </row>
    <row r="12" spans="1:6" x14ac:dyDescent="0.25">
      <c r="A12" s="12" t="s">
        <v>31</v>
      </c>
      <c r="B12" s="13"/>
      <c r="C12" s="14"/>
      <c r="D12" s="15" t="s">
        <v>32</v>
      </c>
      <c r="E12" s="16"/>
      <c r="F12" s="17"/>
    </row>
    <row r="13" spans="1:6" x14ac:dyDescent="0.25">
      <c r="A13" s="12" t="s">
        <v>8</v>
      </c>
      <c r="B13" s="13"/>
      <c r="C13" s="14"/>
      <c r="D13" s="15" t="s">
        <v>33</v>
      </c>
      <c r="E13" s="16"/>
      <c r="F13" s="17"/>
    </row>
    <row r="14" spans="1:6" x14ac:dyDescent="0.25">
      <c r="A14" s="12"/>
      <c r="B14" s="13"/>
      <c r="C14" s="14"/>
      <c r="D14" s="15" t="s">
        <v>34</v>
      </c>
      <c r="E14" s="16"/>
      <c r="F14" s="17"/>
    </row>
    <row r="15" spans="1:6" x14ac:dyDescent="0.25">
      <c r="A15" s="15"/>
      <c r="B15" s="13"/>
      <c r="C15" s="14"/>
      <c r="D15" s="15"/>
      <c r="E15" s="16"/>
      <c r="F15" s="17"/>
    </row>
    <row r="16" spans="1:6" ht="15.75" thickBot="1" x14ac:dyDescent="0.3">
      <c r="A16" s="18"/>
      <c r="B16" s="19"/>
      <c r="C16" s="20"/>
      <c r="D16" s="18"/>
      <c r="E16" s="21"/>
      <c r="F16" s="22"/>
    </row>
    <row r="17" spans="1:14" ht="15.75" thickBot="1" x14ac:dyDescent="0.3">
      <c r="A17" s="23" t="s">
        <v>35</v>
      </c>
      <c r="B17" s="263">
        <v>44927</v>
      </c>
      <c r="C17" s="264"/>
      <c r="D17" s="24" t="s">
        <v>36</v>
      </c>
      <c r="E17" s="261">
        <v>44957</v>
      </c>
      <c r="F17" s="262"/>
    </row>
    <row r="18" spans="1:14" ht="20.25" customHeight="1" thickBot="1" x14ac:dyDescent="0.3">
      <c r="A18" s="25" t="s">
        <v>37</v>
      </c>
      <c r="B18" s="26"/>
      <c r="C18" s="26"/>
      <c r="D18" s="26"/>
      <c r="E18" s="27"/>
      <c r="F18" s="28"/>
    </row>
    <row r="19" spans="1:14" ht="24" customHeight="1" thickBot="1" x14ac:dyDescent="0.3">
      <c r="A19" s="29" t="s">
        <v>37</v>
      </c>
      <c r="B19" s="30" t="s">
        <v>38</v>
      </c>
      <c r="C19" s="30" t="s">
        <v>39</v>
      </c>
      <c r="D19" s="31" t="s">
        <v>40</v>
      </c>
      <c r="E19" s="32"/>
      <c r="F19" s="33"/>
    </row>
    <row r="20" spans="1:14" s="39" customFormat="1" x14ac:dyDescent="0.25">
      <c r="A20" s="9" t="s">
        <v>9</v>
      </c>
      <c r="B20" s="34"/>
      <c r="C20" s="35"/>
      <c r="D20" s="36">
        <v>2500</v>
      </c>
      <c r="E20" s="37"/>
      <c r="F20" s="38"/>
      <c r="G20" s="5"/>
      <c r="H20" s="5"/>
      <c r="I20" s="5"/>
      <c r="J20" s="5"/>
      <c r="K20" s="5"/>
      <c r="L20" s="5"/>
      <c r="M20" s="5"/>
      <c r="N20" s="5"/>
    </row>
    <row r="21" spans="1:14" s="39" customFormat="1" x14ac:dyDescent="0.25">
      <c r="A21" s="40" t="s">
        <v>41</v>
      </c>
      <c r="B21" s="41"/>
      <c r="C21" s="42"/>
      <c r="D21" s="43"/>
      <c r="E21" s="44"/>
      <c r="F21" s="45"/>
      <c r="I21" s="5"/>
      <c r="J21" s="5"/>
      <c r="K21" s="5"/>
      <c r="L21" s="5"/>
      <c r="M21" s="5"/>
      <c r="N21" s="5"/>
    </row>
    <row r="22" spans="1:14" s="39" customFormat="1" x14ac:dyDescent="0.25">
      <c r="A22" s="40" t="s">
        <v>42</v>
      </c>
      <c r="B22" s="46"/>
      <c r="C22" s="47"/>
      <c r="D22" s="48"/>
      <c r="E22" s="49"/>
      <c r="F22" s="45"/>
      <c r="I22" s="5"/>
      <c r="J22" s="5"/>
      <c r="K22" s="5"/>
      <c r="L22" s="5"/>
      <c r="M22" s="5"/>
      <c r="N22" s="5"/>
    </row>
    <row r="23" spans="1:14" s="39" customFormat="1" x14ac:dyDescent="0.25">
      <c r="A23" s="40" t="s">
        <v>43</v>
      </c>
      <c r="B23" s="41"/>
      <c r="C23" s="42"/>
      <c r="D23" s="50"/>
      <c r="E23" s="51"/>
      <c r="F23" s="45"/>
      <c r="I23" s="5"/>
      <c r="J23" s="5"/>
      <c r="K23" s="5"/>
      <c r="L23" s="5"/>
      <c r="M23" s="5"/>
      <c r="N23" s="5"/>
    </row>
    <row r="24" spans="1:14" x14ac:dyDescent="0.25">
      <c r="A24" s="15" t="s">
        <v>44</v>
      </c>
      <c r="B24" s="225"/>
      <c r="C24" s="226">
        <f>D20/151.67*1.25</f>
        <v>20.603942770488565</v>
      </c>
      <c r="D24" s="226">
        <f>C24*B24</f>
        <v>0</v>
      </c>
      <c r="E24" s="54"/>
      <c r="F24" s="55"/>
      <c r="H24" s="224">
        <f>SUM(D20:D34)</f>
        <v>1800.2829999999999</v>
      </c>
    </row>
    <row r="25" spans="1:14" x14ac:dyDescent="0.25">
      <c r="A25" s="15" t="s">
        <v>45</v>
      </c>
      <c r="B25" s="225"/>
      <c r="C25" s="226">
        <f>D20/151.67*1.5</f>
        <v>24.724731324586276</v>
      </c>
      <c r="D25" s="226">
        <f t="shared" ref="D25:D30" si="0">C25*B25</f>
        <v>0</v>
      </c>
      <c r="E25" s="54"/>
      <c r="F25" s="56"/>
    </row>
    <row r="26" spans="1:14" x14ac:dyDescent="0.25">
      <c r="A26" s="15" t="s">
        <v>132</v>
      </c>
      <c r="B26" s="52"/>
      <c r="C26" s="53">
        <f>D20/151.67</f>
        <v>16.483154216390851</v>
      </c>
      <c r="D26" s="53">
        <f t="shared" si="0"/>
        <v>0</v>
      </c>
      <c r="E26" s="54"/>
      <c r="F26" s="56"/>
    </row>
    <row r="27" spans="1:14" x14ac:dyDescent="0.25">
      <c r="A27" s="15" t="s">
        <v>133</v>
      </c>
      <c r="B27" s="52"/>
      <c r="C27" s="53">
        <f>D20/151.67*0.25</f>
        <v>4.1207885540977127</v>
      </c>
      <c r="D27" s="53">
        <f t="shared" si="0"/>
        <v>0</v>
      </c>
      <c r="E27" s="54"/>
      <c r="F27" s="56"/>
    </row>
    <row r="28" spans="1:14" x14ac:dyDescent="0.25">
      <c r="A28" s="15" t="s">
        <v>46</v>
      </c>
      <c r="B28" s="57"/>
      <c r="C28" s="58"/>
      <c r="D28" s="53">
        <f t="shared" si="0"/>
        <v>0</v>
      </c>
      <c r="E28" s="59"/>
      <c r="F28" s="56"/>
    </row>
    <row r="29" spans="1:14" x14ac:dyDescent="0.25">
      <c r="A29" s="15" t="s">
        <v>47</v>
      </c>
      <c r="B29" s="60"/>
      <c r="C29" s="52"/>
      <c r="D29" s="53">
        <f t="shared" si="0"/>
        <v>0</v>
      </c>
      <c r="E29" s="54"/>
      <c r="F29" s="61"/>
    </row>
    <row r="30" spans="1:14" x14ac:dyDescent="0.25">
      <c r="A30" s="15" t="s">
        <v>48</v>
      </c>
      <c r="B30" s="62"/>
      <c r="C30" s="58"/>
      <c r="D30" s="53">
        <f t="shared" si="0"/>
        <v>0</v>
      </c>
      <c r="E30" s="59"/>
      <c r="F30" s="61"/>
    </row>
    <row r="31" spans="1:14" x14ac:dyDescent="0.25">
      <c r="A31" s="15"/>
      <c r="B31" s="63"/>
      <c r="C31" s="64"/>
      <c r="D31" s="65"/>
      <c r="E31" s="66"/>
      <c r="F31" s="67"/>
    </row>
    <row r="32" spans="1:14" ht="15.75" thickBot="1" x14ac:dyDescent="0.3">
      <c r="A32" s="5" t="s">
        <v>49</v>
      </c>
      <c r="B32" s="244">
        <v>91</v>
      </c>
      <c r="C32" s="278">
        <v>17.007000000000001</v>
      </c>
      <c r="D32" s="65">
        <f>-C32*B32</f>
        <v>-1547.6370000000002</v>
      </c>
      <c r="E32" s="68"/>
      <c r="F32" s="69"/>
    </row>
    <row r="33" spans="1:8" x14ac:dyDescent="0.25">
      <c r="A33" s="70" t="s">
        <v>50</v>
      </c>
      <c r="B33" s="71"/>
      <c r="C33" s="72"/>
      <c r="D33" s="65">
        <f>-575.4</f>
        <v>-575.4</v>
      </c>
      <c r="E33" s="73"/>
      <c r="F33" s="74"/>
    </row>
    <row r="34" spans="1:8" x14ac:dyDescent="0.25">
      <c r="A34" s="5" t="s">
        <v>51</v>
      </c>
      <c r="B34" s="244"/>
      <c r="C34" s="199"/>
      <c r="D34" s="65">
        <v>1423.32</v>
      </c>
      <c r="E34" s="73"/>
      <c r="F34" s="74"/>
    </row>
    <row r="35" spans="1:8" x14ac:dyDescent="0.25">
      <c r="A35" s="70" t="s">
        <v>52</v>
      </c>
      <c r="B35" s="71"/>
      <c r="C35" s="75"/>
      <c r="D35" s="76"/>
      <c r="E35" s="73"/>
      <c r="F35" s="74"/>
    </row>
    <row r="36" spans="1:8" ht="15.75" thickBot="1" x14ac:dyDescent="0.3">
      <c r="A36" s="77" t="s">
        <v>53</v>
      </c>
      <c r="B36" s="71"/>
      <c r="C36" s="78"/>
      <c r="D36" s="79"/>
      <c r="E36" s="73"/>
      <c r="F36" s="74"/>
    </row>
    <row r="37" spans="1:8" ht="16.5" thickTop="1" thickBot="1" x14ac:dyDescent="0.3">
      <c r="A37" s="80" t="s">
        <v>15</v>
      </c>
      <c r="B37" s="81"/>
      <c r="C37" s="82"/>
      <c r="D37" s="83">
        <f>SUM(D20:D36)</f>
        <v>1800.2829999999999</v>
      </c>
      <c r="E37" s="84"/>
      <c r="F37" s="74"/>
      <c r="H37" s="224">
        <f>D37-2763</f>
        <v>-962.7170000000001</v>
      </c>
    </row>
    <row r="38" spans="1:8" x14ac:dyDescent="0.25">
      <c r="A38" s="85"/>
      <c r="B38" s="86"/>
      <c r="C38" s="87"/>
      <c r="D38" s="88"/>
      <c r="E38" s="89"/>
      <c r="F38" s="90"/>
    </row>
    <row r="39" spans="1:8" x14ac:dyDescent="0.25">
      <c r="A39" s="91" t="s">
        <v>54</v>
      </c>
      <c r="B39" s="92" t="s">
        <v>55</v>
      </c>
      <c r="C39" s="92" t="s">
        <v>56</v>
      </c>
      <c r="D39" s="92" t="s">
        <v>57</v>
      </c>
      <c r="E39" s="93"/>
      <c r="F39" s="94" t="s">
        <v>58</v>
      </c>
    </row>
    <row r="40" spans="1:8" x14ac:dyDescent="0.25">
      <c r="A40" s="95" t="s">
        <v>59</v>
      </c>
      <c r="B40" s="96"/>
      <c r="C40" s="97"/>
      <c r="D40" s="97"/>
      <c r="E40" s="98"/>
      <c r="F40" s="99"/>
    </row>
    <row r="41" spans="1:8" x14ac:dyDescent="0.25">
      <c r="A41" s="100" t="s">
        <v>60</v>
      </c>
      <c r="B41" s="101">
        <f>D37</f>
        <v>1800.2829999999999</v>
      </c>
      <c r="C41" s="102"/>
      <c r="D41" s="103"/>
      <c r="E41" s="104">
        <v>7.0000000000000007E-2</v>
      </c>
      <c r="F41" s="105">
        <f>E41*B41</f>
        <v>126.01981000000001</v>
      </c>
      <c r="G41" s="106"/>
    </row>
    <row r="42" spans="1:8" x14ac:dyDescent="0.25">
      <c r="A42" s="107" t="s">
        <v>61</v>
      </c>
      <c r="B42" s="101">
        <f>D37</f>
        <v>1800.2829999999999</v>
      </c>
      <c r="C42" s="108">
        <v>1.2500000000000001E-2</v>
      </c>
      <c r="D42" s="109">
        <f>C42*B42</f>
        <v>22.5035375</v>
      </c>
      <c r="E42" s="110">
        <v>0.03</v>
      </c>
      <c r="F42" s="105">
        <f>E42*B42</f>
        <v>54.008489999999995</v>
      </c>
      <c r="G42" s="106"/>
      <c r="H42" s="106"/>
    </row>
    <row r="43" spans="1:8" x14ac:dyDescent="0.25">
      <c r="A43" s="100" t="s">
        <v>62</v>
      </c>
      <c r="B43" s="101">
        <f>+D37</f>
        <v>1800.2829999999999</v>
      </c>
      <c r="C43" s="108">
        <v>7.4999999999999997E-3</v>
      </c>
      <c r="D43" s="109">
        <f>C43*B43</f>
        <v>13.502122499999999</v>
      </c>
      <c r="E43" s="111">
        <v>1.4999999999999999E-2</v>
      </c>
      <c r="F43" s="105">
        <f>E43*B43</f>
        <v>27.004244999999997</v>
      </c>
      <c r="G43" s="106"/>
      <c r="H43" s="106"/>
    </row>
    <row r="44" spans="1:8" x14ac:dyDescent="0.25">
      <c r="A44" s="100" t="s">
        <v>63</v>
      </c>
      <c r="B44" s="101"/>
      <c r="C44" s="108"/>
      <c r="D44" s="109"/>
      <c r="E44" s="112"/>
      <c r="F44" s="105"/>
      <c r="G44" s="106"/>
      <c r="H44" s="106"/>
    </row>
    <row r="45" spans="1:8" x14ac:dyDescent="0.25">
      <c r="A45" s="95" t="s">
        <v>64</v>
      </c>
      <c r="B45" s="101">
        <f>D37</f>
        <v>1800.2829999999999</v>
      </c>
      <c r="C45" s="107"/>
      <c r="D45" s="101"/>
      <c r="E45" s="113">
        <v>2.7E-2</v>
      </c>
      <c r="F45" s="105">
        <f>E45*B45</f>
        <v>48.607640999999994</v>
      </c>
      <c r="G45" s="106"/>
      <c r="H45" s="106"/>
    </row>
    <row r="46" spans="1:8" x14ac:dyDescent="0.25">
      <c r="A46" s="95" t="s">
        <v>65</v>
      </c>
      <c r="B46" s="96"/>
      <c r="C46" s="97"/>
      <c r="D46" s="97"/>
      <c r="E46" s="98"/>
      <c r="F46" s="99"/>
      <c r="G46" s="106"/>
      <c r="H46" s="106"/>
    </row>
    <row r="47" spans="1:8" x14ac:dyDescent="0.25">
      <c r="A47" s="100" t="s">
        <v>66</v>
      </c>
      <c r="B47" s="101">
        <f>B45</f>
        <v>1800.2829999999999</v>
      </c>
      <c r="C47" s="108">
        <v>6.9000000000000006E-2</v>
      </c>
      <c r="D47" s="109">
        <f t="shared" ref="D47:D49" si="1">C47*B47</f>
        <v>124.219527</v>
      </c>
      <c r="E47" s="111">
        <f>'[5]Exercice 2'!E47</f>
        <v>8.5500000000000007E-2</v>
      </c>
      <c r="F47" s="105">
        <f t="shared" ref="F47:F49" si="2">E47*B47</f>
        <v>153.92419649999999</v>
      </c>
      <c r="G47" s="106"/>
      <c r="H47" s="106"/>
    </row>
    <row r="48" spans="1:8" x14ac:dyDescent="0.25">
      <c r="A48" s="100" t="s">
        <v>67</v>
      </c>
      <c r="B48" s="101">
        <f>B47</f>
        <v>1800.2829999999999</v>
      </c>
      <c r="C48" s="108">
        <v>4.0000000000000001E-3</v>
      </c>
      <c r="D48" s="109">
        <f t="shared" si="1"/>
        <v>7.2011319999999994</v>
      </c>
      <c r="E48" s="111">
        <f>'[5]Exercice 2'!E48</f>
        <v>1.9E-2</v>
      </c>
      <c r="F48" s="105">
        <f t="shared" si="2"/>
        <v>34.205376999999999</v>
      </c>
      <c r="G48" s="106"/>
      <c r="H48" s="106"/>
    </row>
    <row r="49" spans="1:9" x14ac:dyDescent="0.25">
      <c r="A49" s="100" t="s">
        <v>68</v>
      </c>
      <c r="B49" s="101">
        <f>B48</f>
        <v>1800.2829999999999</v>
      </c>
      <c r="C49" s="108">
        <v>4.0099999999999997E-2</v>
      </c>
      <c r="D49" s="109">
        <f t="shared" si="1"/>
        <v>72.191348299999987</v>
      </c>
      <c r="E49" s="111">
        <f>'[5]Exercice 2'!E49</f>
        <v>6.0100000000000001E-2</v>
      </c>
      <c r="F49" s="105">
        <f t="shared" si="2"/>
        <v>108.19700829999999</v>
      </c>
      <c r="G49" s="106"/>
      <c r="H49" s="106"/>
    </row>
    <row r="50" spans="1:9" x14ac:dyDescent="0.25">
      <c r="A50" s="100" t="s">
        <v>69</v>
      </c>
      <c r="B50" s="101"/>
      <c r="C50" s="108"/>
      <c r="D50" s="109"/>
      <c r="E50" s="111">
        <f t="shared" ref="E50:E51" si="3">G46</f>
        <v>0</v>
      </c>
      <c r="F50" s="105"/>
      <c r="G50" s="106"/>
      <c r="H50" s="106"/>
    </row>
    <row r="51" spans="1:9" x14ac:dyDescent="0.25">
      <c r="A51" s="100" t="s">
        <v>70</v>
      </c>
      <c r="B51" s="101"/>
      <c r="C51" s="108"/>
      <c r="D51" s="109"/>
      <c r="E51" s="111">
        <f t="shared" si="3"/>
        <v>0</v>
      </c>
      <c r="F51" s="105"/>
      <c r="G51" s="106"/>
      <c r="H51" s="106"/>
    </row>
    <row r="52" spans="1:9" x14ac:dyDescent="0.25">
      <c r="A52" s="100" t="s">
        <v>71</v>
      </c>
      <c r="B52" s="101"/>
      <c r="C52" s="108"/>
      <c r="D52" s="109"/>
      <c r="E52" s="112"/>
      <c r="F52" s="105"/>
      <c r="G52" s="106"/>
      <c r="H52" s="106"/>
    </row>
    <row r="53" spans="1:9" x14ac:dyDescent="0.25">
      <c r="A53" s="95" t="s">
        <v>72</v>
      </c>
      <c r="B53" s="101">
        <f>D37</f>
        <v>1800.2829999999999</v>
      </c>
      <c r="C53" s="114"/>
      <c r="D53" s="101"/>
      <c r="E53" s="113">
        <v>3.4500000000000003E-2</v>
      </c>
      <c r="F53" s="105">
        <f t="shared" ref="F53:F54" si="4">E53*B53</f>
        <v>62.1097635</v>
      </c>
      <c r="G53" s="106"/>
      <c r="H53" s="106"/>
    </row>
    <row r="54" spans="1:9" x14ac:dyDescent="0.25">
      <c r="A54" s="95" t="s">
        <v>73</v>
      </c>
      <c r="B54" s="101">
        <f>B53</f>
        <v>1800.2829999999999</v>
      </c>
      <c r="C54" s="114"/>
      <c r="D54" s="101"/>
      <c r="E54" s="113">
        <v>4.2000000000000003E-2</v>
      </c>
      <c r="F54" s="105">
        <f t="shared" si="4"/>
        <v>75.611885999999998</v>
      </c>
      <c r="G54" s="106"/>
      <c r="H54" s="106"/>
    </row>
    <row r="55" spans="1:9" x14ac:dyDescent="0.25">
      <c r="A55" s="100" t="s">
        <v>74</v>
      </c>
      <c r="B55" s="101"/>
      <c r="C55" s="115">
        <v>2.4000000000000001E-4</v>
      </c>
      <c r="D55" s="101">
        <f>+C55*B55</f>
        <v>0</v>
      </c>
      <c r="E55" s="116">
        <v>3.6000000000000002E-4</v>
      </c>
      <c r="F55" s="105">
        <f>+E55*B55</f>
        <v>0</v>
      </c>
      <c r="G55" s="106"/>
      <c r="H55" s="106"/>
    </row>
    <row r="56" spans="1:9" x14ac:dyDescent="0.25">
      <c r="A56" s="95" t="s">
        <v>75</v>
      </c>
      <c r="B56" s="101"/>
      <c r="C56" s="114"/>
      <c r="D56" s="101"/>
      <c r="E56" s="117"/>
      <c r="F56" s="105">
        <f>D141</f>
        <v>29.632658179999993</v>
      </c>
      <c r="G56" s="106"/>
      <c r="H56" s="106"/>
    </row>
    <row r="57" spans="1:9" x14ac:dyDescent="0.25">
      <c r="A57" s="95"/>
      <c r="B57" s="101"/>
      <c r="C57" s="101"/>
      <c r="D57" s="101"/>
      <c r="E57" s="117"/>
      <c r="F57" s="118"/>
      <c r="G57" s="106"/>
      <c r="H57" s="106"/>
    </row>
    <row r="58" spans="1:9" x14ac:dyDescent="0.25">
      <c r="A58" s="119" t="s">
        <v>76</v>
      </c>
      <c r="B58" s="101"/>
      <c r="C58" s="101"/>
      <c r="D58" s="101"/>
      <c r="E58" s="117"/>
      <c r="F58" s="118"/>
      <c r="G58" s="106"/>
      <c r="H58" s="106"/>
    </row>
    <row r="59" spans="1:9" ht="18" customHeight="1" x14ac:dyDescent="0.25">
      <c r="A59" s="100"/>
      <c r="B59" s="101"/>
      <c r="C59" s="115"/>
      <c r="D59" s="101"/>
      <c r="E59" s="117"/>
      <c r="F59" s="105"/>
      <c r="G59" s="106"/>
      <c r="H59" s="106"/>
    </row>
    <row r="60" spans="1:9" ht="18" customHeight="1" x14ac:dyDescent="0.25">
      <c r="A60" s="95" t="s">
        <v>77</v>
      </c>
      <c r="B60" s="101">
        <f>((D37*0.9825)+(F42+F43))</f>
        <v>1849.7907825</v>
      </c>
      <c r="C60" s="108">
        <v>6.8000000000000005E-2</v>
      </c>
      <c r="D60" s="109">
        <f>C60*B60</f>
        <v>125.78577321</v>
      </c>
      <c r="E60" s="112"/>
      <c r="F60" s="105"/>
    </row>
    <row r="61" spans="1:9" ht="18" customHeight="1" x14ac:dyDescent="0.25">
      <c r="A61" s="120" t="s">
        <v>78</v>
      </c>
      <c r="B61" s="121">
        <f>B60</f>
        <v>1849.7907825</v>
      </c>
      <c r="C61" s="122">
        <v>2.9000000000000001E-2</v>
      </c>
      <c r="D61" s="109">
        <f>C61*B61</f>
        <v>53.643932692500002</v>
      </c>
      <c r="E61" s="112"/>
      <c r="F61" s="123"/>
      <c r="H61" s="5" t="s">
        <v>165</v>
      </c>
      <c r="I61" s="224">
        <f>D76</f>
        <v>1488.8880494899997</v>
      </c>
    </row>
    <row r="62" spans="1:9" ht="18" customHeight="1" x14ac:dyDescent="0.25">
      <c r="A62" s="124" t="s">
        <v>79</v>
      </c>
      <c r="B62" s="121">
        <f>I38*0.9825</f>
        <v>0</v>
      </c>
      <c r="C62" s="122">
        <v>9.7000000000000003E-2</v>
      </c>
      <c r="D62" s="109">
        <f>C62*B62</f>
        <v>0</v>
      </c>
      <c r="E62" s="126"/>
      <c r="F62" s="123"/>
      <c r="H62" s="5" t="s">
        <v>183</v>
      </c>
      <c r="I62" s="224">
        <v>575.4</v>
      </c>
    </row>
    <row r="63" spans="1:9" ht="18" customHeight="1" x14ac:dyDescent="0.25">
      <c r="A63" s="127" t="s">
        <v>80</v>
      </c>
      <c r="B63" s="227">
        <f>I38</f>
        <v>0</v>
      </c>
      <c r="C63" s="228">
        <v>-0.11310000000000001</v>
      </c>
      <c r="D63" s="125">
        <f>C63*B63</f>
        <v>0</v>
      </c>
      <c r="E63" s="128"/>
      <c r="F63" s="129"/>
      <c r="H63" s="5" t="s">
        <v>166</v>
      </c>
      <c r="I63" s="230">
        <f>I62*3.8/100</f>
        <v>21.865200000000002</v>
      </c>
    </row>
    <row r="64" spans="1:9" ht="18" customHeight="1" x14ac:dyDescent="0.25">
      <c r="A64" s="127" t="s">
        <v>80</v>
      </c>
      <c r="B64" s="128"/>
      <c r="C64" s="128"/>
      <c r="D64" s="128"/>
      <c r="E64" s="229">
        <v>-1.5</v>
      </c>
      <c r="F64" s="129">
        <f>E64*B64</f>
        <v>0</v>
      </c>
      <c r="H64" s="5" t="s">
        <v>167</v>
      </c>
      <c r="I64" s="224">
        <f>I62-I63</f>
        <v>553.53480000000002</v>
      </c>
    </row>
    <row r="65" spans="1:9" ht="18" customHeight="1" x14ac:dyDescent="0.25">
      <c r="A65" s="120" t="s">
        <v>81</v>
      </c>
      <c r="B65" s="125"/>
      <c r="C65" s="130"/>
      <c r="D65" s="131">
        <f>SUM(D41:D63)</f>
        <v>419.04737320250001</v>
      </c>
      <c r="E65" s="131"/>
      <c r="F65" s="131">
        <f>SUM(F41:F64)</f>
        <v>719.32107547999999</v>
      </c>
      <c r="H65" s="5" t="s">
        <v>168</v>
      </c>
      <c r="I65" s="224">
        <f>+I61+I64</f>
        <v>2042.4228494899999</v>
      </c>
    </row>
    <row r="66" spans="1:9" ht="18" customHeight="1" x14ac:dyDescent="0.25">
      <c r="A66" s="120"/>
      <c r="B66" s="125"/>
      <c r="C66" s="130"/>
      <c r="D66" s="131"/>
      <c r="E66" s="132"/>
      <c r="F66" s="133"/>
    </row>
    <row r="67" spans="1:9" x14ac:dyDescent="0.25">
      <c r="A67" s="134" t="s">
        <v>13</v>
      </c>
      <c r="B67" s="125"/>
      <c r="C67" s="130"/>
      <c r="D67" s="131"/>
      <c r="E67" s="132"/>
      <c r="F67" s="133"/>
    </row>
    <row r="68" spans="1:9" x14ac:dyDescent="0.25">
      <c r="A68" s="134" t="s">
        <v>82</v>
      </c>
      <c r="B68" s="125"/>
      <c r="C68" s="130"/>
      <c r="D68" s="131"/>
      <c r="E68" s="132"/>
      <c r="F68" s="133"/>
    </row>
    <row r="69" spans="1:9" x14ac:dyDescent="0.25">
      <c r="A69" s="134" t="s">
        <v>83</v>
      </c>
      <c r="B69" s="125"/>
      <c r="C69" s="130"/>
      <c r="D69" s="131"/>
      <c r="E69" s="132"/>
      <c r="F69" s="133"/>
    </row>
    <row r="70" spans="1:9" ht="15.75" customHeight="1" x14ac:dyDescent="0.25">
      <c r="A70" s="134" t="s">
        <v>84</v>
      </c>
      <c r="B70" s="135"/>
      <c r="C70" s="130"/>
      <c r="D70" s="131"/>
      <c r="E70" s="132"/>
      <c r="F70" s="133"/>
    </row>
    <row r="71" spans="1:9" x14ac:dyDescent="0.25">
      <c r="A71" s="134" t="s">
        <v>85</v>
      </c>
      <c r="B71" s="125"/>
      <c r="C71" s="130"/>
      <c r="D71" s="131"/>
      <c r="E71" s="132"/>
      <c r="F71" s="133"/>
    </row>
    <row r="72" spans="1:9" x14ac:dyDescent="0.25">
      <c r="A72" s="134" t="s">
        <v>134</v>
      </c>
      <c r="B72" s="125"/>
      <c r="C72" s="130"/>
      <c r="D72" s="131"/>
      <c r="E72" s="132"/>
      <c r="F72" s="133"/>
    </row>
    <row r="73" spans="1:9" ht="15.75" thickBot="1" x14ac:dyDescent="0.3">
      <c r="A73" s="120" t="s">
        <v>182</v>
      </c>
      <c r="B73" s="125"/>
      <c r="C73" s="130"/>
      <c r="D73" s="131">
        <f>+D37-D65</f>
        <v>1381.2356267974999</v>
      </c>
      <c r="E73" s="132"/>
      <c r="F73" s="136"/>
    </row>
    <row r="74" spans="1:9" x14ac:dyDescent="0.25">
      <c r="A74" s="276"/>
      <c r="B74" s="125"/>
      <c r="C74" s="130"/>
      <c r="D74" s="131"/>
      <c r="E74" s="132"/>
      <c r="F74" s="277"/>
    </row>
    <row r="75" spans="1:9" s="63" customFormat="1" x14ac:dyDescent="0.25">
      <c r="A75" s="144" t="s">
        <v>88</v>
      </c>
      <c r="B75" s="144" t="s">
        <v>89</v>
      </c>
      <c r="C75" s="144" t="s">
        <v>90</v>
      </c>
      <c r="D75" s="147" t="s">
        <v>91</v>
      </c>
      <c r="E75" s="147"/>
      <c r="F75" s="148" t="s">
        <v>92</v>
      </c>
    </row>
    <row r="76" spans="1:9" s="63" customFormat="1" x14ac:dyDescent="0.25">
      <c r="A76" s="149" t="s">
        <v>14</v>
      </c>
      <c r="B76" s="150"/>
      <c r="C76" s="139"/>
      <c r="D76" s="151">
        <f>D37+F42+D61-D65</f>
        <v>1488.8880494899997</v>
      </c>
      <c r="E76" s="152"/>
      <c r="F76" s="153"/>
    </row>
    <row r="77" spans="1:9" s="63" customFormat="1" x14ac:dyDescent="0.25">
      <c r="A77" s="149" t="s">
        <v>93</v>
      </c>
      <c r="B77" s="154">
        <f>I65</f>
        <v>2042.4228494899999</v>
      </c>
      <c r="C77" s="155">
        <v>0.06</v>
      </c>
      <c r="D77" s="151">
        <f>C77*B77</f>
        <v>122.54537096939998</v>
      </c>
      <c r="E77" s="152"/>
      <c r="F77" s="153"/>
    </row>
    <row r="78" spans="1:9" s="63" customFormat="1" x14ac:dyDescent="0.25">
      <c r="A78" s="149" t="s">
        <v>94</v>
      </c>
      <c r="B78" s="150"/>
      <c r="C78" s="151"/>
      <c r="D78" s="151"/>
      <c r="E78" s="152"/>
      <c r="F78" s="153"/>
    </row>
    <row r="79" spans="1:9" s="63" customFormat="1" x14ac:dyDescent="0.25">
      <c r="A79" s="149"/>
      <c r="B79" s="150"/>
      <c r="C79" s="139"/>
      <c r="D79" s="139"/>
      <c r="E79" s="152"/>
      <c r="F79" s="156"/>
    </row>
    <row r="80" spans="1:9" s="63" customFormat="1" x14ac:dyDescent="0.25">
      <c r="A80" s="137" t="s">
        <v>95</v>
      </c>
      <c r="B80" s="151"/>
      <c r="C80" s="139"/>
      <c r="D80" s="151">
        <f>D73-D77</f>
        <v>1258.6902558280999</v>
      </c>
      <c r="E80" s="152"/>
      <c r="F80" s="153"/>
    </row>
    <row r="81" spans="1:6" s="63" customFormat="1" x14ac:dyDescent="0.25">
      <c r="A81" s="149" t="s">
        <v>96</v>
      </c>
      <c r="B81" s="139"/>
      <c r="C81" s="139"/>
      <c r="D81" s="139"/>
      <c r="E81" s="152"/>
      <c r="F81" s="153"/>
    </row>
    <row r="82" spans="1:6" s="63" customFormat="1" x14ac:dyDescent="0.25">
      <c r="A82" s="149" t="s">
        <v>97</v>
      </c>
      <c r="B82" s="157"/>
      <c r="C82" s="139"/>
      <c r="D82" s="139"/>
      <c r="E82" s="152"/>
      <c r="F82" s="153"/>
    </row>
    <row r="83" spans="1:6" s="63" customFormat="1" ht="15.75" thickBot="1" x14ac:dyDescent="0.3">
      <c r="A83" s="158" t="s">
        <v>98</v>
      </c>
      <c r="B83" s="159"/>
      <c r="C83" s="159"/>
      <c r="D83" s="159"/>
      <c r="E83" s="160"/>
      <c r="F83" s="161"/>
    </row>
    <row r="84" spans="1:6" s="63" customFormat="1" x14ac:dyDescent="0.25">
      <c r="A84" s="272"/>
      <c r="B84" s="273"/>
      <c r="C84" s="273"/>
      <c r="D84" s="273"/>
      <c r="E84" s="273"/>
      <c r="F84" s="274"/>
    </row>
    <row r="86" spans="1:6" hidden="1" x14ac:dyDescent="0.25"/>
    <row r="87" spans="1:6" hidden="1" x14ac:dyDescent="0.25">
      <c r="A87" s="265" t="s">
        <v>75</v>
      </c>
      <c r="B87" s="266"/>
    </row>
    <row r="88" spans="1:6" hidden="1" x14ac:dyDescent="0.25">
      <c r="A88" s="162"/>
      <c r="B88" s="163"/>
      <c r="C88" s="267">
        <f>D37</f>
        <v>1800.2829999999999</v>
      </c>
      <c r="D88" s="164"/>
    </row>
    <row r="89" spans="1:6" hidden="1" x14ac:dyDescent="0.25">
      <c r="A89" s="165" t="s">
        <v>99</v>
      </c>
      <c r="B89" s="166" t="e">
        <f>IF(#REF!&gt;=11,#REF!,0)</f>
        <v>#REF!</v>
      </c>
      <c r="C89" s="268"/>
      <c r="D89" s="167" t="e">
        <f>$C$88*B89</f>
        <v>#REF!</v>
      </c>
    </row>
    <row r="90" spans="1:6" hidden="1" x14ac:dyDescent="0.25">
      <c r="A90" s="165" t="s">
        <v>100</v>
      </c>
      <c r="B90" s="166" t="e">
        <f>IF(#REF!&lt;50,0%,0.5%)</f>
        <v>#REF!</v>
      </c>
      <c r="C90" s="268"/>
      <c r="D90" s="167" t="e">
        <f t="shared" ref="D90:D95" si="5">$C$88*B90</f>
        <v>#REF!</v>
      </c>
    </row>
    <row r="91" spans="1:6" hidden="1" x14ac:dyDescent="0.25">
      <c r="A91" s="165" t="s">
        <v>101</v>
      </c>
      <c r="B91" s="166">
        <v>1.6000000000000001E-4</v>
      </c>
      <c r="C91" s="268"/>
      <c r="D91" s="167">
        <f t="shared" si="5"/>
        <v>0.28804528000000001</v>
      </c>
    </row>
    <row r="92" spans="1:6" hidden="1" x14ac:dyDescent="0.25">
      <c r="A92" s="165" t="s">
        <v>102</v>
      </c>
      <c r="B92" s="166">
        <v>3.0000000000000001E-3</v>
      </c>
      <c r="C92" s="268"/>
      <c r="D92" s="167">
        <f t="shared" si="5"/>
        <v>5.400849</v>
      </c>
    </row>
    <row r="93" spans="1:6" hidden="1" x14ac:dyDescent="0.25">
      <c r="A93" s="165" t="s">
        <v>103</v>
      </c>
      <c r="B93" s="166">
        <v>5.8999999999999999E-3</v>
      </c>
      <c r="C93" s="268"/>
      <c r="D93" s="167">
        <f t="shared" si="5"/>
        <v>10.6216697</v>
      </c>
    </row>
    <row r="94" spans="1:6" hidden="1" x14ac:dyDescent="0.25">
      <c r="A94" s="165" t="s">
        <v>104</v>
      </c>
      <c r="B94" s="166" t="e">
        <f>IF(#REF!&lt;11,0.55%,1%)</f>
        <v>#REF!</v>
      </c>
      <c r="C94" s="268"/>
      <c r="D94" s="167" t="e">
        <f t="shared" si="5"/>
        <v>#REF!</v>
      </c>
    </row>
    <row r="95" spans="1:6" hidden="1" x14ac:dyDescent="0.25">
      <c r="A95" s="165" t="s">
        <v>105</v>
      </c>
      <c r="B95" s="166" t="e">
        <f>IF(#REF!&lt;=50,0,0.45%)</f>
        <v>#REF!</v>
      </c>
      <c r="C95" s="268"/>
      <c r="D95" s="167" t="e">
        <f t="shared" si="5"/>
        <v>#REF!</v>
      </c>
    </row>
    <row r="96" spans="1:6" hidden="1" x14ac:dyDescent="0.25">
      <c r="A96" s="15"/>
      <c r="B96" s="52"/>
      <c r="C96" s="52"/>
      <c r="D96" s="17"/>
    </row>
    <row r="97" spans="1:4" hidden="1" x14ac:dyDescent="0.25">
      <c r="A97" s="15" t="s">
        <v>106</v>
      </c>
      <c r="B97" s="168" t="e">
        <f>IF(#REF!&gt;=11,+F38+F39+F40,0)</f>
        <v>#REF!</v>
      </c>
      <c r="C97" s="169">
        <v>0.08</v>
      </c>
      <c r="D97" s="170" t="e">
        <f>C97*B97</f>
        <v>#REF!</v>
      </c>
    </row>
    <row r="98" spans="1:4" ht="15.75" hidden="1" thickBot="1" x14ac:dyDescent="0.3">
      <c r="A98" s="18" t="s">
        <v>107</v>
      </c>
      <c r="B98" s="171">
        <f>D37</f>
        <v>1800.2829999999999</v>
      </c>
      <c r="C98" s="172">
        <v>1E-3</v>
      </c>
      <c r="D98" s="173">
        <f>C98*B98</f>
        <v>1.8002829999999999</v>
      </c>
    </row>
    <row r="99" spans="1:4" hidden="1" x14ac:dyDescent="0.25"/>
    <row r="100" spans="1:4" ht="15.75" hidden="1" thickBot="1" x14ac:dyDescent="0.3">
      <c r="A100" s="174" t="s">
        <v>108</v>
      </c>
      <c r="B100" s="175"/>
      <c r="C100" s="175"/>
      <c r="D100" s="176" t="e">
        <f>SUM(D89:D98)</f>
        <v>#REF!</v>
      </c>
    </row>
    <row r="101" spans="1:4" hidden="1" x14ac:dyDescent="0.25"/>
    <row r="102" spans="1:4" ht="15.75" hidden="1" thickBot="1" x14ac:dyDescent="0.3">
      <c r="A102" s="269" t="s">
        <v>109</v>
      </c>
      <c r="B102" s="270"/>
      <c r="C102" s="270"/>
      <c r="D102" s="271"/>
    </row>
    <row r="103" spans="1:4" hidden="1" x14ac:dyDescent="0.25">
      <c r="A103" s="177" t="s">
        <v>110</v>
      </c>
      <c r="B103" s="178">
        <f>D37</f>
        <v>1800.2829999999999</v>
      </c>
      <c r="C103" s="179">
        <v>2.4E-2</v>
      </c>
      <c r="D103" s="180">
        <f>C103*B103</f>
        <v>43.206792</v>
      </c>
    </row>
    <row r="104" spans="1:4" hidden="1" x14ac:dyDescent="0.25">
      <c r="A104" s="181" t="s">
        <v>0</v>
      </c>
      <c r="B104" s="178">
        <f>B103</f>
        <v>1800.2829999999999</v>
      </c>
      <c r="C104" s="182">
        <v>7.4999999999999997E-3</v>
      </c>
      <c r="D104" s="183">
        <f>C104*B104</f>
        <v>13.502122499999999</v>
      </c>
    </row>
    <row r="105" spans="1:4" hidden="1" x14ac:dyDescent="0.25">
      <c r="A105" s="181" t="s">
        <v>111</v>
      </c>
      <c r="B105" s="178">
        <f>B60</f>
        <v>1849.7907825</v>
      </c>
      <c r="C105" s="182">
        <v>-1.7000000000000001E-2</v>
      </c>
      <c r="D105" s="183">
        <f>C105*B105</f>
        <v>-31.446443302500001</v>
      </c>
    </row>
    <row r="106" spans="1:4" hidden="1" x14ac:dyDescent="0.25">
      <c r="A106" s="120"/>
      <c r="B106" s="184"/>
      <c r="C106" s="185"/>
      <c r="D106" s="186"/>
    </row>
    <row r="107" spans="1:4" ht="15.75" hidden="1" thickBot="1" x14ac:dyDescent="0.3">
      <c r="A107" s="187" t="s">
        <v>112</v>
      </c>
      <c r="B107" s="188"/>
      <c r="C107" s="189"/>
      <c r="D107" s="190">
        <f>SUM(D103:D106)</f>
        <v>25.262471197499998</v>
      </c>
    </row>
    <row r="108" spans="1:4" hidden="1" x14ac:dyDescent="0.25">
      <c r="A108" s="191"/>
      <c r="B108" s="191"/>
      <c r="C108" s="191"/>
      <c r="D108" s="191"/>
    </row>
    <row r="109" spans="1:4" hidden="1" x14ac:dyDescent="0.25">
      <c r="A109" s="191"/>
      <c r="B109" s="191"/>
      <c r="C109" s="191"/>
      <c r="D109" s="191"/>
    </row>
    <row r="110" spans="1:4" ht="15.75" hidden="1" thickBot="1" x14ac:dyDescent="0.3">
      <c r="A110" s="269" t="s">
        <v>113</v>
      </c>
      <c r="B110" s="270"/>
      <c r="C110" s="270"/>
      <c r="D110" s="271"/>
    </row>
    <row r="111" spans="1:4" hidden="1" x14ac:dyDescent="0.25">
      <c r="A111" s="192" t="s">
        <v>114</v>
      </c>
      <c r="B111" s="193"/>
      <c r="C111" s="193"/>
      <c r="D111" s="194">
        <f>-F63</f>
        <v>0</v>
      </c>
    </row>
    <row r="112" spans="1:4" hidden="1" x14ac:dyDescent="0.25">
      <c r="A112" s="195" t="s">
        <v>115</v>
      </c>
      <c r="B112" s="196">
        <f>B62</f>
        <v>0</v>
      </c>
      <c r="C112" s="197">
        <v>1.5</v>
      </c>
      <c r="D112" s="198">
        <f>C112*B112</f>
        <v>0</v>
      </c>
    </row>
    <row r="113" spans="1:13" hidden="1" x14ac:dyDescent="0.25">
      <c r="A113" s="195" t="s">
        <v>116</v>
      </c>
      <c r="B113" s="199">
        <f>D37</f>
        <v>1800.2829999999999</v>
      </c>
      <c r="C113" s="182">
        <v>1.7999999999999999E-2</v>
      </c>
      <c r="D113" s="198">
        <f>C113*B113</f>
        <v>32.405093999999998</v>
      </c>
    </row>
    <row r="114" spans="1:13" hidden="1" x14ac:dyDescent="0.25">
      <c r="A114" s="195" t="s">
        <v>117</v>
      </c>
      <c r="B114" s="199">
        <f>B113</f>
        <v>1800.2829999999999</v>
      </c>
      <c r="C114" s="182">
        <v>0.06</v>
      </c>
      <c r="D114" s="198">
        <f>C114*B114</f>
        <v>108.01697999999999</v>
      </c>
    </row>
    <row r="115" spans="1:13" ht="15.75" hidden="1" thickBot="1" x14ac:dyDescent="0.3">
      <c r="A115" s="200" t="s">
        <v>118</v>
      </c>
      <c r="B115" s="201"/>
      <c r="C115" s="201"/>
      <c r="D115" s="202">
        <f>D111+D112+D113+D114</f>
        <v>140.42207399999998</v>
      </c>
    </row>
    <row r="116" spans="1:13" hidden="1" x14ac:dyDescent="0.25"/>
    <row r="117" spans="1:13" hidden="1" x14ac:dyDescent="0.25"/>
    <row r="118" spans="1:13" hidden="1" x14ac:dyDescent="0.25"/>
    <row r="119" spans="1:13" hidden="1" x14ac:dyDescent="0.25"/>
    <row r="121" spans="1:13" ht="15.75" thickBot="1" x14ac:dyDescent="0.3">
      <c r="A121" s="203" t="s">
        <v>87</v>
      </c>
      <c r="G121" s="250" t="s">
        <v>169</v>
      </c>
      <c r="H121" s="250"/>
      <c r="I121" s="251">
        <f>+C156</f>
        <v>20.333160000000003</v>
      </c>
    </row>
    <row r="122" spans="1:13" x14ac:dyDescent="0.25">
      <c r="A122" s="204" t="s">
        <v>119</v>
      </c>
      <c r="B122" s="205">
        <f>-1.7%*B60</f>
        <v>-31.446443302500001</v>
      </c>
      <c r="D122" s="275"/>
      <c r="G122" s="252">
        <v>21</v>
      </c>
      <c r="H122" s="251">
        <f>+C173</f>
        <v>19.600901020408163</v>
      </c>
      <c r="I122" s="253">
        <f>+H122*G122</f>
        <v>411.61892142857141</v>
      </c>
    </row>
    <row r="123" spans="1:13" x14ac:dyDescent="0.25">
      <c r="A123" s="206" t="s">
        <v>120</v>
      </c>
      <c r="B123" s="207">
        <f>$D$37*0.75%</f>
        <v>13.502122499999999</v>
      </c>
      <c r="G123" s="250"/>
      <c r="H123" s="250"/>
      <c r="I123" s="251" t="e">
        <f>+#REF!</f>
        <v>#REF!</v>
      </c>
    </row>
    <row r="124" spans="1:13" x14ac:dyDescent="0.25">
      <c r="A124" s="206" t="s">
        <v>121</v>
      </c>
      <c r="B124" s="207">
        <f>$D$37*2.4%</f>
        <v>43.206792</v>
      </c>
      <c r="G124" s="250"/>
      <c r="H124" s="250"/>
      <c r="I124" s="253" t="e">
        <f>+I123+I122+I121</f>
        <v>#REF!</v>
      </c>
      <c r="K124" s="254" t="s">
        <v>171</v>
      </c>
      <c r="L124" s="254"/>
      <c r="M124" s="254"/>
    </row>
    <row r="125" spans="1:13" ht="15.75" thickBot="1" x14ac:dyDescent="0.3">
      <c r="A125" s="208"/>
      <c r="B125" s="209">
        <f>SUM(B122:B124)</f>
        <v>25.262471197499998</v>
      </c>
      <c r="G125" s="250" t="s">
        <v>170</v>
      </c>
      <c r="H125" s="250"/>
      <c r="I125" s="251">
        <f>+C170</f>
        <v>2881.3324499999999</v>
      </c>
    </row>
    <row r="127" spans="1:13" ht="15.75" thickBot="1" x14ac:dyDescent="0.3">
      <c r="A127" s="203" t="s">
        <v>96</v>
      </c>
    </row>
    <row r="128" spans="1:13" x14ac:dyDescent="0.25">
      <c r="A128" s="204" t="s">
        <v>122</v>
      </c>
      <c r="B128" s="210">
        <f>-F63</f>
        <v>0</v>
      </c>
    </row>
    <row r="129" spans="1:4" x14ac:dyDescent="0.25">
      <c r="A129" s="206" t="s">
        <v>123</v>
      </c>
      <c r="B129" s="207">
        <f>$D$37*6%</f>
        <v>108.01697999999999</v>
      </c>
    </row>
    <row r="130" spans="1:4" x14ac:dyDescent="0.25">
      <c r="A130" s="206" t="s">
        <v>124</v>
      </c>
      <c r="B130" s="207">
        <f>$D$37*1.8%</f>
        <v>32.405094000000005</v>
      </c>
    </row>
    <row r="131" spans="1:4" ht="15.75" thickBot="1" x14ac:dyDescent="0.3">
      <c r="A131" s="211" t="s">
        <v>118</v>
      </c>
      <c r="B131" s="212">
        <f>SUM(B128:B130)</f>
        <v>140.42207400000001</v>
      </c>
    </row>
    <row r="133" spans="1:4" ht="15.75" thickBot="1" x14ac:dyDescent="0.3"/>
    <row r="134" spans="1:4" x14ac:dyDescent="0.25">
      <c r="A134" s="213" t="s">
        <v>75</v>
      </c>
      <c r="B134" s="214" t="s">
        <v>89</v>
      </c>
      <c r="C134" s="214" t="s">
        <v>90</v>
      </c>
      <c r="D134" s="215" t="s">
        <v>40</v>
      </c>
    </row>
    <row r="135" spans="1:4" ht="16.5" x14ac:dyDescent="0.25">
      <c r="A135" s="216" t="s">
        <v>125</v>
      </c>
      <c r="B135" s="258">
        <f>D37</f>
        <v>1800.2829999999999</v>
      </c>
      <c r="C135" s="182">
        <v>1E-3</v>
      </c>
      <c r="D135" s="217">
        <f>C135*$B$135</f>
        <v>1.8002829999999999</v>
      </c>
    </row>
    <row r="136" spans="1:4" ht="16.5" x14ac:dyDescent="0.25">
      <c r="A136" s="216" t="s">
        <v>126</v>
      </c>
      <c r="B136" s="259"/>
      <c r="C136" s="218"/>
      <c r="D136" s="219"/>
    </row>
    <row r="137" spans="1:4" ht="16.5" x14ac:dyDescent="0.25">
      <c r="A137" s="216" t="s">
        <v>127</v>
      </c>
      <c r="B137" s="259"/>
      <c r="C137" s="182">
        <v>3.0000000000000001E-3</v>
      </c>
      <c r="D137" s="217">
        <f t="shared" ref="D137:D140" si="6">C137*$B$135</f>
        <v>5.400849</v>
      </c>
    </row>
    <row r="138" spans="1:4" ht="16.5" x14ac:dyDescent="0.25">
      <c r="A138" s="216" t="s">
        <v>128</v>
      </c>
      <c r="B138" s="259"/>
      <c r="C138" s="182">
        <v>6.7999999999999996E-3</v>
      </c>
      <c r="D138" s="217">
        <f t="shared" si="6"/>
        <v>12.241924399999998</v>
      </c>
    </row>
    <row r="139" spans="1:4" ht="16.5" x14ac:dyDescent="0.25">
      <c r="A139" s="216" t="s">
        <v>104</v>
      </c>
      <c r="B139" s="259"/>
      <c r="C139" s="182">
        <v>5.4999999999999997E-3</v>
      </c>
      <c r="D139" s="217">
        <f t="shared" si="6"/>
        <v>9.9015564999999981</v>
      </c>
    </row>
    <row r="140" spans="1:4" ht="16.5" x14ac:dyDescent="0.25">
      <c r="A140" s="216" t="s">
        <v>129</v>
      </c>
      <c r="B140" s="260"/>
      <c r="C140" s="220">
        <v>1.6000000000000001E-4</v>
      </c>
      <c r="D140" s="217">
        <f t="shared" si="6"/>
        <v>0.28804528000000001</v>
      </c>
    </row>
    <row r="141" spans="1:4" ht="16.5" x14ac:dyDescent="0.25">
      <c r="A141" s="216" t="s">
        <v>130</v>
      </c>
      <c r="B141" s="218"/>
      <c r="C141" s="218"/>
      <c r="D141" s="221">
        <f>SUM(D135:D140)</f>
        <v>29.632658179999993</v>
      </c>
    </row>
    <row r="142" spans="1:4" ht="16.5" x14ac:dyDescent="0.25">
      <c r="A142" s="216" t="s">
        <v>106</v>
      </c>
      <c r="B142" s="218"/>
      <c r="C142" s="218"/>
      <c r="D142" s="217"/>
    </row>
    <row r="143" spans="1:4" ht="16.5" x14ac:dyDescent="0.25">
      <c r="A143" s="216"/>
      <c r="B143" s="218"/>
      <c r="C143" s="218"/>
      <c r="D143" s="219"/>
    </row>
    <row r="144" spans="1:4" ht="17.25" thickBot="1" x14ac:dyDescent="0.3">
      <c r="A144" s="222" t="s">
        <v>131</v>
      </c>
      <c r="B144" s="81"/>
      <c r="C144" s="81"/>
      <c r="D144" s="223"/>
    </row>
    <row r="147" spans="1:6" ht="15.75" thickBot="1" x14ac:dyDescent="0.3"/>
    <row r="148" spans="1:6" x14ac:dyDescent="0.25">
      <c r="A148" s="236" t="s">
        <v>134</v>
      </c>
      <c r="B148" s="7"/>
      <c r="C148" s="11" t="s">
        <v>138</v>
      </c>
    </row>
    <row r="149" spans="1:6" x14ac:dyDescent="0.25">
      <c r="A149" s="15" t="s">
        <v>135</v>
      </c>
      <c r="B149" s="1">
        <v>3500</v>
      </c>
      <c r="C149" s="207">
        <f>1.8*11.27*151.6667</f>
        <v>3076.7106761999999</v>
      </c>
    </row>
    <row r="150" spans="1:6" x14ac:dyDescent="0.25">
      <c r="A150" s="15" t="s">
        <v>136</v>
      </c>
      <c r="B150" s="1">
        <v>3500</v>
      </c>
      <c r="C150" s="207">
        <f t="shared" ref="C150:C151" si="7">1.8*11.27*151.6667</f>
        <v>3076.7106761999999</v>
      </c>
    </row>
    <row r="151" spans="1:6" x14ac:dyDescent="0.25">
      <c r="A151" s="15" t="s">
        <v>137</v>
      </c>
      <c r="B151" s="1">
        <v>3700</v>
      </c>
      <c r="C151" s="207">
        <f t="shared" si="7"/>
        <v>3076.7106761999999</v>
      </c>
    </row>
    <row r="152" spans="1:6" x14ac:dyDescent="0.25">
      <c r="A152" s="15" t="s">
        <v>139</v>
      </c>
      <c r="B152" s="52"/>
      <c r="C152" s="231">
        <f>SUM(C149:C151)</f>
        <v>9230.1320285999991</v>
      </c>
    </row>
    <row r="153" spans="1:6" x14ac:dyDescent="0.25">
      <c r="A153" s="15" t="s">
        <v>140</v>
      </c>
      <c r="B153" s="52"/>
      <c r="C153" s="207">
        <f>ROUND(C152/91.25*0.5,2)</f>
        <v>50.58</v>
      </c>
    </row>
    <row r="154" spans="1:6" x14ac:dyDescent="0.25">
      <c r="A154" s="15" t="s">
        <v>141</v>
      </c>
      <c r="B154" s="52"/>
      <c r="C154" s="17">
        <f>9-3</f>
        <v>6</v>
      </c>
    </row>
    <row r="155" spans="1:6" x14ac:dyDescent="0.25">
      <c r="A155" s="15" t="s">
        <v>142</v>
      </c>
      <c r="B155" s="52"/>
      <c r="C155" s="234">
        <f>+C154*C153</f>
        <v>303.48</v>
      </c>
    </row>
    <row r="156" spans="1:6" x14ac:dyDescent="0.25">
      <c r="A156" s="15" t="s">
        <v>143</v>
      </c>
      <c r="B156" s="52"/>
      <c r="C156" s="207">
        <f>+C155*6.7/100</f>
        <v>20.333160000000003</v>
      </c>
    </row>
    <row r="157" spans="1:6" ht="15.75" thickBot="1" x14ac:dyDescent="0.3">
      <c r="A157" s="18" t="s">
        <v>142</v>
      </c>
      <c r="B157" s="232"/>
      <c r="C157" s="235">
        <f>+C155-C156</f>
        <v>283.14684</v>
      </c>
    </row>
    <row r="159" spans="1:6" ht="15.75" thickBot="1" x14ac:dyDescent="0.3"/>
    <row r="160" spans="1:6" x14ac:dyDescent="0.25">
      <c r="A160" s="9" t="s">
        <v>144</v>
      </c>
      <c r="B160" s="7"/>
      <c r="C160" s="8"/>
      <c r="E160" s="5" t="s">
        <v>149</v>
      </c>
      <c r="F160" s="5">
        <v>2881.33</v>
      </c>
    </row>
    <row r="161" spans="1:6" x14ac:dyDescent="0.25">
      <c r="A161" s="15" t="s">
        <v>145</v>
      </c>
      <c r="B161" s="52"/>
      <c r="C161" s="237">
        <v>0.11310000000000001</v>
      </c>
      <c r="E161" s="5" t="s">
        <v>172</v>
      </c>
    </row>
    <row r="162" spans="1:6" x14ac:dyDescent="0.25">
      <c r="A162" s="15" t="s">
        <v>143</v>
      </c>
      <c r="B162" s="52"/>
      <c r="C162" s="238">
        <f>9.7%*0.9825</f>
        <v>9.5302499999999998E-2</v>
      </c>
    </row>
    <row r="163" spans="1:6" x14ac:dyDescent="0.25">
      <c r="A163" s="15" t="s">
        <v>146</v>
      </c>
      <c r="B163" s="52"/>
      <c r="C163" s="237">
        <v>0.01</v>
      </c>
    </row>
    <row r="164" spans="1:6" x14ac:dyDescent="0.25">
      <c r="A164" s="246" t="s">
        <v>163</v>
      </c>
      <c r="B164" s="64" t="s">
        <v>164</v>
      </c>
      <c r="C164" s="247">
        <f>9.7%*2.7%</f>
        <v>2.6189999999999998E-3</v>
      </c>
    </row>
    <row r="165" spans="1:6" x14ac:dyDescent="0.25">
      <c r="A165" s="246" t="s">
        <v>12</v>
      </c>
      <c r="B165" s="64"/>
      <c r="C165" s="247">
        <v>2.4000000000000001E-4</v>
      </c>
    </row>
    <row r="166" spans="1:6" ht="15.75" thickBot="1" x14ac:dyDescent="0.3">
      <c r="A166" s="18" t="s">
        <v>147</v>
      </c>
      <c r="B166" s="232"/>
      <c r="C166" s="239">
        <f>SUM(C161:C165)</f>
        <v>0.2212615</v>
      </c>
    </row>
    <row r="167" spans="1:6" ht="15.75" thickBot="1" x14ac:dyDescent="0.3"/>
    <row r="168" spans="1:6" ht="15.75" thickBot="1" x14ac:dyDescent="0.3">
      <c r="A168" s="174" t="s">
        <v>148</v>
      </c>
      <c r="B168" s="175"/>
      <c r="C168" s="240">
        <f>1-C166</f>
        <v>0.7787385</v>
      </c>
    </row>
    <row r="169" spans="1:6" ht="15.75" thickBot="1" x14ac:dyDescent="0.3"/>
    <row r="170" spans="1:6" ht="15.75" thickBot="1" x14ac:dyDescent="0.3">
      <c r="A170" s="174" t="s">
        <v>149</v>
      </c>
      <c r="B170" s="175"/>
      <c r="C170" s="241">
        <f>3700*C168</f>
        <v>2881.3324499999999</v>
      </c>
    </row>
    <row r="171" spans="1:6" ht="15.75" thickBot="1" x14ac:dyDescent="0.3"/>
    <row r="172" spans="1:6" x14ac:dyDescent="0.25">
      <c r="A172" s="9" t="s">
        <v>150</v>
      </c>
      <c r="B172" s="7"/>
      <c r="C172" s="8">
        <v>147</v>
      </c>
      <c r="E172" s="5">
        <f>3700/147</f>
        <v>25.170068027210885</v>
      </c>
      <c r="F172" s="5">
        <f>3700/21</f>
        <v>176.1904761904762</v>
      </c>
    </row>
    <row r="173" spans="1:6" x14ac:dyDescent="0.25">
      <c r="A173" s="15" t="s">
        <v>151</v>
      </c>
      <c r="B173" s="52"/>
      <c r="C173" s="207">
        <f>+C170/C172</f>
        <v>19.600901020408163</v>
      </c>
      <c r="E173" s="5">
        <f>E172*7</f>
        <v>176.1904761904762</v>
      </c>
      <c r="F173" s="5">
        <f>F172*3</f>
        <v>528.57142857142867</v>
      </c>
    </row>
    <row r="174" spans="1:6" ht="15.75" thickBot="1" x14ac:dyDescent="0.3">
      <c r="A174" s="18" t="s">
        <v>152</v>
      </c>
      <c r="B174" s="232"/>
      <c r="C174" s="209">
        <f>3700/C172</f>
        <v>25.170068027210885</v>
      </c>
    </row>
    <row r="175" spans="1:6" ht="15.75" thickBot="1" x14ac:dyDescent="0.3"/>
    <row r="176" spans="1:6" x14ac:dyDescent="0.25">
      <c r="A176" s="9" t="s">
        <v>153</v>
      </c>
      <c r="B176" s="7"/>
      <c r="C176" s="242">
        <f>+C170</f>
        <v>2881.3324499999999</v>
      </c>
    </row>
    <row r="177" spans="1:4" x14ac:dyDescent="0.25">
      <c r="A177" s="15" t="s">
        <v>154</v>
      </c>
      <c r="B177" s="52" t="s">
        <v>177</v>
      </c>
      <c r="C177" s="231">
        <f>+-49*C173</f>
        <v>-960.44414999999992</v>
      </c>
    </row>
    <row r="178" spans="1:4" x14ac:dyDescent="0.25">
      <c r="A178" s="15" t="s">
        <v>155</v>
      </c>
      <c r="B178" s="52" t="s">
        <v>178</v>
      </c>
      <c r="C178" s="231">
        <f>28*C173</f>
        <v>548.82522857142851</v>
      </c>
    </row>
    <row r="179" spans="1:4" x14ac:dyDescent="0.25">
      <c r="A179" s="15" t="s">
        <v>156</v>
      </c>
      <c r="B179" s="52"/>
      <c r="C179" s="231">
        <f>-C155</f>
        <v>-303.48</v>
      </c>
    </row>
    <row r="180" spans="1:4" x14ac:dyDescent="0.25">
      <c r="A180" s="248" t="s">
        <v>157</v>
      </c>
      <c r="B180" s="249"/>
      <c r="C180" s="255">
        <f>SUM(C176:C179)</f>
        <v>2166.2335285714285</v>
      </c>
    </row>
    <row r="181" spans="1:4" x14ac:dyDescent="0.25">
      <c r="A181" s="15" t="s">
        <v>158</v>
      </c>
      <c r="B181" s="52"/>
      <c r="C181" s="237">
        <f>+C168</f>
        <v>0.7787385</v>
      </c>
    </row>
    <row r="182" spans="1:4" ht="15.75" thickBot="1" x14ac:dyDescent="0.3">
      <c r="A182" s="18" t="s">
        <v>159</v>
      </c>
      <c r="B182" s="232" t="s">
        <v>160</v>
      </c>
      <c r="C182" s="243">
        <f>+C180/C181</f>
        <v>2781.7213719001029</v>
      </c>
    </row>
    <row r="184" spans="1:4" ht="15.75" thickBot="1" x14ac:dyDescent="0.3">
      <c r="A184" s="256" t="s">
        <v>179</v>
      </c>
    </row>
    <row r="185" spans="1:4" x14ac:dyDescent="0.25">
      <c r="A185" s="9" t="s">
        <v>173</v>
      </c>
      <c r="B185" s="7"/>
      <c r="C185" s="257">
        <f>C170</f>
        <v>2881.3324499999999</v>
      </c>
    </row>
    <row r="186" spans="1:4" x14ac:dyDescent="0.25">
      <c r="A186" s="15" t="s">
        <v>174</v>
      </c>
      <c r="B186" s="52"/>
      <c r="C186" s="207">
        <f>-C156</f>
        <v>-20.333160000000003</v>
      </c>
    </row>
    <row r="187" spans="1:4" x14ac:dyDescent="0.25">
      <c r="A187" s="15" t="s">
        <v>175</v>
      </c>
      <c r="B187" s="52" t="s">
        <v>176</v>
      </c>
      <c r="C187" s="207">
        <f>-2881.33/147*21</f>
        <v>-411.61857142857139</v>
      </c>
    </row>
    <row r="188" spans="1:4" x14ac:dyDescent="0.25">
      <c r="A188" s="15"/>
      <c r="B188" s="52"/>
      <c r="C188" s="207"/>
    </row>
    <row r="189" spans="1:4" ht="15.75" thickBot="1" x14ac:dyDescent="0.3">
      <c r="A189" s="18" t="s">
        <v>180</v>
      </c>
      <c r="B189" s="232"/>
      <c r="C189" s="233">
        <f>SUM(C185:C188)</f>
        <v>2449.3807185714286</v>
      </c>
      <c r="D189" s="256" t="s">
        <v>181</v>
      </c>
    </row>
    <row r="190" spans="1:4" x14ac:dyDescent="0.25">
      <c r="A190" s="5" t="s">
        <v>134</v>
      </c>
      <c r="C190" s="224"/>
    </row>
    <row r="191" spans="1:4" x14ac:dyDescent="0.25">
      <c r="C191" s="224"/>
    </row>
    <row r="192" spans="1:4" x14ac:dyDescent="0.25">
      <c r="C192" s="224"/>
    </row>
    <row r="193" spans="3:3" x14ac:dyDescent="0.25">
      <c r="C193" s="224"/>
    </row>
    <row r="194" spans="3:3" x14ac:dyDescent="0.25">
      <c r="C194" s="224"/>
    </row>
  </sheetData>
  <mergeCells count="7">
    <mergeCell ref="B135:B140"/>
    <mergeCell ref="B17:C17"/>
    <mergeCell ref="E17:F17"/>
    <mergeCell ref="A87:B87"/>
    <mergeCell ref="C88:C95"/>
    <mergeCell ref="A102:D102"/>
    <mergeCell ref="A110:D1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97FF-231B-41F7-89FC-0C8FE7733041}">
  <sheetPr>
    <tabColor rgb="FFFF0000"/>
  </sheetPr>
  <dimension ref="A1:N194"/>
  <sheetViews>
    <sheetView topLeftCell="A56" zoomScaleNormal="100" workbookViewId="0">
      <selection activeCell="D37" sqref="D37"/>
    </sheetView>
  </sheetViews>
  <sheetFormatPr baseColWidth="10" defaultRowHeight="15" x14ac:dyDescent="0.25"/>
  <cols>
    <col min="1" max="1" width="92.28515625" style="5" customWidth="1"/>
    <col min="2" max="2" width="16.7109375" style="5" customWidth="1"/>
    <col min="3" max="3" width="18.85546875" style="5" bestFit="1" customWidth="1"/>
    <col min="4" max="4" width="25.5703125" style="5" bestFit="1" customWidth="1"/>
    <col min="5" max="5" width="25.5703125" style="5" customWidth="1"/>
    <col min="6" max="6" width="20.85546875" style="5" customWidth="1"/>
    <col min="7" max="8" width="27.28515625" style="5" customWidth="1"/>
    <col min="9" max="9" width="12.5703125" style="5" customWidth="1"/>
    <col min="10" max="10" width="12" style="5" customWidth="1"/>
    <col min="11" max="11" width="11.42578125" style="5" customWidth="1"/>
    <col min="12" max="12" width="12.140625" style="5" customWidth="1"/>
    <col min="13" max="14" width="12" style="5" customWidth="1"/>
    <col min="15" max="16384" width="11.42578125" style="5"/>
  </cols>
  <sheetData>
    <row r="1" spans="1:6" ht="15.75" thickBot="1" x14ac:dyDescent="0.3">
      <c r="A1" s="2" t="s">
        <v>16</v>
      </c>
      <c r="B1" s="3"/>
      <c r="C1" s="3"/>
      <c r="D1" s="3"/>
      <c r="E1" s="3"/>
      <c r="F1" s="4"/>
    </row>
    <row r="2" spans="1:6" x14ac:dyDescent="0.25">
      <c r="A2" s="6" t="s">
        <v>11</v>
      </c>
      <c r="B2" s="7"/>
      <c r="C2" s="8"/>
      <c r="D2" s="9" t="s">
        <v>10</v>
      </c>
      <c r="E2" s="10"/>
      <c r="F2" s="11" t="s">
        <v>17</v>
      </c>
    </row>
    <row r="3" spans="1:6" x14ac:dyDescent="0.25">
      <c r="A3" s="12" t="s">
        <v>18</v>
      </c>
      <c r="B3" s="13"/>
      <c r="C3" s="14"/>
      <c r="D3" s="15" t="s">
        <v>18</v>
      </c>
      <c r="E3" s="16"/>
      <c r="F3" s="17"/>
    </row>
    <row r="4" spans="1:6" x14ac:dyDescent="0.25">
      <c r="A4" s="12" t="s">
        <v>19</v>
      </c>
      <c r="B4" s="13"/>
      <c r="C4" s="14"/>
      <c r="D4" s="15" t="s">
        <v>20</v>
      </c>
      <c r="E4" s="16"/>
      <c r="F4" s="17"/>
    </row>
    <row r="5" spans="1:6" x14ac:dyDescent="0.25">
      <c r="A5" s="12" t="s">
        <v>21</v>
      </c>
      <c r="B5" s="13"/>
      <c r="C5" s="14"/>
      <c r="D5" s="15" t="s">
        <v>22</v>
      </c>
      <c r="E5" s="16"/>
      <c r="F5" s="17"/>
    </row>
    <row r="6" spans="1:6" x14ac:dyDescent="0.25">
      <c r="A6" s="12" t="s">
        <v>21</v>
      </c>
      <c r="B6" s="13"/>
      <c r="C6" s="14"/>
      <c r="D6" s="15" t="s">
        <v>23</v>
      </c>
      <c r="E6" s="16"/>
      <c r="F6" s="17"/>
    </row>
    <row r="7" spans="1:6" x14ac:dyDescent="0.25">
      <c r="A7" s="12" t="s">
        <v>24</v>
      </c>
      <c r="B7" s="13"/>
      <c r="C7" s="14"/>
      <c r="D7" s="15"/>
      <c r="E7" s="16"/>
      <c r="F7" s="17"/>
    </row>
    <row r="8" spans="1:6" x14ac:dyDescent="0.25">
      <c r="A8" s="12" t="s">
        <v>25</v>
      </c>
      <c r="B8" s="13"/>
      <c r="C8" s="14"/>
      <c r="D8" s="15" t="s">
        <v>26</v>
      </c>
      <c r="E8" s="16"/>
      <c r="F8" s="17"/>
    </row>
    <row r="9" spans="1:6" x14ac:dyDescent="0.25">
      <c r="A9" s="12" t="s">
        <v>27</v>
      </c>
      <c r="B9" s="13"/>
      <c r="C9" s="14"/>
      <c r="D9" s="15" t="s">
        <v>6</v>
      </c>
      <c r="E9" s="16"/>
      <c r="F9" s="17"/>
    </row>
    <row r="10" spans="1:6" x14ac:dyDescent="0.25">
      <c r="A10" s="12" t="s">
        <v>28</v>
      </c>
      <c r="B10" s="13"/>
      <c r="C10" s="14"/>
      <c r="D10" s="15" t="s">
        <v>7</v>
      </c>
      <c r="E10" s="16"/>
      <c r="F10" s="17"/>
    </row>
    <row r="11" spans="1:6" x14ac:dyDescent="0.25">
      <c r="A11" s="12" t="s">
        <v>29</v>
      </c>
      <c r="B11" s="13"/>
      <c r="C11" s="14"/>
      <c r="D11" s="15" t="s">
        <v>30</v>
      </c>
      <c r="E11" s="16"/>
      <c r="F11" s="17"/>
    </row>
    <row r="12" spans="1:6" x14ac:dyDescent="0.25">
      <c r="A12" s="12" t="s">
        <v>31</v>
      </c>
      <c r="B12" s="13"/>
      <c r="C12" s="14"/>
      <c r="D12" s="15" t="s">
        <v>32</v>
      </c>
      <c r="E12" s="16"/>
      <c r="F12" s="17"/>
    </row>
    <row r="13" spans="1:6" x14ac:dyDescent="0.25">
      <c r="A13" s="12" t="s">
        <v>8</v>
      </c>
      <c r="B13" s="13"/>
      <c r="C13" s="14"/>
      <c r="D13" s="15" t="s">
        <v>33</v>
      </c>
      <c r="E13" s="16"/>
      <c r="F13" s="17"/>
    </row>
    <row r="14" spans="1:6" x14ac:dyDescent="0.25">
      <c r="A14" s="12"/>
      <c r="B14" s="13"/>
      <c r="C14" s="14"/>
      <c r="D14" s="15" t="s">
        <v>34</v>
      </c>
      <c r="E14" s="16"/>
      <c r="F14" s="17"/>
    </row>
    <row r="15" spans="1:6" x14ac:dyDescent="0.25">
      <c r="A15" s="15"/>
      <c r="B15" s="13"/>
      <c r="C15" s="14"/>
      <c r="D15" s="15"/>
      <c r="E15" s="16"/>
      <c r="F15" s="17"/>
    </row>
    <row r="16" spans="1:6" ht="15.75" thickBot="1" x14ac:dyDescent="0.3">
      <c r="A16" s="18"/>
      <c r="B16" s="19"/>
      <c r="C16" s="20"/>
      <c r="D16" s="18"/>
      <c r="E16" s="21"/>
      <c r="F16" s="22"/>
    </row>
    <row r="17" spans="1:14" ht="15.75" thickBot="1" x14ac:dyDescent="0.3">
      <c r="A17" s="23" t="s">
        <v>35</v>
      </c>
      <c r="B17" s="263">
        <v>44927</v>
      </c>
      <c r="C17" s="264"/>
      <c r="D17" s="24" t="s">
        <v>36</v>
      </c>
      <c r="E17" s="261">
        <v>44957</v>
      </c>
      <c r="F17" s="262"/>
    </row>
    <row r="18" spans="1:14" ht="20.25" customHeight="1" thickBot="1" x14ac:dyDescent="0.3">
      <c r="A18" s="25" t="s">
        <v>37</v>
      </c>
      <c r="B18" s="26"/>
      <c r="C18" s="26"/>
      <c r="D18" s="26"/>
      <c r="E18" s="27"/>
      <c r="F18" s="28"/>
    </row>
    <row r="19" spans="1:14" ht="24" customHeight="1" thickBot="1" x14ac:dyDescent="0.3">
      <c r="A19" s="29" t="s">
        <v>37</v>
      </c>
      <c r="B19" s="30" t="s">
        <v>38</v>
      </c>
      <c r="C19" s="30" t="s">
        <v>39</v>
      </c>
      <c r="D19" s="31" t="s">
        <v>40</v>
      </c>
      <c r="E19" s="32"/>
      <c r="F19" s="33"/>
    </row>
    <row r="20" spans="1:14" s="39" customFormat="1" x14ac:dyDescent="0.25">
      <c r="A20" s="9" t="s">
        <v>9</v>
      </c>
      <c r="B20" s="34"/>
      <c r="C20" s="35"/>
      <c r="D20" s="36">
        <v>2500</v>
      </c>
      <c r="E20" s="37"/>
      <c r="F20" s="38"/>
      <c r="G20" s="5"/>
      <c r="H20" s="5"/>
      <c r="I20" s="5"/>
      <c r="J20" s="5"/>
      <c r="K20" s="5"/>
      <c r="L20" s="5"/>
      <c r="M20" s="5"/>
      <c r="N20" s="5"/>
    </row>
    <row r="21" spans="1:14" s="39" customFormat="1" x14ac:dyDescent="0.25">
      <c r="A21" s="40" t="s">
        <v>41</v>
      </c>
      <c r="B21" s="41"/>
      <c r="C21" s="42"/>
      <c r="D21" s="43"/>
      <c r="E21" s="44"/>
      <c r="F21" s="45"/>
      <c r="I21" s="5"/>
      <c r="J21" s="5"/>
      <c r="K21" s="5"/>
      <c r="L21" s="5"/>
      <c r="M21" s="5"/>
      <c r="N21" s="5"/>
    </row>
    <row r="22" spans="1:14" s="39" customFormat="1" x14ac:dyDescent="0.25">
      <c r="A22" s="40" t="s">
        <v>42</v>
      </c>
      <c r="B22" s="46"/>
      <c r="C22" s="47"/>
      <c r="D22" s="48"/>
      <c r="E22" s="49"/>
      <c r="F22" s="45"/>
      <c r="I22" s="5"/>
      <c r="J22" s="5"/>
      <c r="K22" s="5"/>
      <c r="L22" s="5"/>
      <c r="M22" s="5"/>
      <c r="N22" s="5"/>
    </row>
    <row r="23" spans="1:14" s="39" customFormat="1" x14ac:dyDescent="0.25">
      <c r="A23" s="40" t="s">
        <v>43</v>
      </c>
      <c r="B23" s="41"/>
      <c r="C23" s="42"/>
      <c r="D23" s="50"/>
      <c r="E23" s="51"/>
      <c r="F23" s="45"/>
      <c r="I23" s="5"/>
      <c r="J23" s="5"/>
      <c r="K23" s="5"/>
      <c r="L23" s="5"/>
      <c r="M23" s="5"/>
      <c r="N23" s="5"/>
    </row>
    <row r="24" spans="1:14" x14ac:dyDescent="0.25">
      <c r="A24" s="15" t="s">
        <v>44</v>
      </c>
      <c r="B24" s="225"/>
      <c r="C24" s="226">
        <f>D20/151.67*1.25</f>
        <v>20.603942770488565</v>
      </c>
      <c r="D24" s="226">
        <f>C24*B24</f>
        <v>0</v>
      </c>
      <c r="E24" s="54"/>
      <c r="F24" s="55"/>
      <c r="H24" s="224">
        <f>SUM(D20:D34)</f>
        <v>1448.404</v>
      </c>
    </row>
    <row r="25" spans="1:14" x14ac:dyDescent="0.25">
      <c r="A25" s="15" t="s">
        <v>45</v>
      </c>
      <c r="B25" s="225"/>
      <c r="C25" s="226">
        <f>D20/151.67*1.5</f>
        <v>24.724731324586276</v>
      </c>
      <c r="D25" s="226">
        <f t="shared" ref="D25:D30" si="0">C25*B25</f>
        <v>0</v>
      </c>
      <c r="E25" s="54"/>
      <c r="F25" s="56"/>
    </row>
    <row r="26" spans="1:14" x14ac:dyDescent="0.25">
      <c r="A26" s="15" t="s">
        <v>132</v>
      </c>
      <c r="B26" s="52"/>
      <c r="C26" s="53">
        <f>D20/151.67</f>
        <v>16.483154216390851</v>
      </c>
      <c r="D26" s="53">
        <f t="shared" si="0"/>
        <v>0</v>
      </c>
      <c r="E26" s="54"/>
      <c r="F26" s="56"/>
    </row>
    <row r="27" spans="1:14" x14ac:dyDescent="0.25">
      <c r="A27" s="15" t="s">
        <v>133</v>
      </c>
      <c r="B27" s="52"/>
      <c r="C27" s="53">
        <f>D20/151.67*0.25</f>
        <v>4.1207885540977127</v>
      </c>
      <c r="D27" s="53">
        <f t="shared" si="0"/>
        <v>0</v>
      </c>
      <c r="E27" s="54"/>
      <c r="F27" s="56"/>
    </row>
    <row r="28" spans="1:14" x14ac:dyDescent="0.25">
      <c r="A28" s="15" t="s">
        <v>46</v>
      </c>
      <c r="B28" s="57"/>
      <c r="C28" s="58"/>
      <c r="D28" s="53">
        <f t="shared" si="0"/>
        <v>0</v>
      </c>
      <c r="E28" s="59"/>
      <c r="F28" s="56"/>
    </row>
    <row r="29" spans="1:14" x14ac:dyDescent="0.25">
      <c r="A29" s="15" t="s">
        <v>47</v>
      </c>
      <c r="B29" s="60"/>
      <c r="C29" s="52"/>
      <c r="D29" s="53">
        <f t="shared" si="0"/>
        <v>0</v>
      </c>
      <c r="E29" s="54"/>
      <c r="F29" s="61"/>
    </row>
    <row r="30" spans="1:14" x14ac:dyDescent="0.25">
      <c r="A30" s="15" t="s">
        <v>48</v>
      </c>
      <c r="B30" s="62"/>
      <c r="C30" s="58"/>
      <c r="D30" s="53">
        <f t="shared" si="0"/>
        <v>0</v>
      </c>
      <c r="E30" s="59"/>
      <c r="F30" s="61"/>
    </row>
    <row r="31" spans="1:14" x14ac:dyDescent="0.25">
      <c r="A31" s="15"/>
      <c r="B31" s="63"/>
      <c r="C31" s="64"/>
      <c r="D31" s="65"/>
      <c r="E31" s="66"/>
      <c r="F31" s="67"/>
    </row>
    <row r="32" spans="1:14" ht="15.75" thickBot="1" x14ac:dyDescent="0.3">
      <c r="A32" s="5" t="s">
        <v>49</v>
      </c>
      <c r="B32" s="244">
        <v>91</v>
      </c>
      <c r="C32" s="278">
        <v>17.007000000000001</v>
      </c>
      <c r="D32" s="65">
        <f>-C32*B32</f>
        <v>-1547.6370000000002</v>
      </c>
      <c r="E32" s="68"/>
      <c r="F32" s="69"/>
    </row>
    <row r="33" spans="1:8" x14ac:dyDescent="0.25">
      <c r="A33" s="70" t="s">
        <v>50</v>
      </c>
      <c r="B33" s="71"/>
      <c r="C33" s="72"/>
      <c r="D33" s="65">
        <f>-575.4</f>
        <v>-575.4</v>
      </c>
      <c r="E33" s="73"/>
      <c r="F33" s="74"/>
    </row>
    <row r="34" spans="1:8" x14ac:dyDescent="0.25">
      <c r="A34" s="5" t="s">
        <v>51</v>
      </c>
      <c r="B34" s="244">
        <v>70</v>
      </c>
      <c r="C34" s="199">
        <f>C32*0.9</f>
        <v>15.306300000000002</v>
      </c>
      <c r="D34" s="65">
        <f>C34*B34</f>
        <v>1071.441</v>
      </c>
      <c r="E34" s="73"/>
      <c r="F34" s="74"/>
    </row>
    <row r="35" spans="1:8" x14ac:dyDescent="0.25">
      <c r="A35" s="70" t="s">
        <v>52</v>
      </c>
      <c r="B35" s="71"/>
      <c r="C35" s="75"/>
      <c r="D35" s="76"/>
      <c r="E35" s="73"/>
      <c r="F35" s="74"/>
    </row>
    <row r="36" spans="1:8" ht="15.75" thickBot="1" x14ac:dyDescent="0.3">
      <c r="A36" s="77" t="s">
        <v>53</v>
      </c>
      <c r="B36" s="71"/>
      <c r="C36" s="78"/>
      <c r="D36" s="79"/>
      <c r="E36" s="73"/>
      <c r="F36" s="74"/>
    </row>
    <row r="37" spans="1:8" ht="16.5" thickTop="1" thickBot="1" x14ac:dyDescent="0.3">
      <c r="A37" s="80" t="s">
        <v>15</v>
      </c>
      <c r="B37" s="81"/>
      <c r="C37" s="82"/>
      <c r="D37" s="83">
        <v>1273.77</v>
      </c>
      <c r="E37" s="84">
        <f>SUM(D20:D35)</f>
        <v>1448.404</v>
      </c>
      <c r="F37" s="74"/>
      <c r="H37" s="224">
        <f>D37-2763</f>
        <v>-1489.23</v>
      </c>
    </row>
    <row r="38" spans="1:8" x14ac:dyDescent="0.25">
      <c r="A38" s="85"/>
      <c r="B38" s="86"/>
      <c r="C38" s="87"/>
      <c r="D38" s="88"/>
      <c r="E38" s="89"/>
      <c r="F38" s="90"/>
    </row>
    <row r="39" spans="1:8" x14ac:dyDescent="0.25">
      <c r="A39" s="91" t="s">
        <v>54</v>
      </c>
      <c r="B39" s="92" t="s">
        <v>55</v>
      </c>
      <c r="C39" s="92" t="s">
        <v>56</v>
      </c>
      <c r="D39" s="92" t="s">
        <v>57</v>
      </c>
      <c r="E39" s="93"/>
      <c r="F39" s="94" t="s">
        <v>58</v>
      </c>
    </row>
    <row r="40" spans="1:8" x14ac:dyDescent="0.25">
      <c r="A40" s="95" t="s">
        <v>59</v>
      </c>
      <c r="B40" s="96"/>
      <c r="C40" s="97"/>
      <c r="D40" s="97"/>
      <c r="E40" s="98"/>
      <c r="F40" s="99"/>
    </row>
    <row r="41" spans="1:8" x14ac:dyDescent="0.25">
      <c r="A41" s="100" t="s">
        <v>60</v>
      </c>
      <c r="B41" s="101">
        <f>D37</f>
        <v>1273.77</v>
      </c>
      <c r="C41" s="102"/>
      <c r="D41" s="103"/>
      <c r="E41" s="104">
        <v>7.0000000000000007E-2</v>
      </c>
      <c r="F41" s="105">
        <f>E41*B41</f>
        <v>89.163900000000012</v>
      </c>
      <c r="G41" s="106"/>
    </row>
    <row r="42" spans="1:8" x14ac:dyDescent="0.25">
      <c r="A42" s="107" t="s">
        <v>61</v>
      </c>
      <c r="B42" s="101">
        <f>D37</f>
        <v>1273.77</v>
      </c>
      <c r="C42" s="108">
        <v>1.2500000000000001E-2</v>
      </c>
      <c r="D42" s="109">
        <f>C42*B42</f>
        <v>15.922125000000001</v>
      </c>
      <c r="E42" s="110">
        <v>0.03</v>
      </c>
      <c r="F42" s="105">
        <f>E42*B42</f>
        <v>38.213099999999997</v>
      </c>
      <c r="G42" s="106"/>
      <c r="H42" s="106"/>
    </row>
    <row r="43" spans="1:8" x14ac:dyDescent="0.25">
      <c r="A43" s="100" t="s">
        <v>62</v>
      </c>
      <c r="B43" s="101">
        <f>+D37</f>
        <v>1273.77</v>
      </c>
      <c r="C43" s="108">
        <v>7.4999999999999997E-3</v>
      </c>
      <c r="D43" s="109">
        <f>C43*B43</f>
        <v>9.5532749999999993</v>
      </c>
      <c r="E43" s="111">
        <v>1.4999999999999999E-2</v>
      </c>
      <c r="F43" s="105">
        <f>E43*B43</f>
        <v>19.106549999999999</v>
      </c>
      <c r="G43" s="106"/>
      <c r="H43" s="106"/>
    </row>
    <row r="44" spans="1:8" x14ac:dyDescent="0.25">
      <c r="A44" s="100" t="s">
        <v>63</v>
      </c>
      <c r="B44" s="101"/>
      <c r="C44" s="108"/>
      <c r="D44" s="109"/>
      <c r="E44" s="112"/>
      <c r="F44" s="105"/>
      <c r="G44" s="106"/>
      <c r="H44" s="106"/>
    </row>
    <row r="45" spans="1:8" x14ac:dyDescent="0.25">
      <c r="A45" s="95" t="s">
        <v>64</v>
      </c>
      <c r="B45" s="101">
        <f>D37</f>
        <v>1273.77</v>
      </c>
      <c r="C45" s="107"/>
      <c r="D45" s="101"/>
      <c r="E45" s="113">
        <v>2.7E-2</v>
      </c>
      <c r="F45" s="105">
        <f>E45*B45</f>
        <v>34.39179</v>
      </c>
      <c r="G45" s="106"/>
      <c r="H45" s="106"/>
    </row>
    <row r="46" spans="1:8" x14ac:dyDescent="0.25">
      <c r="A46" s="95" t="s">
        <v>65</v>
      </c>
      <c r="B46" s="96"/>
      <c r="C46" s="97"/>
      <c r="D46" s="97"/>
      <c r="E46" s="98"/>
      <c r="F46" s="99"/>
      <c r="G46" s="106"/>
      <c r="H46" s="106"/>
    </row>
    <row r="47" spans="1:8" x14ac:dyDescent="0.25">
      <c r="A47" s="100" t="s">
        <v>66</v>
      </c>
      <c r="B47" s="101">
        <f>B45</f>
        <v>1273.77</v>
      </c>
      <c r="C47" s="108">
        <v>6.9000000000000006E-2</v>
      </c>
      <c r="D47" s="109">
        <f t="shared" ref="D47:D49" si="1">C47*B47</f>
        <v>87.890129999999999</v>
      </c>
      <c r="E47" s="111">
        <f>'[5]Exercice 2'!E47</f>
        <v>8.5500000000000007E-2</v>
      </c>
      <c r="F47" s="105">
        <f t="shared" ref="F47:F49" si="2">E47*B47</f>
        <v>108.907335</v>
      </c>
      <c r="G47" s="106"/>
      <c r="H47" s="106"/>
    </row>
    <row r="48" spans="1:8" x14ac:dyDescent="0.25">
      <c r="A48" s="100" t="s">
        <v>67</v>
      </c>
      <c r="B48" s="101">
        <f>B47</f>
        <v>1273.77</v>
      </c>
      <c r="C48" s="108">
        <v>4.0000000000000001E-3</v>
      </c>
      <c r="D48" s="109">
        <f t="shared" si="1"/>
        <v>5.0950800000000003</v>
      </c>
      <c r="E48" s="111">
        <f>'[5]Exercice 2'!E48</f>
        <v>1.9E-2</v>
      </c>
      <c r="F48" s="105">
        <f t="shared" si="2"/>
        <v>24.201629999999998</v>
      </c>
      <c r="G48" s="106"/>
      <c r="H48" s="106"/>
    </row>
    <row r="49" spans="1:9" x14ac:dyDescent="0.25">
      <c r="A49" s="100" t="s">
        <v>68</v>
      </c>
      <c r="B49" s="101">
        <f>B48</f>
        <v>1273.77</v>
      </c>
      <c r="C49" s="108">
        <v>4.0099999999999997E-2</v>
      </c>
      <c r="D49" s="109">
        <f t="shared" si="1"/>
        <v>51.078176999999997</v>
      </c>
      <c r="E49" s="111">
        <f>'[5]Exercice 2'!E49</f>
        <v>6.0100000000000001E-2</v>
      </c>
      <c r="F49" s="105">
        <f t="shared" si="2"/>
        <v>76.553577000000004</v>
      </c>
      <c r="G49" s="106"/>
      <c r="H49" s="106"/>
    </row>
    <row r="50" spans="1:9" x14ac:dyDescent="0.25">
      <c r="A50" s="100" t="s">
        <v>69</v>
      </c>
      <c r="B50" s="101"/>
      <c r="C50" s="108"/>
      <c r="D50" s="109"/>
      <c r="E50" s="111">
        <f t="shared" ref="E50:E51" si="3">G46</f>
        <v>0</v>
      </c>
      <c r="F50" s="105"/>
      <c r="G50" s="106"/>
      <c r="H50" s="106"/>
    </row>
    <row r="51" spans="1:9" x14ac:dyDescent="0.25">
      <c r="A51" s="100" t="s">
        <v>70</v>
      </c>
      <c r="B51" s="101"/>
      <c r="C51" s="108"/>
      <c r="D51" s="109"/>
      <c r="E51" s="111">
        <f t="shared" si="3"/>
        <v>0</v>
      </c>
      <c r="F51" s="105"/>
      <c r="G51" s="106"/>
      <c r="H51" s="106"/>
    </row>
    <row r="52" spans="1:9" x14ac:dyDescent="0.25">
      <c r="A52" s="100" t="s">
        <v>71</v>
      </c>
      <c r="B52" s="101"/>
      <c r="C52" s="108"/>
      <c r="D52" s="109"/>
      <c r="E52" s="112"/>
      <c r="F52" s="105"/>
      <c r="G52" s="106"/>
      <c r="H52" s="106"/>
    </row>
    <row r="53" spans="1:9" x14ac:dyDescent="0.25">
      <c r="A53" s="95" t="s">
        <v>72</v>
      </c>
      <c r="B53" s="101">
        <f>D37</f>
        <v>1273.77</v>
      </c>
      <c r="C53" s="114"/>
      <c r="D53" s="101"/>
      <c r="E53" s="113">
        <v>3.4500000000000003E-2</v>
      </c>
      <c r="F53" s="105">
        <f t="shared" ref="F53:F54" si="4">E53*B53</f>
        <v>43.945065</v>
      </c>
      <c r="G53" s="106"/>
      <c r="H53" s="106"/>
    </row>
    <row r="54" spans="1:9" x14ac:dyDescent="0.25">
      <c r="A54" s="95" t="s">
        <v>73</v>
      </c>
      <c r="B54" s="101">
        <f>B53</f>
        <v>1273.77</v>
      </c>
      <c r="C54" s="114"/>
      <c r="D54" s="101"/>
      <c r="E54" s="113">
        <v>4.2000000000000003E-2</v>
      </c>
      <c r="F54" s="105">
        <f t="shared" si="4"/>
        <v>53.498340000000006</v>
      </c>
      <c r="G54" s="106"/>
      <c r="H54" s="106"/>
    </row>
    <row r="55" spans="1:9" x14ac:dyDescent="0.25">
      <c r="A55" s="100" t="s">
        <v>74</v>
      </c>
      <c r="B55" s="101"/>
      <c r="C55" s="115">
        <v>2.4000000000000001E-4</v>
      </c>
      <c r="D55" s="101">
        <f>+C55*B55</f>
        <v>0</v>
      </c>
      <c r="E55" s="116">
        <v>3.6000000000000002E-4</v>
      </c>
      <c r="F55" s="105">
        <f>+E55*B55</f>
        <v>0</v>
      </c>
      <c r="G55" s="106"/>
      <c r="H55" s="106"/>
    </row>
    <row r="56" spans="1:9" x14ac:dyDescent="0.25">
      <c r="A56" s="95" t="s">
        <v>75</v>
      </c>
      <c r="B56" s="101"/>
      <c r="C56" s="114"/>
      <c r="D56" s="101"/>
      <c r="E56" s="117"/>
      <c r="F56" s="105">
        <f>D141</f>
        <v>20.966254199999998</v>
      </c>
      <c r="G56" s="106"/>
      <c r="H56" s="106"/>
    </row>
    <row r="57" spans="1:9" x14ac:dyDescent="0.25">
      <c r="A57" s="95"/>
      <c r="B57" s="101"/>
      <c r="C57" s="101"/>
      <c r="D57" s="101"/>
      <c r="E57" s="117"/>
      <c r="F57" s="118"/>
      <c r="G57" s="106"/>
      <c r="H57" s="106"/>
    </row>
    <row r="58" spans="1:9" x14ac:dyDescent="0.25">
      <c r="A58" s="119" t="s">
        <v>76</v>
      </c>
      <c r="B58" s="101"/>
      <c r="C58" s="101"/>
      <c r="D58" s="101"/>
      <c r="E58" s="117"/>
      <c r="F58" s="118"/>
      <c r="G58" s="106"/>
      <c r="H58" s="106"/>
    </row>
    <row r="59" spans="1:9" ht="18" customHeight="1" x14ac:dyDescent="0.25">
      <c r="A59" s="100"/>
      <c r="B59" s="101"/>
      <c r="C59" s="115"/>
      <c r="D59" s="101"/>
      <c r="E59" s="117"/>
      <c r="F59" s="105"/>
      <c r="G59" s="106"/>
      <c r="H59" s="106"/>
    </row>
    <row r="60" spans="1:9" ht="18" customHeight="1" x14ac:dyDescent="0.25">
      <c r="A60" s="95" t="s">
        <v>77</v>
      </c>
      <c r="B60" s="101">
        <f>((D37*0.9825)+(F42+F43))</f>
        <v>1308.798675</v>
      </c>
      <c r="C60" s="108">
        <v>6.8000000000000005E-2</v>
      </c>
      <c r="D60" s="109">
        <f>C60*B60</f>
        <v>88.99830990000001</v>
      </c>
      <c r="E60" s="112"/>
      <c r="F60" s="105"/>
    </row>
    <row r="61" spans="1:9" ht="18" customHeight="1" x14ac:dyDescent="0.25">
      <c r="A61" s="120" t="s">
        <v>78</v>
      </c>
      <c r="B61" s="121">
        <f>B60</f>
        <v>1308.798675</v>
      </c>
      <c r="C61" s="122">
        <v>2.9000000000000001E-2</v>
      </c>
      <c r="D61" s="109">
        <f>C61*B61</f>
        <v>37.955161575000005</v>
      </c>
      <c r="E61" s="112"/>
      <c r="F61" s="123"/>
      <c r="H61" s="5" t="s">
        <v>165</v>
      </c>
      <c r="I61" s="224">
        <f>D76</f>
        <v>1053.4460030999999</v>
      </c>
    </row>
    <row r="62" spans="1:9" ht="18" customHeight="1" x14ac:dyDescent="0.25">
      <c r="A62" s="124" t="s">
        <v>79</v>
      </c>
      <c r="B62" s="121">
        <f>I38*0.9825</f>
        <v>0</v>
      </c>
      <c r="C62" s="122">
        <v>9.7000000000000003E-2</v>
      </c>
      <c r="D62" s="109">
        <f>C62*B62</f>
        <v>0</v>
      </c>
      <c r="E62" s="126"/>
      <c r="F62" s="123"/>
      <c r="H62" s="5" t="s">
        <v>183</v>
      </c>
      <c r="I62" s="224">
        <v>575.4</v>
      </c>
    </row>
    <row r="63" spans="1:9" ht="18" customHeight="1" x14ac:dyDescent="0.25">
      <c r="A63" s="127" t="s">
        <v>80</v>
      </c>
      <c r="B63" s="227">
        <f>I38</f>
        <v>0</v>
      </c>
      <c r="C63" s="228">
        <v>-0.11310000000000001</v>
      </c>
      <c r="D63" s="125">
        <f>C63*B63</f>
        <v>0</v>
      </c>
      <c r="E63" s="128"/>
      <c r="F63" s="129"/>
      <c r="H63" s="5" t="s">
        <v>166</v>
      </c>
      <c r="I63" s="230">
        <f>I62*3.8/100</f>
        <v>21.865200000000002</v>
      </c>
    </row>
    <row r="64" spans="1:9" ht="18" customHeight="1" x14ac:dyDescent="0.25">
      <c r="A64" s="127" t="s">
        <v>80</v>
      </c>
      <c r="B64" s="128"/>
      <c r="C64" s="128"/>
      <c r="D64" s="128"/>
      <c r="E64" s="229">
        <v>-1.5</v>
      </c>
      <c r="F64" s="129">
        <f>E64*B64</f>
        <v>0</v>
      </c>
      <c r="H64" s="5" t="s">
        <v>167</v>
      </c>
      <c r="I64" s="224">
        <f>I62-I63</f>
        <v>553.53480000000002</v>
      </c>
    </row>
    <row r="65" spans="1:9" ht="18" customHeight="1" x14ac:dyDescent="0.25">
      <c r="A65" s="120" t="s">
        <v>81</v>
      </c>
      <c r="B65" s="125"/>
      <c r="C65" s="130"/>
      <c r="D65" s="131">
        <f>SUM(D41:D63)</f>
        <v>296.49225847500009</v>
      </c>
      <c r="E65" s="131"/>
      <c r="F65" s="131">
        <f>SUM(F41:F64)</f>
        <v>508.94754119999999</v>
      </c>
      <c r="H65" s="5" t="s">
        <v>168</v>
      </c>
      <c r="I65" s="224">
        <f>+I61+I64</f>
        <v>1606.9808030999998</v>
      </c>
    </row>
    <row r="66" spans="1:9" ht="18" customHeight="1" x14ac:dyDescent="0.25">
      <c r="A66" s="120"/>
      <c r="B66" s="125"/>
      <c r="C66" s="130"/>
      <c r="D66" s="131"/>
      <c r="E66" s="132"/>
      <c r="F66" s="133"/>
    </row>
    <row r="67" spans="1:9" x14ac:dyDescent="0.25">
      <c r="A67" s="134" t="s">
        <v>13</v>
      </c>
      <c r="B67" s="125"/>
      <c r="C67" s="130"/>
      <c r="D67" s="131"/>
      <c r="E67" s="132"/>
      <c r="F67" s="133"/>
    </row>
    <row r="68" spans="1:9" x14ac:dyDescent="0.25">
      <c r="A68" s="134" t="s">
        <v>82</v>
      </c>
      <c r="B68" s="125"/>
      <c r="C68" s="130"/>
      <c r="D68" s="131"/>
      <c r="E68" s="132"/>
      <c r="F68" s="133"/>
    </row>
    <row r="69" spans="1:9" x14ac:dyDescent="0.25">
      <c r="A69" s="134" t="s">
        <v>83</v>
      </c>
      <c r="B69" s="125"/>
      <c r="C69" s="130"/>
      <c r="D69" s="131"/>
      <c r="E69" s="132"/>
      <c r="F69" s="133"/>
    </row>
    <row r="70" spans="1:9" ht="15.75" customHeight="1" x14ac:dyDescent="0.25">
      <c r="A70" s="134" t="s">
        <v>84</v>
      </c>
      <c r="B70" s="135"/>
      <c r="C70" s="130"/>
      <c r="D70" s="131"/>
      <c r="E70" s="132"/>
      <c r="F70" s="133"/>
    </row>
    <row r="71" spans="1:9" x14ac:dyDescent="0.25">
      <c r="A71" s="134" t="s">
        <v>85</v>
      </c>
      <c r="B71" s="125"/>
      <c r="C71" s="130"/>
      <c r="D71" s="131"/>
      <c r="E71" s="132"/>
      <c r="F71" s="133"/>
    </row>
    <row r="72" spans="1:9" x14ac:dyDescent="0.25">
      <c r="A72" s="134" t="s">
        <v>134</v>
      </c>
      <c r="B72" s="125"/>
      <c r="C72" s="130"/>
      <c r="D72" s="131"/>
      <c r="E72" s="132"/>
      <c r="F72" s="133"/>
    </row>
    <row r="73" spans="1:9" ht="15.75" thickBot="1" x14ac:dyDescent="0.3">
      <c r="A73" s="120" t="s">
        <v>182</v>
      </c>
      <c r="B73" s="125"/>
      <c r="C73" s="130"/>
      <c r="D73" s="131">
        <f>+D37-D65</f>
        <v>977.2777415249999</v>
      </c>
      <c r="E73" s="132"/>
      <c r="F73" s="136"/>
    </row>
    <row r="74" spans="1:9" x14ac:dyDescent="0.25">
      <c r="A74" s="276"/>
      <c r="B74" s="125"/>
      <c r="C74" s="130"/>
      <c r="D74" s="131"/>
      <c r="E74" s="132"/>
      <c r="F74" s="277"/>
    </row>
    <row r="75" spans="1:9" s="63" customFormat="1" x14ac:dyDescent="0.25">
      <c r="A75" s="144" t="s">
        <v>88</v>
      </c>
      <c r="B75" s="144" t="s">
        <v>89</v>
      </c>
      <c r="C75" s="144" t="s">
        <v>90</v>
      </c>
      <c r="D75" s="147" t="s">
        <v>91</v>
      </c>
      <c r="E75" s="147"/>
      <c r="F75" s="148" t="s">
        <v>92</v>
      </c>
    </row>
    <row r="76" spans="1:9" s="63" customFormat="1" x14ac:dyDescent="0.25">
      <c r="A76" s="149" t="s">
        <v>14</v>
      </c>
      <c r="B76" s="150"/>
      <c r="C76" s="139"/>
      <c r="D76" s="151">
        <f>D37+F42+D61-D65</f>
        <v>1053.4460030999999</v>
      </c>
      <c r="E76" s="152"/>
      <c r="F76" s="153"/>
    </row>
    <row r="77" spans="1:9" s="63" customFormat="1" x14ac:dyDescent="0.25">
      <c r="A77" s="149" t="s">
        <v>93</v>
      </c>
      <c r="B77" s="154">
        <f>I65</f>
        <v>1606.9808030999998</v>
      </c>
      <c r="C77" s="155">
        <v>0.06</v>
      </c>
      <c r="D77" s="151">
        <f>C77*B77</f>
        <v>96.418848185999977</v>
      </c>
      <c r="E77" s="152"/>
      <c r="F77" s="153"/>
    </row>
    <row r="78" spans="1:9" s="63" customFormat="1" x14ac:dyDescent="0.25">
      <c r="A78" s="149" t="s">
        <v>94</v>
      </c>
      <c r="B78" s="150"/>
      <c r="C78" s="151"/>
      <c r="D78" s="151"/>
      <c r="E78" s="152"/>
      <c r="F78" s="153"/>
    </row>
    <row r="79" spans="1:9" s="63" customFormat="1" x14ac:dyDescent="0.25">
      <c r="A79" s="149"/>
      <c r="B79" s="150"/>
      <c r="C79" s="139"/>
      <c r="D79" s="139"/>
      <c r="E79" s="152"/>
      <c r="F79" s="156"/>
    </row>
    <row r="80" spans="1:9" s="63" customFormat="1" x14ac:dyDescent="0.25">
      <c r="A80" s="137" t="s">
        <v>95</v>
      </c>
      <c r="B80" s="151"/>
      <c r="C80" s="139"/>
      <c r="D80" s="151">
        <f>D73-D77</f>
        <v>880.85889333899991</v>
      </c>
      <c r="E80" s="152"/>
      <c r="F80" s="153"/>
    </row>
    <row r="81" spans="1:6" s="63" customFormat="1" x14ac:dyDescent="0.25">
      <c r="A81" s="149" t="s">
        <v>96</v>
      </c>
      <c r="B81" s="139"/>
      <c r="C81" s="139"/>
      <c r="D81" s="139"/>
      <c r="E81" s="152"/>
      <c r="F81" s="153"/>
    </row>
    <row r="82" spans="1:6" s="63" customFormat="1" x14ac:dyDescent="0.25">
      <c r="A82" s="149" t="s">
        <v>97</v>
      </c>
      <c r="B82" s="157"/>
      <c r="C82" s="139"/>
      <c r="D82" s="139"/>
      <c r="E82" s="152"/>
      <c r="F82" s="153"/>
    </row>
    <row r="83" spans="1:6" s="63" customFormat="1" ht="15.75" thickBot="1" x14ac:dyDescent="0.3">
      <c r="A83" s="158" t="s">
        <v>98</v>
      </c>
      <c r="B83" s="159"/>
      <c r="C83" s="159"/>
      <c r="D83" s="159"/>
      <c r="E83" s="160"/>
      <c r="F83" s="161"/>
    </row>
    <row r="84" spans="1:6" s="63" customFormat="1" x14ac:dyDescent="0.25">
      <c r="A84" s="272"/>
      <c r="B84" s="273"/>
      <c r="C84" s="273"/>
      <c r="D84" s="273"/>
      <c r="E84" s="273"/>
      <c r="F84" s="274"/>
    </row>
    <row r="86" spans="1:6" hidden="1" x14ac:dyDescent="0.25"/>
    <row r="87" spans="1:6" hidden="1" x14ac:dyDescent="0.25">
      <c r="A87" s="265" t="s">
        <v>75</v>
      </c>
      <c r="B87" s="266"/>
    </row>
    <row r="88" spans="1:6" hidden="1" x14ac:dyDescent="0.25">
      <c r="A88" s="162"/>
      <c r="B88" s="163"/>
      <c r="C88" s="267">
        <f>D37</f>
        <v>1273.77</v>
      </c>
      <c r="D88" s="164"/>
    </row>
    <row r="89" spans="1:6" hidden="1" x14ac:dyDescent="0.25">
      <c r="A89" s="165" t="s">
        <v>99</v>
      </c>
      <c r="B89" s="166" t="e">
        <f>IF(#REF!&gt;=11,#REF!,0)</f>
        <v>#REF!</v>
      </c>
      <c r="C89" s="268"/>
      <c r="D89" s="167" t="e">
        <f>$C$88*B89</f>
        <v>#REF!</v>
      </c>
    </row>
    <row r="90" spans="1:6" hidden="1" x14ac:dyDescent="0.25">
      <c r="A90" s="165" t="s">
        <v>100</v>
      </c>
      <c r="B90" s="166" t="e">
        <f>IF(#REF!&lt;50,0%,0.5%)</f>
        <v>#REF!</v>
      </c>
      <c r="C90" s="268"/>
      <c r="D90" s="167" t="e">
        <f t="shared" ref="D90:D95" si="5">$C$88*B90</f>
        <v>#REF!</v>
      </c>
    </row>
    <row r="91" spans="1:6" hidden="1" x14ac:dyDescent="0.25">
      <c r="A91" s="165" t="s">
        <v>101</v>
      </c>
      <c r="B91" s="166">
        <v>1.6000000000000001E-4</v>
      </c>
      <c r="C91" s="268"/>
      <c r="D91" s="167">
        <f t="shared" si="5"/>
        <v>0.20380320000000002</v>
      </c>
    </row>
    <row r="92" spans="1:6" hidden="1" x14ac:dyDescent="0.25">
      <c r="A92" s="165" t="s">
        <v>102</v>
      </c>
      <c r="B92" s="166">
        <v>3.0000000000000001E-3</v>
      </c>
      <c r="C92" s="268"/>
      <c r="D92" s="167">
        <f t="shared" si="5"/>
        <v>3.82131</v>
      </c>
    </row>
    <row r="93" spans="1:6" hidden="1" x14ac:dyDescent="0.25">
      <c r="A93" s="165" t="s">
        <v>103</v>
      </c>
      <c r="B93" s="166">
        <v>5.8999999999999999E-3</v>
      </c>
      <c r="C93" s="268"/>
      <c r="D93" s="167">
        <f t="shared" si="5"/>
        <v>7.5152429999999999</v>
      </c>
    </row>
    <row r="94" spans="1:6" hidden="1" x14ac:dyDescent="0.25">
      <c r="A94" s="165" t="s">
        <v>104</v>
      </c>
      <c r="B94" s="166" t="e">
        <f>IF(#REF!&lt;11,0.55%,1%)</f>
        <v>#REF!</v>
      </c>
      <c r="C94" s="268"/>
      <c r="D94" s="167" t="e">
        <f t="shared" si="5"/>
        <v>#REF!</v>
      </c>
    </row>
    <row r="95" spans="1:6" hidden="1" x14ac:dyDescent="0.25">
      <c r="A95" s="165" t="s">
        <v>105</v>
      </c>
      <c r="B95" s="166" t="e">
        <f>IF(#REF!&lt;=50,0,0.45%)</f>
        <v>#REF!</v>
      </c>
      <c r="C95" s="268"/>
      <c r="D95" s="167" t="e">
        <f t="shared" si="5"/>
        <v>#REF!</v>
      </c>
    </row>
    <row r="96" spans="1:6" hidden="1" x14ac:dyDescent="0.25">
      <c r="A96" s="15"/>
      <c r="B96" s="52"/>
      <c r="C96" s="52"/>
      <c r="D96" s="17"/>
    </row>
    <row r="97" spans="1:4" hidden="1" x14ac:dyDescent="0.25">
      <c r="A97" s="15" t="s">
        <v>106</v>
      </c>
      <c r="B97" s="168" t="e">
        <f>IF(#REF!&gt;=11,+F38+F39+F40,0)</f>
        <v>#REF!</v>
      </c>
      <c r="C97" s="169">
        <v>0.08</v>
      </c>
      <c r="D97" s="170" t="e">
        <f>C97*B97</f>
        <v>#REF!</v>
      </c>
    </row>
    <row r="98" spans="1:4" ht="15.75" hidden="1" thickBot="1" x14ac:dyDescent="0.3">
      <c r="A98" s="18" t="s">
        <v>107</v>
      </c>
      <c r="B98" s="171">
        <f>D37</f>
        <v>1273.77</v>
      </c>
      <c r="C98" s="172">
        <v>1E-3</v>
      </c>
      <c r="D98" s="173">
        <f>C98*B98</f>
        <v>1.2737700000000001</v>
      </c>
    </row>
    <row r="99" spans="1:4" hidden="1" x14ac:dyDescent="0.25"/>
    <row r="100" spans="1:4" ht="15.75" hidden="1" thickBot="1" x14ac:dyDescent="0.3">
      <c r="A100" s="174" t="s">
        <v>108</v>
      </c>
      <c r="B100" s="175"/>
      <c r="C100" s="175"/>
      <c r="D100" s="176" t="e">
        <f>SUM(D89:D98)</f>
        <v>#REF!</v>
      </c>
    </row>
    <row r="101" spans="1:4" hidden="1" x14ac:dyDescent="0.25"/>
    <row r="102" spans="1:4" ht="15.75" hidden="1" thickBot="1" x14ac:dyDescent="0.3">
      <c r="A102" s="269" t="s">
        <v>109</v>
      </c>
      <c r="B102" s="270"/>
      <c r="C102" s="270"/>
      <c r="D102" s="271"/>
    </row>
    <row r="103" spans="1:4" hidden="1" x14ac:dyDescent="0.25">
      <c r="A103" s="177" t="s">
        <v>110</v>
      </c>
      <c r="B103" s="178">
        <f>D37</f>
        <v>1273.77</v>
      </c>
      <c r="C103" s="179">
        <v>2.4E-2</v>
      </c>
      <c r="D103" s="180">
        <f>C103*B103</f>
        <v>30.57048</v>
      </c>
    </row>
    <row r="104" spans="1:4" hidden="1" x14ac:dyDescent="0.25">
      <c r="A104" s="181" t="s">
        <v>0</v>
      </c>
      <c r="B104" s="178">
        <f>B103</f>
        <v>1273.77</v>
      </c>
      <c r="C104" s="182">
        <v>7.4999999999999997E-3</v>
      </c>
      <c r="D104" s="183">
        <f>C104*B104</f>
        <v>9.5532749999999993</v>
      </c>
    </row>
    <row r="105" spans="1:4" hidden="1" x14ac:dyDescent="0.25">
      <c r="A105" s="181" t="s">
        <v>111</v>
      </c>
      <c r="B105" s="178">
        <f>B60</f>
        <v>1308.798675</v>
      </c>
      <c r="C105" s="182">
        <v>-1.7000000000000001E-2</v>
      </c>
      <c r="D105" s="183">
        <f>C105*B105</f>
        <v>-22.249577475000002</v>
      </c>
    </row>
    <row r="106" spans="1:4" hidden="1" x14ac:dyDescent="0.25">
      <c r="A106" s="120"/>
      <c r="B106" s="184"/>
      <c r="C106" s="185"/>
      <c r="D106" s="186"/>
    </row>
    <row r="107" spans="1:4" ht="15.75" hidden="1" thickBot="1" x14ac:dyDescent="0.3">
      <c r="A107" s="187" t="s">
        <v>112</v>
      </c>
      <c r="B107" s="188"/>
      <c r="C107" s="189"/>
      <c r="D107" s="190">
        <f>SUM(D103:D106)</f>
        <v>17.874177525</v>
      </c>
    </row>
    <row r="108" spans="1:4" hidden="1" x14ac:dyDescent="0.25">
      <c r="A108" s="191"/>
      <c r="B108" s="191"/>
      <c r="C108" s="191"/>
      <c r="D108" s="191"/>
    </row>
    <row r="109" spans="1:4" hidden="1" x14ac:dyDescent="0.25">
      <c r="A109" s="191"/>
      <c r="B109" s="191"/>
      <c r="C109" s="191"/>
      <c r="D109" s="191"/>
    </row>
    <row r="110" spans="1:4" ht="15.75" hidden="1" thickBot="1" x14ac:dyDescent="0.3">
      <c r="A110" s="269" t="s">
        <v>113</v>
      </c>
      <c r="B110" s="270"/>
      <c r="C110" s="270"/>
      <c r="D110" s="271"/>
    </row>
    <row r="111" spans="1:4" hidden="1" x14ac:dyDescent="0.25">
      <c r="A111" s="192" t="s">
        <v>114</v>
      </c>
      <c r="B111" s="193"/>
      <c r="C111" s="193"/>
      <c r="D111" s="194">
        <f>-F63</f>
        <v>0</v>
      </c>
    </row>
    <row r="112" spans="1:4" hidden="1" x14ac:dyDescent="0.25">
      <c r="A112" s="195" t="s">
        <v>115</v>
      </c>
      <c r="B112" s="196">
        <f>B62</f>
        <v>0</v>
      </c>
      <c r="C112" s="197">
        <v>1.5</v>
      </c>
      <c r="D112" s="198">
        <f>C112*B112</f>
        <v>0</v>
      </c>
    </row>
    <row r="113" spans="1:4" hidden="1" x14ac:dyDescent="0.25">
      <c r="A113" s="195" t="s">
        <v>116</v>
      </c>
      <c r="B113" s="199">
        <f>D37</f>
        <v>1273.77</v>
      </c>
      <c r="C113" s="182">
        <v>1.7999999999999999E-2</v>
      </c>
      <c r="D113" s="198">
        <f>C113*B113</f>
        <v>22.927859999999999</v>
      </c>
    </row>
    <row r="114" spans="1:4" hidden="1" x14ac:dyDescent="0.25">
      <c r="A114" s="195" t="s">
        <v>117</v>
      </c>
      <c r="B114" s="199">
        <f>B113</f>
        <v>1273.77</v>
      </c>
      <c r="C114" s="182">
        <v>0.06</v>
      </c>
      <c r="D114" s="198">
        <f>C114*B114</f>
        <v>76.426199999999994</v>
      </c>
    </row>
    <row r="115" spans="1:4" ht="15.75" hidden="1" thickBot="1" x14ac:dyDescent="0.3">
      <c r="A115" s="200" t="s">
        <v>118</v>
      </c>
      <c r="B115" s="201"/>
      <c r="C115" s="201"/>
      <c r="D115" s="202">
        <f>D111+D112+D113+D114</f>
        <v>99.35405999999999</v>
      </c>
    </row>
    <row r="116" spans="1:4" hidden="1" x14ac:dyDescent="0.25"/>
    <row r="117" spans="1:4" hidden="1" x14ac:dyDescent="0.25"/>
    <row r="118" spans="1:4" hidden="1" x14ac:dyDescent="0.25"/>
    <row r="119" spans="1:4" hidden="1" x14ac:dyDescent="0.25"/>
    <row r="121" spans="1:4" ht="15.75" thickBot="1" x14ac:dyDescent="0.3">
      <c r="A121" s="203" t="s">
        <v>87</v>
      </c>
    </row>
    <row r="122" spans="1:4" x14ac:dyDescent="0.25">
      <c r="A122" s="204" t="s">
        <v>119</v>
      </c>
      <c r="B122" s="205">
        <f>-1.7%*B60</f>
        <v>-22.249577475000002</v>
      </c>
      <c r="D122" s="275"/>
    </row>
    <row r="123" spans="1:4" x14ac:dyDescent="0.25">
      <c r="A123" s="206" t="s">
        <v>120</v>
      </c>
      <c r="B123" s="207">
        <f>$D$37*0.75%</f>
        <v>9.5532749999999993</v>
      </c>
    </row>
    <row r="124" spans="1:4" x14ac:dyDescent="0.25">
      <c r="A124" s="206" t="s">
        <v>121</v>
      </c>
      <c r="B124" s="207">
        <f>$D$37*2.4%</f>
        <v>30.57048</v>
      </c>
    </row>
    <row r="125" spans="1:4" ht="15.75" thickBot="1" x14ac:dyDescent="0.3">
      <c r="A125" s="208"/>
      <c r="B125" s="209">
        <f>SUM(B122:B124)</f>
        <v>17.874177524999997</v>
      </c>
    </row>
    <row r="127" spans="1:4" ht="15.75" thickBot="1" x14ac:dyDescent="0.3">
      <c r="A127" s="203" t="s">
        <v>96</v>
      </c>
    </row>
    <row r="128" spans="1:4" x14ac:dyDescent="0.25">
      <c r="A128" s="204" t="s">
        <v>122</v>
      </c>
      <c r="B128" s="210">
        <f>-F63</f>
        <v>0</v>
      </c>
    </row>
    <row r="129" spans="1:4" x14ac:dyDescent="0.25">
      <c r="A129" s="206" t="s">
        <v>123</v>
      </c>
      <c r="B129" s="207">
        <f>$D$37*6%</f>
        <v>76.426199999999994</v>
      </c>
    </row>
    <row r="130" spans="1:4" x14ac:dyDescent="0.25">
      <c r="A130" s="206" t="s">
        <v>124</v>
      </c>
      <c r="B130" s="207">
        <f>$D$37*1.8%</f>
        <v>22.927860000000003</v>
      </c>
    </row>
    <row r="131" spans="1:4" ht="15.75" thickBot="1" x14ac:dyDescent="0.3">
      <c r="A131" s="211" t="s">
        <v>118</v>
      </c>
      <c r="B131" s="212">
        <f>SUM(B128:B130)</f>
        <v>99.354060000000004</v>
      </c>
    </row>
    <row r="133" spans="1:4" ht="15.75" thickBot="1" x14ac:dyDescent="0.3"/>
    <row r="134" spans="1:4" x14ac:dyDescent="0.25">
      <c r="A134" s="213" t="s">
        <v>75</v>
      </c>
      <c r="B134" s="214" t="s">
        <v>89</v>
      </c>
      <c r="C134" s="214" t="s">
        <v>90</v>
      </c>
      <c r="D134" s="215" t="s">
        <v>40</v>
      </c>
    </row>
    <row r="135" spans="1:4" ht="16.5" x14ac:dyDescent="0.25">
      <c r="A135" s="216" t="s">
        <v>125</v>
      </c>
      <c r="B135" s="258">
        <f>D37</f>
        <v>1273.77</v>
      </c>
      <c r="C135" s="182">
        <v>1E-3</v>
      </c>
      <c r="D135" s="217">
        <f>C135*$B$135</f>
        <v>1.2737700000000001</v>
      </c>
    </row>
    <row r="136" spans="1:4" ht="16.5" x14ac:dyDescent="0.25">
      <c r="A136" s="216" t="s">
        <v>126</v>
      </c>
      <c r="B136" s="259"/>
      <c r="C136" s="218"/>
      <c r="D136" s="219"/>
    </row>
    <row r="137" spans="1:4" ht="16.5" x14ac:dyDescent="0.25">
      <c r="A137" s="216" t="s">
        <v>127</v>
      </c>
      <c r="B137" s="259"/>
      <c r="C137" s="182">
        <v>3.0000000000000001E-3</v>
      </c>
      <c r="D137" s="217">
        <f t="shared" ref="D137:D140" si="6">C137*$B$135</f>
        <v>3.82131</v>
      </c>
    </row>
    <row r="138" spans="1:4" ht="16.5" x14ac:dyDescent="0.25">
      <c r="A138" s="216" t="s">
        <v>128</v>
      </c>
      <c r="B138" s="259"/>
      <c r="C138" s="182">
        <v>6.7999999999999996E-3</v>
      </c>
      <c r="D138" s="217">
        <f t="shared" si="6"/>
        <v>8.6616359999999997</v>
      </c>
    </row>
    <row r="139" spans="1:4" ht="16.5" x14ac:dyDescent="0.25">
      <c r="A139" s="216" t="s">
        <v>104</v>
      </c>
      <c r="B139" s="259"/>
      <c r="C139" s="182">
        <v>5.4999999999999997E-3</v>
      </c>
      <c r="D139" s="217">
        <f t="shared" si="6"/>
        <v>7.0057349999999996</v>
      </c>
    </row>
    <row r="140" spans="1:4" ht="16.5" x14ac:dyDescent="0.25">
      <c r="A140" s="216" t="s">
        <v>129</v>
      </c>
      <c r="B140" s="260"/>
      <c r="C140" s="220">
        <v>1.6000000000000001E-4</v>
      </c>
      <c r="D140" s="217">
        <f t="shared" si="6"/>
        <v>0.20380320000000002</v>
      </c>
    </row>
    <row r="141" spans="1:4" ht="16.5" x14ac:dyDescent="0.25">
      <c r="A141" s="216" t="s">
        <v>130</v>
      </c>
      <c r="B141" s="218"/>
      <c r="C141" s="218"/>
      <c r="D141" s="221">
        <f>SUM(D135:D140)</f>
        <v>20.966254199999998</v>
      </c>
    </row>
    <row r="142" spans="1:4" ht="16.5" x14ac:dyDescent="0.25">
      <c r="A142" s="216" t="s">
        <v>106</v>
      </c>
      <c r="B142" s="218"/>
      <c r="C142" s="218"/>
      <c r="D142" s="217"/>
    </row>
    <row r="143" spans="1:4" ht="16.5" x14ac:dyDescent="0.25">
      <c r="A143" s="216"/>
      <c r="B143" s="218"/>
      <c r="C143" s="218"/>
      <c r="D143" s="219"/>
    </row>
    <row r="144" spans="1:4" ht="17.25" thickBot="1" x14ac:dyDescent="0.3">
      <c r="A144" s="222" t="s">
        <v>131</v>
      </c>
      <c r="B144" s="81"/>
      <c r="C144" s="81"/>
      <c r="D144" s="223"/>
    </row>
    <row r="147" spans="1:6" ht="15.75" thickBot="1" x14ac:dyDescent="0.3"/>
    <row r="148" spans="1:6" x14ac:dyDescent="0.25">
      <c r="A148" s="236" t="s">
        <v>134</v>
      </c>
      <c r="B148" s="7"/>
      <c r="C148" s="11" t="s">
        <v>138</v>
      </c>
    </row>
    <row r="149" spans="1:6" x14ac:dyDescent="0.25">
      <c r="A149" s="15" t="s">
        <v>135</v>
      </c>
      <c r="B149" s="1">
        <v>3500</v>
      </c>
      <c r="C149" s="207">
        <f>1.8*11.27*151.6667</f>
        <v>3076.7106761999999</v>
      </c>
    </row>
    <row r="150" spans="1:6" x14ac:dyDescent="0.25">
      <c r="A150" s="15" t="s">
        <v>136</v>
      </c>
      <c r="B150" s="1">
        <v>3500</v>
      </c>
      <c r="C150" s="207">
        <f t="shared" ref="C150:C151" si="7">1.8*11.27*151.6667</f>
        <v>3076.7106761999999</v>
      </c>
    </row>
    <row r="151" spans="1:6" x14ac:dyDescent="0.25">
      <c r="A151" s="15" t="s">
        <v>137</v>
      </c>
      <c r="B151" s="1">
        <v>3700</v>
      </c>
      <c r="C151" s="207">
        <f t="shared" si="7"/>
        <v>3076.7106761999999</v>
      </c>
    </row>
    <row r="152" spans="1:6" x14ac:dyDescent="0.25">
      <c r="A152" s="15" t="s">
        <v>139</v>
      </c>
      <c r="B152" s="52"/>
      <c r="C152" s="231">
        <f>SUM(C149:C151)</f>
        <v>9230.1320285999991</v>
      </c>
    </row>
    <row r="153" spans="1:6" x14ac:dyDescent="0.25">
      <c r="A153" s="15" t="s">
        <v>140</v>
      </c>
      <c r="B153" s="52"/>
      <c r="C153" s="207">
        <f>ROUND(C152/91.25*0.5,2)</f>
        <v>50.58</v>
      </c>
    </row>
    <row r="154" spans="1:6" x14ac:dyDescent="0.25">
      <c r="A154" s="15" t="s">
        <v>141</v>
      </c>
      <c r="B154" s="52"/>
      <c r="C154" s="17">
        <f>9-3</f>
        <v>6</v>
      </c>
    </row>
    <row r="155" spans="1:6" x14ac:dyDescent="0.25">
      <c r="A155" s="15" t="s">
        <v>142</v>
      </c>
      <c r="B155" s="52"/>
      <c r="C155" s="234">
        <f>+C154*C153</f>
        <v>303.48</v>
      </c>
    </row>
    <row r="156" spans="1:6" x14ac:dyDescent="0.25">
      <c r="A156" s="15" t="s">
        <v>143</v>
      </c>
      <c r="B156" s="52"/>
      <c r="C156" s="207">
        <f>+C155*6.7/100</f>
        <v>20.333160000000003</v>
      </c>
    </row>
    <row r="157" spans="1:6" ht="15.75" thickBot="1" x14ac:dyDescent="0.3">
      <c r="A157" s="18" t="s">
        <v>142</v>
      </c>
      <c r="B157" s="232"/>
      <c r="C157" s="235">
        <f>+C155-C156</f>
        <v>283.14684</v>
      </c>
    </row>
    <row r="159" spans="1:6" ht="15.75" thickBot="1" x14ac:dyDescent="0.3"/>
    <row r="160" spans="1:6" x14ac:dyDescent="0.25">
      <c r="A160" s="9" t="s">
        <v>144</v>
      </c>
      <c r="B160" s="7"/>
      <c r="C160" s="8"/>
      <c r="E160" s="5" t="s">
        <v>149</v>
      </c>
      <c r="F160" s="5">
        <v>2881.33</v>
      </c>
    </row>
    <row r="161" spans="1:6" x14ac:dyDescent="0.25">
      <c r="A161" s="15" t="s">
        <v>145</v>
      </c>
      <c r="B161" s="52"/>
      <c r="C161" s="237">
        <v>0.11310000000000001</v>
      </c>
      <c r="E161" s="5" t="s">
        <v>172</v>
      </c>
    </row>
    <row r="162" spans="1:6" x14ac:dyDescent="0.25">
      <c r="A162" s="15" t="s">
        <v>143</v>
      </c>
      <c r="B162" s="52"/>
      <c r="C162" s="238">
        <f>9.7%*0.9825</f>
        <v>9.5302499999999998E-2</v>
      </c>
    </row>
    <row r="163" spans="1:6" x14ac:dyDescent="0.25">
      <c r="A163" s="15" t="s">
        <v>146</v>
      </c>
      <c r="B163" s="52"/>
      <c r="C163" s="237">
        <v>0.01</v>
      </c>
    </row>
    <row r="164" spans="1:6" x14ac:dyDescent="0.25">
      <c r="A164" s="246" t="s">
        <v>163</v>
      </c>
      <c r="B164" s="64" t="s">
        <v>164</v>
      </c>
      <c r="C164" s="247">
        <f>9.7%*2.7%</f>
        <v>2.6189999999999998E-3</v>
      </c>
    </row>
    <row r="165" spans="1:6" x14ac:dyDescent="0.25">
      <c r="A165" s="246" t="s">
        <v>12</v>
      </c>
      <c r="B165" s="64"/>
      <c r="C165" s="247">
        <v>2.4000000000000001E-4</v>
      </c>
    </row>
    <row r="166" spans="1:6" ht="15.75" thickBot="1" x14ac:dyDescent="0.3">
      <c r="A166" s="18" t="s">
        <v>147</v>
      </c>
      <c r="B166" s="232"/>
      <c r="C166" s="239">
        <f>SUM(C161:C165)</f>
        <v>0.2212615</v>
      </c>
    </row>
    <row r="167" spans="1:6" ht="15.75" thickBot="1" x14ac:dyDescent="0.3"/>
    <row r="168" spans="1:6" ht="15.75" thickBot="1" x14ac:dyDescent="0.3">
      <c r="A168" s="174" t="s">
        <v>148</v>
      </c>
      <c r="B168" s="175"/>
      <c r="C168" s="240">
        <f>1-C166</f>
        <v>0.7787385</v>
      </c>
    </row>
    <row r="169" spans="1:6" ht="15.75" thickBot="1" x14ac:dyDescent="0.3"/>
    <row r="170" spans="1:6" ht="15.75" thickBot="1" x14ac:dyDescent="0.3">
      <c r="A170" s="174" t="s">
        <v>149</v>
      </c>
      <c r="B170" s="175"/>
      <c r="C170" s="241">
        <f>3700*C168</f>
        <v>2881.3324499999999</v>
      </c>
    </row>
    <row r="171" spans="1:6" ht="15.75" thickBot="1" x14ac:dyDescent="0.3"/>
    <row r="172" spans="1:6" x14ac:dyDescent="0.25">
      <c r="A172" s="9" t="s">
        <v>150</v>
      </c>
      <c r="B172" s="7"/>
      <c r="C172" s="8">
        <v>147</v>
      </c>
      <c r="E172" s="5">
        <f>3700/147</f>
        <v>25.170068027210885</v>
      </c>
      <c r="F172" s="5">
        <f>3700/21</f>
        <v>176.1904761904762</v>
      </c>
    </row>
    <row r="173" spans="1:6" x14ac:dyDescent="0.25">
      <c r="A173" s="15" t="s">
        <v>151</v>
      </c>
      <c r="B173" s="52"/>
      <c r="C173" s="207">
        <f>+C170/C172</f>
        <v>19.600901020408163</v>
      </c>
      <c r="E173" s="5">
        <f>E172*7</f>
        <v>176.1904761904762</v>
      </c>
      <c r="F173" s="5">
        <f>F172*3</f>
        <v>528.57142857142867</v>
      </c>
    </row>
    <row r="174" spans="1:6" ht="15.75" thickBot="1" x14ac:dyDescent="0.3">
      <c r="A174" s="18" t="s">
        <v>152</v>
      </c>
      <c r="B174" s="232"/>
      <c r="C174" s="209">
        <f>3700/C172</f>
        <v>25.170068027210885</v>
      </c>
    </row>
    <row r="175" spans="1:6" ht="15.75" thickBot="1" x14ac:dyDescent="0.3"/>
    <row r="176" spans="1:6" x14ac:dyDescent="0.25">
      <c r="A176" s="9" t="s">
        <v>153</v>
      </c>
      <c r="B176" s="7"/>
      <c r="C176" s="242">
        <f>+C170</f>
        <v>2881.3324499999999</v>
      </c>
    </row>
    <row r="177" spans="1:4" x14ac:dyDescent="0.25">
      <c r="A177" s="15" t="s">
        <v>154</v>
      </c>
      <c r="B177" s="52" t="s">
        <v>177</v>
      </c>
      <c r="C177" s="231">
        <f>+-49*C173</f>
        <v>-960.44414999999992</v>
      </c>
    </row>
    <row r="178" spans="1:4" x14ac:dyDescent="0.25">
      <c r="A178" s="15" t="s">
        <v>155</v>
      </c>
      <c r="B178" s="52" t="s">
        <v>178</v>
      </c>
      <c r="C178" s="231">
        <f>28*C173</f>
        <v>548.82522857142851</v>
      </c>
    </row>
    <row r="179" spans="1:4" x14ac:dyDescent="0.25">
      <c r="A179" s="15" t="s">
        <v>156</v>
      </c>
      <c r="B179" s="52"/>
      <c r="C179" s="231">
        <f>-C155</f>
        <v>-303.48</v>
      </c>
    </row>
    <row r="180" spans="1:4" x14ac:dyDescent="0.25">
      <c r="A180" s="248" t="s">
        <v>157</v>
      </c>
      <c r="B180" s="249"/>
      <c r="C180" s="255">
        <f>SUM(C176:C179)</f>
        <v>2166.2335285714285</v>
      </c>
    </row>
    <row r="181" spans="1:4" x14ac:dyDescent="0.25">
      <c r="A181" s="15" t="s">
        <v>158</v>
      </c>
      <c r="B181" s="52"/>
      <c r="C181" s="237">
        <f>+C168</f>
        <v>0.7787385</v>
      </c>
    </row>
    <row r="182" spans="1:4" ht="15.75" thickBot="1" x14ac:dyDescent="0.3">
      <c r="A182" s="18" t="s">
        <v>159</v>
      </c>
      <c r="B182" s="232" t="s">
        <v>160</v>
      </c>
      <c r="C182" s="243">
        <f>+C180/C181</f>
        <v>2781.7213719001029</v>
      </c>
    </row>
    <row r="184" spans="1:4" ht="15.75" thickBot="1" x14ac:dyDescent="0.3">
      <c r="A184" s="256" t="s">
        <v>179</v>
      </c>
    </row>
    <row r="185" spans="1:4" x14ac:dyDescent="0.25">
      <c r="A185" s="9" t="s">
        <v>173</v>
      </c>
      <c r="B185" s="7"/>
      <c r="C185" s="257">
        <f>C170</f>
        <v>2881.3324499999999</v>
      </c>
    </row>
    <row r="186" spans="1:4" x14ac:dyDescent="0.25">
      <c r="A186" s="15" t="s">
        <v>174</v>
      </c>
      <c r="B186" s="52"/>
      <c r="C186" s="207">
        <f>-C156</f>
        <v>-20.333160000000003</v>
      </c>
    </row>
    <row r="187" spans="1:4" x14ac:dyDescent="0.25">
      <c r="A187" s="15" t="s">
        <v>175</v>
      </c>
      <c r="B187" s="52" t="s">
        <v>176</v>
      </c>
      <c r="C187" s="207">
        <f>-2881.33/147*21</f>
        <v>-411.61857142857139</v>
      </c>
    </row>
    <row r="188" spans="1:4" x14ac:dyDescent="0.25">
      <c r="A188" s="15"/>
      <c r="B188" s="52"/>
      <c r="C188" s="207"/>
    </row>
    <row r="189" spans="1:4" ht="15.75" thickBot="1" x14ac:dyDescent="0.3">
      <c r="A189" s="18" t="s">
        <v>180</v>
      </c>
      <c r="B189" s="232"/>
      <c r="C189" s="233">
        <f>SUM(C185:C188)</f>
        <v>2449.3807185714286</v>
      </c>
      <c r="D189" s="256" t="s">
        <v>181</v>
      </c>
    </row>
    <row r="190" spans="1:4" x14ac:dyDescent="0.25">
      <c r="A190" s="5" t="s">
        <v>134</v>
      </c>
      <c r="C190" s="224"/>
    </row>
    <row r="191" spans="1:4" x14ac:dyDescent="0.25">
      <c r="C191" s="224"/>
    </row>
    <row r="192" spans="1:4" x14ac:dyDescent="0.25">
      <c r="C192" s="224"/>
    </row>
    <row r="193" spans="3:3" x14ac:dyDescent="0.25">
      <c r="C193" s="224"/>
    </row>
    <row r="194" spans="3:3" x14ac:dyDescent="0.25">
      <c r="C194" s="224"/>
    </row>
  </sheetData>
  <mergeCells count="7">
    <mergeCell ref="B135:B140"/>
    <mergeCell ref="B17:C17"/>
    <mergeCell ref="E17:F17"/>
    <mergeCell ref="A87:B87"/>
    <mergeCell ref="C88:C95"/>
    <mergeCell ref="A102:D102"/>
    <mergeCell ref="A110:D1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0FCF9-BB3B-4058-B717-EC4D3A1D4143}">
  <sheetPr>
    <tabColor rgb="FFFF0000"/>
  </sheetPr>
  <dimension ref="A1:O185"/>
  <sheetViews>
    <sheetView topLeftCell="A61" workbookViewId="0">
      <selection activeCell="D74" sqref="D74"/>
    </sheetView>
  </sheetViews>
  <sheetFormatPr baseColWidth="10" defaultRowHeight="15" x14ac:dyDescent="0.25"/>
  <cols>
    <col min="1" max="1" width="92.28515625" style="5" customWidth="1"/>
    <col min="2" max="2" width="16.7109375" style="5" customWidth="1"/>
    <col min="3" max="3" width="18.85546875" style="5" bestFit="1" customWidth="1"/>
    <col min="4" max="4" width="25.5703125" style="5" bestFit="1" customWidth="1"/>
    <col min="5" max="5" width="25.5703125" style="5" customWidth="1"/>
    <col min="6" max="6" width="20.85546875" style="5" customWidth="1"/>
    <col min="7" max="8" width="27.28515625" style="5" customWidth="1"/>
    <col min="9" max="9" width="12.5703125" style="5" customWidth="1"/>
    <col min="10" max="10" width="12" style="5" customWidth="1"/>
    <col min="11" max="11" width="11.42578125" style="5" customWidth="1"/>
    <col min="12" max="12" width="12.140625" style="5" customWidth="1"/>
    <col min="13" max="14" width="12" style="5" customWidth="1"/>
    <col min="15" max="16384" width="11.42578125" style="5"/>
  </cols>
  <sheetData>
    <row r="1" spans="1:6" ht="15.75" thickBot="1" x14ac:dyDescent="0.3">
      <c r="A1" s="2" t="s">
        <v>16</v>
      </c>
      <c r="B1" s="3"/>
      <c r="C1" s="3"/>
      <c r="D1" s="3"/>
      <c r="E1" s="3"/>
      <c r="F1" s="4"/>
    </row>
    <row r="2" spans="1:6" x14ac:dyDescent="0.25">
      <c r="A2" s="6" t="s">
        <v>11</v>
      </c>
      <c r="B2" s="7"/>
      <c r="C2" s="8"/>
      <c r="D2" s="9" t="s">
        <v>10</v>
      </c>
      <c r="E2" s="10"/>
      <c r="F2" s="11" t="s">
        <v>17</v>
      </c>
    </row>
    <row r="3" spans="1:6" x14ac:dyDescent="0.25">
      <c r="A3" s="12" t="s">
        <v>18</v>
      </c>
      <c r="B3" s="13"/>
      <c r="C3" s="14"/>
      <c r="D3" s="15" t="s">
        <v>18</v>
      </c>
      <c r="E3" s="16"/>
      <c r="F3" s="17"/>
    </row>
    <row r="4" spans="1:6" x14ac:dyDescent="0.25">
      <c r="A4" s="12" t="s">
        <v>19</v>
      </c>
      <c r="B4" s="13"/>
      <c r="C4" s="14"/>
      <c r="D4" s="15" t="s">
        <v>20</v>
      </c>
      <c r="E4" s="16"/>
      <c r="F4" s="17"/>
    </row>
    <row r="5" spans="1:6" x14ac:dyDescent="0.25">
      <c r="A5" s="12" t="s">
        <v>21</v>
      </c>
      <c r="B5" s="13"/>
      <c r="C5" s="14"/>
      <c r="D5" s="15" t="s">
        <v>22</v>
      </c>
      <c r="E5" s="16"/>
      <c r="F5" s="17"/>
    </row>
    <row r="6" spans="1:6" x14ac:dyDescent="0.25">
      <c r="A6" s="12" t="s">
        <v>21</v>
      </c>
      <c r="B6" s="13"/>
      <c r="C6" s="14"/>
      <c r="D6" s="15" t="s">
        <v>23</v>
      </c>
      <c r="E6" s="16"/>
      <c r="F6" s="17"/>
    </row>
    <row r="7" spans="1:6" x14ac:dyDescent="0.25">
      <c r="A7" s="12" t="s">
        <v>24</v>
      </c>
      <c r="B7" s="13"/>
      <c r="C7" s="14"/>
      <c r="D7" s="15"/>
      <c r="E7" s="16"/>
      <c r="F7" s="17"/>
    </row>
    <row r="8" spans="1:6" x14ac:dyDescent="0.25">
      <c r="A8" s="12" t="s">
        <v>25</v>
      </c>
      <c r="B8" s="13"/>
      <c r="C8" s="14"/>
      <c r="D8" s="15" t="s">
        <v>26</v>
      </c>
      <c r="E8" s="16"/>
      <c r="F8" s="17"/>
    </row>
    <row r="9" spans="1:6" x14ac:dyDescent="0.25">
      <c r="A9" s="12" t="s">
        <v>27</v>
      </c>
      <c r="B9" s="13"/>
      <c r="C9" s="14"/>
      <c r="D9" s="15" t="s">
        <v>6</v>
      </c>
      <c r="E9" s="16"/>
      <c r="F9" s="17"/>
    </row>
    <row r="10" spans="1:6" x14ac:dyDescent="0.25">
      <c r="A10" s="12" t="s">
        <v>28</v>
      </c>
      <c r="B10" s="13"/>
      <c r="C10" s="14"/>
      <c r="D10" s="15" t="s">
        <v>7</v>
      </c>
      <c r="E10" s="16"/>
      <c r="F10" s="17"/>
    </row>
    <row r="11" spans="1:6" x14ac:dyDescent="0.25">
      <c r="A11" s="12" t="s">
        <v>29</v>
      </c>
      <c r="B11" s="13"/>
      <c r="C11" s="14"/>
      <c r="D11" s="15" t="s">
        <v>30</v>
      </c>
      <c r="E11" s="16"/>
      <c r="F11" s="17"/>
    </row>
    <row r="12" spans="1:6" x14ac:dyDescent="0.25">
      <c r="A12" s="12" t="s">
        <v>31</v>
      </c>
      <c r="B12" s="13"/>
      <c r="C12" s="14"/>
      <c r="D12" s="15" t="s">
        <v>32</v>
      </c>
      <c r="E12" s="16"/>
      <c r="F12" s="17"/>
    </row>
    <row r="13" spans="1:6" x14ac:dyDescent="0.25">
      <c r="A13" s="12" t="s">
        <v>8</v>
      </c>
      <c r="B13" s="13"/>
      <c r="C13" s="14"/>
      <c r="D13" s="15" t="s">
        <v>33</v>
      </c>
      <c r="E13" s="16"/>
      <c r="F13" s="17"/>
    </row>
    <row r="14" spans="1:6" x14ac:dyDescent="0.25">
      <c r="A14" s="12"/>
      <c r="B14" s="13"/>
      <c r="C14" s="14"/>
      <c r="D14" s="15" t="s">
        <v>34</v>
      </c>
      <c r="E14" s="16"/>
      <c r="F14" s="17"/>
    </row>
    <row r="15" spans="1:6" x14ac:dyDescent="0.25">
      <c r="A15" s="15"/>
      <c r="B15" s="13"/>
      <c r="C15" s="14"/>
      <c r="D15" s="15"/>
      <c r="E15" s="16"/>
      <c r="F15" s="17"/>
    </row>
    <row r="16" spans="1:6" ht="15.75" thickBot="1" x14ac:dyDescent="0.3">
      <c r="A16" s="18"/>
      <c r="B16" s="19"/>
      <c r="C16" s="20"/>
      <c r="D16" s="18"/>
      <c r="E16" s="21"/>
      <c r="F16" s="22"/>
    </row>
    <row r="17" spans="1:14" ht="15.75" thickBot="1" x14ac:dyDescent="0.3">
      <c r="A17" s="23" t="s">
        <v>35</v>
      </c>
      <c r="B17" s="263">
        <v>44927</v>
      </c>
      <c r="C17" s="264"/>
      <c r="D17" s="24" t="s">
        <v>36</v>
      </c>
      <c r="E17" s="261">
        <v>44957</v>
      </c>
      <c r="F17" s="262"/>
    </row>
    <row r="18" spans="1:14" ht="20.25" customHeight="1" thickBot="1" x14ac:dyDescent="0.3">
      <c r="A18" s="25" t="s">
        <v>37</v>
      </c>
      <c r="B18" s="26"/>
      <c r="C18" s="26"/>
      <c r="D18" s="26"/>
      <c r="E18" s="27"/>
      <c r="F18" s="28"/>
    </row>
    <row r="19" spans="1:14" ht="24" customHeight="1" thickBot="1" x14ac:dyDescent="0.3">
      <c r="A19" s="29" t="s">
        <v>37</v>
      </c>
      <c r="B19" s="30" t="s">
        <v>38</v>
      </c>
      <c r="C19" s="30" t="s">
        <v>39</v>
      </c>
      <c r="D19" s="31" t="s">
        <v>40</v>
      </c>
      <c r="E19" s="32"/>
      <c r="F19" s="33"/>
    </row>
    <row r="20" spans="1:14" s="39" customFormat="1" x14ac:dyDescent="0.25">
      <c r="A20" s="9" t="s">
        <v>9</v>
      </c>
      <c r="B20" s="34"/>
      <c r="C20" s="35"/>
      <c r="D20" s="36">
        <v>3700</v>
      </c>
      <c r="E20" s="37"/>
      <c r="F20" s="38"/>
      <c r="G20" s="5"/>
      <c r="H20" s="5"/>
      <c r="I20" s="5"/>
      <c r="J20" s="5"/>
      <c r="K20" s="5"/>
      <c r="L20" s="5"/>
      <c r="M20" s="5"/>
      <c r="N20" s="5"/>
    </row>
    <row r="21" spans="1:14" s="39" customFormat="1" x14ac:dyDescent="0.25">
      <c r="A21" s="40" t="s">
        <v>41</v>
      </c>
      <c r="B21" s="41"/>
      <c r="C21" s="42"/>
      <c r="D21" s="43"/>
      <c r="E21" s="44"/>
      <c r="F21" s="45"/>
      <c r="I21" s="5"/>
      <c r="J21" s="5"/>
      <c r="K21" s="5"/>
      <c r="L21" s="5"/>
      <c r="M21" s="5"/>
      <c r="N21" s="5"/>
    </row>
    <row r="22" spans="1:14" s="39" customFormat="1" x14ac:dyDescent="0.25">
      <c r="A22" s="40" t="s">
        <v>42</v>
      </c>
      <c r="B22" s="46"/>
      <c r="C22" s="47"/>
      <c r="D22" s="48"/>
      <c r="E22" s="49"/>
      <c r="F22" s="45"/>
      <c r="I22" s="5"/>
      <c r="J22" s="5"/>
      <c r="K22" s="5"/>
      <c r="L22" s="5"/>
      <c r="M22" s="5"/>
      <c r="N22" s="5"/>
    </row>
    <row r="23" spans="1:14" s="39" customFormat="1" x14ac:dyDescent="0.25">
      <c r="A23" s="40" t="s">
        <v>43</v>
      </c>
      <c r="B23" s="41"/>
      <c r="C23" s="42"/>
      <c r="D23" s="50"/>
      <c r="E23" s="51"/>
      <c r="F23" s="45"/>
      <c r="I23" s="5"/>
      <c r="J23" s="5"/>
      <c r="K23" s="5"/>
      <c r="L23" s="5"/>
      <c r="M23" s="5"/>
      <c r="N23" s="5"/>
    </row>
    <row r="24" spans="1:14" x14ac:dyDescent="0.25">
      <c r="A24" s="15" t="s">
        <v>44</v>
      </c>
      <c r="B24" s="225"/>
      <c r="C24" s="226">
        <f>D20/151.67*1.25</f>
        <v>30.49383530032307</v>
      </c>
      <c r="D24" s="226">
        <f>C24*B24</f>
        <v>0</v>
      </c>
      <c r="E24" s="54"/>
      <c r="F24" s="55"/>
      <c r="H24" s="224">
        <f>SUM(D20:D34)</f>
        <v>3700</v>
      </c>
    </row>
    <row r="25" spans="1:14" x14ac:dyDescent="0.25">
      <c r="A25" s="15" t="s">
        <v>45</v>
      </c>
      <c r="B25" s="225"/>
      <c r="C25" s="226">
        <f>D20/151.67*1.5</f>
        <v>36.592602360387687</v>
      </c>
      <c r="D25" s="226">
        <f t="shared" ref="D25:D30" si="0">C25*B25</f>
        <v>0</v>
      </c>
      <c r="E25" s="54"/>
      <c r="F25" s="56"/>
    </row>
    <row r="26" spans="1:14" x14ac:dyDescent="0.25">
      <c r="A26" s="15" t="s">
        <v>132</v>
      </c>
      <c r="B26" s="52"/>
      <c r="C26" s="53">
        <f>D20/151.67</f>
        <v>24.395068240258457</v>
      </c>
      <c r="D26" s="53">
        <f t="shared" si="0"/>
        <v>0</v>
      </c>
      <c r="E26" s="54"/>
      <c r="F26" s="56"/>
    </row>
    <row r="27" spans="1:14" x14ac:dyDescent="0.25">
      <c r="A27" s="15" t="s">
        <v>133</v>
      </c>
      <c r="B27" s="52"/>
      <c r="C27" s="53">
        <f>D20/151.67*0.25</f>
        <v>6.0987670600646142</v>
      </c>
      <c r="D27" s="53">
        <f t="shared" si="0"/>
        <v>0</v>
      </c>
      <c r="E27" s="54"/>
      <c r="F27" s="56"/>
    </row>
    <row r="28" spans="1:14" x14ac:dyDescent="0.25">
      <c r="A28" s="15" t="s">
        <v>46</v>
      </c>
      <c r="B28" s="57"/>
      <c r="C28" s="58"/>
      <c r="D28" s="53">
        <f t="shared" si="0"/>
        <v>0</v>
      </c>
      <c r="E28" s="59"/>
      <c r="F28" s="56"/>
    </row>
    <row r="29" spans="1:14" x14ac:dyDescent="0.25">
      <c r="A29" s="15" t="s">
        <v>47</v>
      </c>
      <c r="B29" s="60"/>
      <c r="C29" s="52"/>
      <c r="D29" s="53">
        <f t="shared" si="0"/>
        <v>0</v>
      </c>
      <c r="E29" s="54"/>
      <c r="F29" s="61"/>
    </row>
    <row r="30" spans="1:14" x14ac:dyDescent="0.25">
      <c r="A30" s="15" t="s">
        <v>48</v>
      </c>
      <c r="B30" s="62"/>
      <c r="C30" s="58"/>
      <c r="D30" s="53">
        <f t="shared" si="0"/>
        <v>0</v>
      </c>
      <c r="E30" s="59"/>
      <c r="F30" s="61"/>
    </row>
    <row r="31" spans="1:14" x14ac:dyDescent="0.25">
      <c r="A31" s="15"/>
      <c r="B31" s="63"/>
      <c r="C31" s="64"/>
      <c r="D31" s="65"/>
      <c r="E31" s="66"/>
      <c r="F31" s="67"/>
    </row>
    <row r="32" spans="1:14" ht="15.75" thickBot="1" x14ac:dyDescent="0.3">
      <c r="A32" s="5" t="s">
        <v>49</v>
      </c>
      <c r="B32" s="244"/>
      <c r="C32" s="245">
        <f>-C174</f>
        <v>-25.170068027210885</v>
      </c>
      <c r="D32" s="65">
        <f>C32*B32</f>
        <v>0</v>
      </c>
      <c r="E32" s="68"/>
      <c r="F32" s="69"/>
    </row>
    <row r="33" spans="1:8" x14ac:dyDescent="0.25">
      <c r="A33" s="70" t="s">
        <v>50</v>
      </c>
      <c r="B33" s="71"/>
      <c r="C33" s="72"/>
      <c r="D33" s="65"/>
      <c r="E33" s="73"/>
      <c r="F33" s="74"/>
    </row>
    <row r="34" spans="1:8" x14ac:dyDescent="0.25">
      <c r="A34" s="5" t="s">
        <v>51</v>
      </c>
      <c r="B34" s="71"/>
      <c r="C34" s="72"/>
      <c r="D34" s="65"/>
      <c r="E34" s="73"/>
      <c r="F34" s="74"/>
    </row>
    <row r="35" spans="1:8" x14ac:dyDescent="0.25">
      <c r="A35" s="70" t="s">
        <v>52</v>
      </c>
      <c r="B35" s="71"/>
      <c r="C35" s="75"/>
      <c r="D35" s="76"/>
      <c r="E35" s="73"/>
      <c r="F35" s="74"/>
    </row>
    <row r="36" spans="1:8" ht="15.75" thickBot="1" x14ac:dyDescent="0.3">
      <c r="A36" s="77" t="s">
        <v>53</v>
      </c>
      <c r="B36" s="71"/>
      <c r="C36" s="78"/>
      <c r="D36" s="79"/>
      <c r="E36" s="73"/>
      <c r="F36" s="74"/>
    </row>
    <row r="37" spans="1:8" ht="16.5" thickTop="1" thickBot="1" x14ac:dyDescent="0.3">
      <c r="A37" s="80" t="s">
        <v>15</v>
      </c>
      <c r="B37" s="81"/>
      <c r="C37" s="82"/>
      <c r="D37" s="83">
        <f>D20</f>
        <v>3700</v>
      </c>
      <c r="E37" s="84"/>
      <c r="F37" s="74"/>
    </row>
    <row r="38" spans="1:8" x14ac:dyDescent="0.25">
      <c r="A38" s="85"/>
      <c r="B38" s="86"/>
      <c r="C38" s="87"/>
      <c r="D38" s="88"/>
      <c r="E38" s="89"/>
      <c r="F38" s="90"/>
    </row>
    <row r="39" spans="1:8" x14ac:dyDescent="0.25">
      <c r="A39" s="91" t="s">
        <v>54</v>
      </c>
      <c r="B39" s="92" t="s">
        <v>55</v>
      </c>
      <c r="C39" s="92" t="s">
        <v>56</v>
      </c>
      <c r="D39" s="92" t="s">
        <v>57</v>
      </c>
      <c r="E39" s="93"/>
      <c r="F39" s="94" t="s">
        <v>58</v>
      </c>
    </row>
    <row r="40" spans="1:8" x14ac:dyDescent="0.25">
      <c r="A40" s="95" t="s">
        <v>59</v>
      </c>
      <c r="B40" s="96"/>
      <c r="C40" s="97"/>
      <c r="D40" s="97"/>
      <c r="E40" s="98"/>
      <c r="F40" s="99"/>
    </row>
    <row r="41" spans="1:8" x14ac:dyDescent="0.25">
      <c r="A41" s="100" t="s">
        <v>60</v>
      </c>
      <c r="B41" s="101">
        <f>D37</f>
        <v>3700</v>
      </c>
      <c r="C41" s="102"/>
      <c r="D41" s="103"/>
      <c r="E41" s="104">
        <v>7.0000000000000007E-2</v>
      </c>
      <c r="F41" s="105">
        <f>E41*B41</f>
        <v>259</v>
      </c>
      <c r="G41" s="106"/>
    </row>
    <row r="42" spans="1:8" x14ac:dyDescent="0.25">
      <c r="A42" s="107" t="s">
        <v>61</v>
      </c>
      <c r="B42" s="101">
        <f>D37</f>
        <v>3700</v>
      </c>
      <c r="C42" s="108">
        <v>0.01</v>
      </c>
      <c r="D42" s="109">
        <f>C42*B42</f>
        <v>37</v>
      </c>
      <c r="E42" s="110">
        <v>1.2E-2</v>
      </c>
      <c r="F42" s="105">
        <f>E42*B42</f>
        <v>44.4</v>
      </c>
      <c r="G42" s="106"/>
      <c r="H42" s="106"/>
    </row>
    <row r="43" spans="1:8" x14ac:dyDescent="0.25">
      <c r="A43" s="100" t="s">
        <v>62</v>
      </c>
      <c r="B43" s="101">
        <f>+D37</f>
        <v>3700</v>
      </c>
      <c r="C43" s="108"/>
      <c r="D43" s="109">
        <f>C43*B43</f>
        <v>0</v>
      </c>
      <c r="E43" s="111">
        <v>1.4999999999999999E-2</v>
      </c>
      <c r="F43" s="105">
        <f>E43*B43</f>
        <v>55.5</v>
      </c>
      <c r="G43" s="106"/>
      <c r="H43" s="106"/>
    </row>
    <row r="44" spans="1:8" x14ac:dyDescent="0.25">
      <c r="A44" s="100" t="s">
        <v>63</v>
      </c>
      <c r="B44" s="101"/>
      <c r="C44" s="108"/>
      <c r="D44" s="109"/>
      <c r="E44" s="112"/>
      <c r="F44" s="105"/>
      <c r="G44" s="106"/>
      <c r="H44" s="106"/>
    </row>
    <row r="45" spans="1:8" x14ac:dyDescent="0.25">
      <c r="A45" s="95" t="s">
        <v>64</v>
      </c>
      <c r="B45" s="101">
        <f>D37</f>
        <v>3700</v>
      </c>
      <c r="C45" s="107"/>
      <c r="D45" s="101"/>
      <c r="E45" s="113">
        <v>2.7E-2</v>
      </c>
      <c r="F45" s="105">
        <f>E45*B45</f>
        <v>99.9</v>
      </c>
      <c r="G45" s="106"/>
      <c r="H45" s="106"/>
    </row>
    <row r="46" spans="1:8" x14ac:dyDescent="0.25">
      <c r="A46" s="95" t="s">
        <v>65</v>
      </c>
      <c r="B46" s="96"/>
      <c r="C46" s="97"/>
      <c r="D46" s="97"/>
      <c r="E46" s="98"/>
      <c r="F46" s="99"/>
      <c r="G46" s="106"/>
      <c r="H46" s="106"/>
    </row>
    <row r="47" spans="1:8" x14ac:dyDescent="0.25">
      <c r="A47" s="100" t="s">
        <v>66</v>
      </c>
      <c r="B47" s="101">
        <f>B45</f>
        <v>3700</v>
      </c>
      <c r="C47" s="108">
        <v>6.9000000000000006E-2</v>
      </c>
      <c r="D47" s="109">
        <f t="shared" ref="D47:D49" si="1">C47*B47</f>
        <v>255.3</v>
      </c>
      <c r="E47" s="111">
        <f>'[5]Exercice 2'!E47</f>
        <v>8.5500000000000007E-2</v>
      </c>
      <c r="F47" s="105">
        <f t="shared" ref="F47:F49" si="2">E47*B47</f>
        <v>316.35000000000002</v>
      </c>
      <c r="G47" s="106"/>
      <c r="H47" s="106"/>
    </row>
    <row r="48" spans="1:8" x14ac:dyDescent="0.25">
      <c r="A48" s="100" t="s">
        <v>67</v>
      </c>
      <c r="B48" s="101">
        <f>B47</f>
        <v>3700</v>
      </c>
      <c r="C48" s="108">
        <v>4.0000000000000001E-3</v>
      </c>
      <c r="D48" s="109">
        <f t="shared" si="1"/>
        <v>14.8</v>
      </c>
      <c r="E48" s="111">
        <f>'[5]Exercice 2'!E48</f>
        <v>1.9E-2</v>
      </c>
      <c r="F48" s="105">
        <f t="shared" si="2"/>
        <v>70.3</v>
      </c>
      <c r="G48" s="106"/>
      <c r="H48" s="106"/>
    </row>
    <row r="49" spans="1:9" x14ac:dyDescent="0.25">
      <c r="A49" s="100" t="s">
        <v>68</v>
      </c>
      <c r="B49" s="101">
        <f>B48</f>
        <v>3700</v>
      </c>
      <c r="C49" s="108">
        <v>4.0099999999999997E-2</v>
      </c>
      <c r="D49" s="109">
        <f t="shared" si="1"/>
        <v>148.36999999999998</v>
      </c>
      <c r="E49" s="111">
        <f>'[5]Exercice 2'!E49</f>
        <v>6.0100000000000001E-2</v>
      </c>
      <c r="F49" s="105">
        <f t="shared" si="2"/>
        <v>222.37</v>
      </c>
      <c r="G49" s="106"/>
      <c r="H49" s="106"/>
    </row>
    <row r="50" spans="1:9" x14ac:dyDescent="0.25">
      <c r="A50" s="100" t="s">
        <v>69</v>
      </c>
      <c r="B50" s="101"/>
      <c r="C50" s="108"/>
      <c r="D50" s="109"/>
      <c r="E50" s="111">
        <f t="shared" ref="E50:E51" si="3">G46</f>
        <v>0</v>
      </c>
      <c r="F50" s="105"/>
      <c r="G50" s="106"/>
      <c r="H50" s="106"/>
    </row>
    <row r="51" spans="1:9" x14ac:dyDescent="0.25">
      <c r="A51" s="100" t="s">
        <v>70</v>
      </c>
      <c r="B51" s="101"/>
      <c r="C51" s="108"/>
      <c r="D51" s="109"/>
      <c r="E51" s="111">
        <f t="shared" si="3"/>
        <v>0</v>
      </c>
      <c r="F51" s="105"/>
      <c r="G51" s="106"/>
      <c r="H51" s="106"/>
    </row>
    <row r="52" spans="1:9" x14ac:dyDescent="0.25">
      <c r="A52" s="100" t="s">
        <v>71</v>
      </c>
      <c r="B52" s="101"/>
      <c r="C52" s="108"/>
      <c r="D52" s="109"/>
      <c r="E52" s="112"/>
      <c r="F52" s="105"/>
      <c r="G52" s="106"/>
      <c r="H52" s="106"/>
    </row>
    <row r="53" spans="1:9" x14ac:dyDescent="0.25">
      <c r="A53" s="95" t="s">
        <v>72</v>
      </c>
      <c r="B53" s="101">
        <f>D37</f>
        <v>3700</v>
      </c>
      <c r="C53" s="114"/>
      <c r="D53" s="101"/>
      <c r="E53" s="113">
        <v>3.4500000000000003E-2</v>
      </c>
      <c r="F53" s="105">
        <f t="shared" ref="F53:F54" si="4">E53*B53</f>
        <v>127.65</v>
      </c>
      <c r="G53" s="106"/>
      <c r="H53" s="106"/>
    </row>
    <row r="54" spans="1:9" x14ac:dyDescent="0.25">
      <c r="A54" s="95" t="s">
        <v>73</v>
      </c>
      <c r="B54" s="101">
        <f>B53</f>
        <v>3700</v>
      </c>
      <c r="C54" s="114"/>
      <c r="D54" s="101"/>
      <c r="E54" s="113">
        <v>4.2000000000000003E-2</v>
      </c>
      <c r="F54" s="105">
        <f t="shared" si="4"/>
        <v>155.4</v>
      </c>
      <c r="G54" s="106"/>
      <c r="H54" s="106"/>
    </row>
    <row r="55" spans="1:9" x14ac:dyDescent="0.25">
      <c r="A55" s="100" t="s">
        <v>74</v>
      </c>
      <c r="B55" s="101">
        <f>+D37</f>
        <v>3700</v>
      </c>
      <c r="C55" s="115">
        <v>2.4000000000000001E-4</v>
      </c>
      <c r="D55" s="101">
        <f>+C55*B55</f>
        <v>0.88800000000000001</v>
      </c>
      <c r="E55" s="116">
        <v>3.6000000000000002E-4</v>
      </c>
      <c r="F55" s="105">
        <f>+E55*B55</f>
        <v>1.3320000000000001</v>
      </c>
      <c r="G55" s="106"/>
      <c r="H55" s="106"/>
    </row>
    <row r="56" spans="1:9" x14ac:dyDescent="0.25">
      <c r="A56" s="95" t="s">
        <v>75</v>
      </c>
      <c r="B56" s="101"/>
      <c r="C56" s="114"/>
      <c r="D56" s="101"/>
      <c r="E56" s="117"/>
      <c r="F56" s="105">
        <f>D141</f>
        <v>60.902000000000001</v>
      </c>
      <c r="G56" s="106"/>
      <c r="H56" s="106"/>
    </row>
    <row r="57" spans="1:9" x14ac:dyDescent="0.25">
      <c r="A57" s="95"/>
      <c r="B57" s="101"/>
      <c r="C57" s="101"/>
      <c r="D57" s="101"/>
      <c r="E57" s="117"/>
      <c r="F57" s="118"/>
      <c r="G57" s="106"/>
      <c r="H57" s="106"/>
    </row>
    <row r="58" spans="1:9" x14ac:dyDescent="0.25">
      <c r="A58" s="119" t="s">
        <v>76</v>
      </c>
      <c r="B58" s="101"/>
      <c r="C58" s="101"/>
      <c r="D58" s="101"/>
      <c r="E58" s="117"/>
      <c r="F58" s="118"/>
      <c r="G58" s="106"/>
      <c r="H58" s="106"/>
    </row>
    <row r="59" spans="1:9" ht="18" customHeight="1" x14ac:dyDescent="0.25">
      <c r="A59" s="100"/>
      <c r="B59" s="101"/>
      <c r="C59" s="115"/>
      <c r="D59" s="101"/>
      <c r="E59" s="117"/>
      <c r="F59" s="105"/>
      <c r="G59" s="106"/>
      <c r="H59" s="106"/>
    </row>
    <row r="60" spans="1:9" ht="18" customHeight="1" x14ac:dyDescent="0.25">
      <c r="A60" s="95" t="s">
        <v>77</v>
      </c>
      <c r="B60" s="101">
        <f>((D37*0.9825)+(F42+F43))</f>
        <v>3735.15</v>
      </c>
      <c r="C60" s="108">
        <v>6.8000000000000005E-2</v>
      </c>
      <c r="D60" s="109">
        <f>C60*B60</f>
        <v>253.99020000000002</v>
      </c>
      <c r="E60" s="112"/>
      <c r="F60" s="105"/>
    </row>
    <row r="61" spans="1:9" ht="18" customHeight="1" x14ac:dyDescent="0.25">
      <c r="A61" s="120" t="s">
        <v>78</v>
      </c>
      <c r="B61" s="121">
        <f>B60</f>
        <v>3735.15</v>
      </c>
      <c r="C61" s="122">
        <v>2.9000000000000001E-2</v>
      </c>
      <c r="D61" s="109">
        <f>C61*B61</f>
        <v>108.31935000000001</v>
      </c>
      <c r="E61" s="112"/>
      <c r="F61" s="123"/>
      <c r="H61" s="5" t="s">
        <v>165</v>
      </c>
      <c r="I61" s="224">
        <f>+D77</f>
        <v>3034.0518000000002</v>
      </c>
    </row>
    <row r="62" spans="1:9" ht="18" customHeight="1" x14ac:dyDescent="0.25">
      <c r="A62" s="124" t="s">
        <v>79</v>
      </c>
      <c r="B62" s="121">
        <f>I38*0.9825</f>
        <v>0</v>
      </c>
      <c r="C62" s="122">
        <v>9.7000000000000003E-2</v>
      </c>
      <c r="D62" s="109">
        <f>C62*B62</f>
        <v>0</v>
      </c>
      <c r="E62" s="126"/>
      <c r="F62" s="123"/>
      <c r="H62" s="5" t="s">
        <v>134</v>
      </c>
      <c r="I62" s="224">
        <f>+C155</f>
        <v>298.08</v>
      </c>
    </row>
    <row r="63" spans="1:9" ht="18" customHeight="1" x14ac:dyDescent="0.25">
      <c r="A63" s="127" t="s">
        <v>80</v>
      </c>
      <c r="B63" s="227">
        <f>I38</f>
        <v>0</v>
      </c>
      <c r="C63" s="228">
        <v>-0.11310000000000001</v>
      </c>
      <c r="D63" s="125">
        <f>C63*B63</f>
        <v>0</v>
      </c>
      <c r="E63" s="128"/>
      <c r="F63" s="129"/>
      <c r="H63" s="5" t="s">
        <v>166</v>
      </c>
      <c r="I63" s="230">
        <f>I62*3.8/100</f>
        <v>11.32704</v>
      </c>
    </row>
    <row r="64" spans="1:9" ht="18" customHeight="1" x14ac:dyDescent="0.25">
      <c r="A64" s="127" t="s">
        <v>80</v>
      </c>
      <c r="B64" s="128"/>
      <c r="C64" s="128"/>
      <c r="D64" s="128"/>
      <c r="E64" s="229">
        <v>-1.5</v>
      </c>
      <c r="F64" s="129">
        <f>E64*B64</f>
        <v>0</v>
      </c>
      <c r="H64" s="5" t="s">
        <v>167</v>
      </c>
      <c r="I64" s="224">
        <f>I62-I63</f>
        <v>286.75295999999997</v>
      </c>
    </row>
    <row r="65" spans="1:15" ht="18" customHeight="1" x14ac:dyDescent="0.25">
      <c r="A65" s="120" t="s">
        <v>81</v>
      </c>
      <c r="B65" s="125"/>
      <c r="C65" s="130"/>
      <c r="D65" s="131">
        <f>SUM(D41:D63)</f>
        <v>818.66755000000001</v>
      </c>
      <c r="E65" s="131"/>
      <c r="F65" s="131">
        <f>SUM(F41:F64)</f>
        <v>1413.1040000000003</v>
      </c>
      <c r="H65" s="5" t="s">
        <v>168</v>
      </c>
      <c r="I65" s="224">
        <f>+I61+I64</f>
        <v>3320.80476</v>
      </c>
    </row>
    <row r="66" spans="1:15" ht="18" customHeight="1" x14ac:dyDescent="0.25">
      <c r="A66" s="120"/>
      <c r="B66" s="125"/>
      <c r="C66" s="130"/>
      <c r="D66" s="131"/>
      <c r="E66" s="132"/>
      <c r="F66" s="133"/>
    </row>
    <row r="67" spans="1:15" x14ac:dyDescent="0.25">
      <c r="A67" s="134" t="s">
        <v>13</v>
      </c>
      <c r="B67" s="125"/>
      <c r="C67" s="130"/>
      <c r="D67" s="131"/>
      <c r="E67" s="132"/>
      <c r="F67" s="133"/>
    </row>
    <row r="68" spans="1:15" x14ac:dyDescent="0.25">
      <c r="A68" s="134" t="s">
        <v>82</v>
      </c>
      <c r="B68" s="125"/>
      <c r="C68" s="130"/>
      <c r="D68" s="131"/>
      <c r="E68" s="132"/>
      <c r="F68" s="133"/>
    </row>
    <row r="69" spans="1:15" x14ac:dyDescent="0.25">
      <c r="A69" s="134" t="s">
        <v>83</v>
      </c>
      <c r="B69" s="125"/>
      <c r="C69" s="130"/>
      <c r="D69" s="131"/>
      <c r="E69" s="132"/>
      <c r="F69" s="133"/>
    </row>
    <row r="70" spans="1:15" ht="15.75" customHeight="1" x14ac:dyDescent="0.25">
      <c r="A70" s="134" t="s">
        <v>84</v>
      </c>
      <c r="B70" s="135"/>
      <c r="C70" s="130"/>
      <c r="D70" s="131"/>
      <c r="E70" s="132"/>
      <c r="F70" s="133"/>
    </row>
    <row r="71" spans="1:15" x14ac:dyDescent="0.25">
      <c r="A71" s="134" t="s">
        <v>85</v>
      </c>
      <c r="B71" s="125"/>
      <c r="C71" s="130"/>
      <c r="D71" s="131"/>
      <c r="E71" s="132"/>
      <c r="F71" s="133"/>
    </row>
    <row r="72" spans="1:15" x14ac:dyDescent="0.25">
      <c r="A72" s="134" t="s">
        <v>134</v>
      </c>
      <c r="B72" s="125"/>
      <c r="C72" s="130"/>
      <c r="D72" s="131"/>
      <c r="E72" s="132"/>
      <c r="F72" s="133"/>
    </row>
    <row r="73" spans="1:15" ht="15.75" thickBot="1" x14ac:dyDescent="0.3">
      <c r="A73" s="120"/>
      <c r="B73" s="125"/>
      <c r="C73" s="130"/>
      <c r="D73" s="131"/>
      <c r="E73" s="132"/>
      <c r="F73" s="136"/>
    </row>
    <row r="74" spans="1:15" ht="15.75" thickBot="1" x14ac:dyDescent="0.3">
      <c r="A74" s="137" t="s">
        <v>86</v>
      </c>
      <c r="B74" s="138"/>
      <c r="C74" s="139"/>
      <c r="D74" s="140">
        <f>D37-D65+D72</f>
        <v>2881.3324499999999</v>
      </c>
      <c r="E74" s="141"/>
      <c r="F74" s="142"/>
    </row>
    <row r="75" spans="1:15" s="63" customFormat="1" x14ac:dyDescent="0.25">
      <c r="A75" s="143" t="s">
        <v>87</v>
      </c>
      <c r="B75" s="139"/>
      <c r="C75" s="144"/>
      <c r="D75" s="144"/>
      <c r="E75" s="145"/>
      <c r="F75" s="146"/>
      <c r="O75" s="32"/>
    </row>
    <row r="76" spans="1:15" s="63" customFormat="1" x14ac:dyDescent="0.25">
      <c r="A76" s="144" t="s">
        <v>88</v>
      </c>
      <c r="B76" s="144" t="s">
        <v>89</v>
      </c>
      <c r="C76" s="144" t="s">
        <v>90</v>
      </c>
      <c r="D76" s="147" t="s">
        <v>91</v>
      </c>
      <c r="E76" s="147"/>
      <c r="F76" s="148" t="s">
        <v>92</v>
      </c>
    </row>
    <row r="77" spans="1:15" s="63" customFormat="1" x14ac:dyDescent="0.25">
      <c r="A77" s="149" t="s">
        <v>14</v>
      </c>
      <c r="B77" s="150"/>
      <c r="C77" s="139"/>
      <c r="D77" s="151">
        <f>+D37-D65+D61+F42</f>
        <v>3034.0518000000002</v>
      </c>
      <c r="E77" s="152"/>
      <c r="F77" s="153"/>
    </row>
    <row r="78" spans="1:15" s="63" customFormat="1" x14ac:dyDescent="0.25">
      <c r="A78" s="149" t="s">
        <v>93</v>
      </c>
      <c r="B78" s="154">
        <f>+I65</f>
        <v>3320.80476</v>
      </c>
      <c r="C78" s="155">
        <v>0.06</v>
      </c>
      <c r="D78" s="151">
        <f>B78*C78</f>
        <v>199.2482856</v>
      </c>
      <c r="E78" s="152"/>
      <c r="F78" s="153"/>
    </row>
    <row r="79" spans="1:15" s="63" customFormat="1" x14ac:dyDescent="0.25">
      <c r="A79" s="149" t="s">
        <v>94</v>
      </c>
      <c r="B79" s="150"/>
      <c r="C79" s="151"/>
      <c r="D79" s="139"/>
      <c r="E79" s="152"/>
      <c r="F79" s="153"/>
    </row>
    <row r="80" spans="1:15" s="63" customFormat="1" x14ac:dyDescent="0.25">
      <c r="A80" s="149"/>
      <c r="B80" s="150"/>
      <c r="C80" s="139"/>
      <c r="D80" s="139"/>
      <c r="E80" s="152"/>
      <c r="F80" s="156"/>
    </row>
    <row r="81" spans="1:6" s="63" customFormat="1" x14ac:dyDescent="0.25">
      <c r="A81" s="137" t="s">
        <v>95</v>
      </c>
      <c r="B81" s="139"/>
      <c r="C81" s="139"/>
      <c r="D81" s="151">
        <f>D74-D78</f>
        <v>2682.0841643999997</v>
      </c>
      <c r="E81" s="152"/>
      <c r="F81" s="153"/>
    </row>
    <row r="82" spans="1:6" s="63" customFormat="1" x14ac:dyDescent="0.25">
      <c r="A82" s="149" t="s">
        <v>96</v>
      </c>
      <c r="B82" s="139"/>
      <c r="C82" s="139"/>
      <c r="D82" s="139"/>
      <c r="E82" s="152"/>
      <c r="F82" s="153"/>
    </row>
    <row r="83" spans="1:6" s="63" customFormat="1" x14ac:dyDescent="0.25">
      <c r="A83" s="149" t="s">
        <v>97</v>
      </c>
      <c r="B83" s="157"/>
      <c r="C83" s="139"/>
      <c r="D83" s="139"/>
      <c r="E83" s="152"/>
      <c r="F83" s="153"/>
    </row>
    <row r="84" spans="1:6" s="63" customFormat="1" ht="15.75" thickBot="1" x14ac:dyDescent="0.3">
      <c r="A84" s="158" t="s">
        <v>98</v>
      </c>
      <c r="B84" s="159"/>
      <c r="C84" s="159"/>
      <c r="D84" s="159"/>
      <c r="E84" s="160"/>
      <c r="F84" s="161"/>
    </row>
    <row r="86" spans="1:6" hidden="1" x14ac:dyDescent="0.25"/>
    <row r="87" spans="1:6" hidden="1" x14ac:dyDescent="0.25">
      <c r="A87" s="265" t="s">
        <v>75</v>
      </c>
      <c r="B87" s="266"/>
    </row>
    <row r="88" spans="1:6" hidden="1" x14ac:dyDescent="0.25">
      <c r="A88" s="162"/>
      <c r="B88" s="163"/>
      <c r="C88" s="267">
        <f>D37</f>
        <v>3700</v>
      </c>
      <c r="D88" s="164"/>
    </row>
    <row r="89" spans="1:6" hidden="1" x14ac:dyDescent="0.25">
      <c r="A89" s="165" t="s">
        <v>99</v>
      </c>
      <c r="B89" s="166" t="e">
        <f>IF(#REF!&gt;=11,#REF!,0)</f>
        <v>#REF!</v>
      </c>
      <c r="C89" s="268"/>
      <c r="D89" s="167" t="e">
        <f>$C$88*B89</f>
        <v>#REF!</v>
      </c>
    </row>
    <row r="90" spans="1:6" hidden="1" x14ac:dyDescent="0.25">
      <c r="A90" s="165" t="s">
        <v>100</v>
      </c>
      <c r="B90" s="166" t="e">
        <f>IF(#REF!&lt;50,0%,0.5%)</f>
        <v>#REF!</v>
      </c>
      <c r="C90" s="268"/>
      <c r="D90" s="167" t="e">
        <f t="shared" ref="D90:D95" si="5">$C$88*B90</f>
        <v>#REF!</v>
      </c>
    </row>
    <row r="91" spans="1:6" hidden="1" x14ac:dyDescent="0.25">
      <c r="A91" s="165" t="s">
        <v>101</v>
      </c>
      <c r="B91" s="166">
        <v>1.6000000000000001E-4</v>
      </c>
      <c r="C91" s="268"/>
      <c r="D91" s="167">
        <f t="shared" si="5"/>
        <v>0.59200000000000008</v>
      </c>
    </row>
    <row r="92" spans="1:6" hidden="1" x14ac:dyDescent="0.25">
      <c r="A92" s="165" t="s">
        <v>102</v>
      </c>
      <c r="B92" s="166">
        <v>3.0000000000000001E-3</v>
      </c>
      <c r="C92" s="268"/>
      <c r="D92" s="167">
        <f t="shared" si="5"/>
        <v>11.1</v>
      </c>
    </row>
    <row r="93" spans="1:6" hidden="1" x14ac:dyDescent="0.25">
      <c r="A93" s="165" t="s">
        <v>103</v>
      </c>
      <c r="B93" s="166">
        <v>5.8999999999999999E-3</v>
      </c>
      <c r="C93" s="268"/>
      <c r="D93" s="167">
        <f t="shared" si="5"/>
        <v>21.83</v>
      </c>
    </row>
    <row r="94" spans="1:6" hidden="1" x14ac:dyDescent="0.25">
      <c r="A94" s="165" t="s">
        <v>104</v>
      </c>
      <c r="B94" s="166" t="e">
        <f>IF(#REF!&lt;11,0.55%,1%)</f>
        <v>#REF!</v>
      </c>
      <c r="C94" s="268"/>
      <c r="D94" s="167" t="e">
        <f t="shared" si="5"/>
        <v>#REF!</v>
      </c>
    </row>
    <row r="95" spans="1:6" hidden="1" x14ac:dyDescent="0.25">
      <c r="A95" s="165" t="s">
        <v>105</v>
      </c>
      <c r="B95" s="166" t="e">
        <f>IF(#REF!&lt;=50,0,0.45%)</f>
        <v>#REF!</v>
      </c>
      <c r="C95" s="268"/>
      <c r="D95" s="167" t="e">
        <f t="shared" si="5"/>
        <v>#REF!</v>
      </c>
    </row>
    <row r="96" spans="1:6" hidden="1" x14ac:dyDescent="0.25">
      <c r="A96" s="15"/>
      <c r="B96" s="52"/>
      <c r="C96" s="52"/>
      <c r="D96" s="17"/>
    </row>
    <row r="97" spans="1:4" hidden="1" x14ac:dyDescent="0.25">
      <c r="A97" s="15" t="s">
        <v>106</v>
      </c>
      <c r="B97" s="168" t="e">
        <f>IF(#REF!&gt;=11,+F38+F39+F40,0)</f>
        <v>#REF!</v>
      </c>
      <c r="C97" s="169">
        <v>0.08</v>
      </c>
      <c r="D97" s="170" t="e">
        <f>C97*B97</f>
        <v>#REF!</v>
      </c>
    </row>
    <row r="98" spans="1:4" ht="15.75" hidden="1" thickBot="1" x14ac:dyDescent="0.3">
      <c r="A98" s="18" t="s">
        <v>107</v>
      </c>
      <c r="B98" s="171">
        <f>D37</f>
        <v>3700</v>
      </c>
      <c r="C98" s="172">
        <v>1E-3</v>
      </c>
      <c r="D98" s="173">
        <f>C98*B98</f>
        <v>3.7</v>
      </c>
    </row>
    <row r="99" spans="1:4" hidden="1" x14ac:dyDescent="0.25"/>
    <row r="100" spans="1:4" ht="15.75" hidden="1" thickBot="1" x14ac:dyDescent="0.3">
      <c r="A100" s="174" t="s">
        <v>108</v>
      </c>
      <c r="B100" s="175"/>
      <c r="C100" s="175"/>
      <c r="D100" s="176" t="e">
        <f>SUM(D89:D98)</f>
        <v>#REF!</v>
      </c>
    </row>
    <row r="101" spans="1:4" hidden="1" x14ac:dyDescent="0.25"/>
    <row r="102" spans="1:4" ht="15.75" hidden="1" thickBot="1" x14ac:dyDescent="0.3">
      <c r="A102" s="269" t="s">
        <v>109</v>
      </c>
      <c r="B102" s="270"/>
      <c r="C102" s="270"/>
      <c r="D102" s="271"/>
    </row>
    <row r="103" spans="1:4" hidden="1" x14ac:dyDescent="0.25">
      <c r="A103" s="177" t="s">
        <v>110</v>
      </c>
      <c r="B103" s="178">
        <f>D37</f>
        <v>3700</v>
      </c>
      <c r="C103" s="179">
        <v>2.4E-2</v>
      </c>
      <c r="D103" s="180">
        <f>C103*B103</f>
        <v>88.8</v>
      </c>
    </row>
    <row r="104" spans="1:4" hidden="1" x14ac:dyDescent="0.25">
      <c r="A104" s="181" t="s">
        <v>0</v>
      </c>
      <c r="B104" s="178">
        <f>B103</f>
        <v>3700</v>
      </c>
      <c r="C104" s="182">
        <v>7.4999999999999997E-3</v>
      </c>
      <c r="D104" s="183">
        <f>C104*B104</f>
        <v>27.75</v>
      </c>
    </row>
    <row r="105" spans="1:4" hidden="1" x14ac:dyDescent="0.25">
      <c r="A105" s="181" t="s">
        <v>111</v>
      </c>
      <c r="B105" s="178">
        <f>B60</f>
        <v>3735.15</v>
      </c>
      <c r="C105" s="182">
        <v>-1.7000000000000001E-2</v>
      </c>
      <c r="D105" s="183">
        <f>C105*B105</f>
        <v>-63.497550000000004</v>
      </c>
    </row>
    <row r="106" spans="1:4" hidden="1" x14ac:dyDescent="0.25">
      <c r="A106" s="120"/>
      <c r="B106" s="184"/>
      <c r="C106" s="185"/>
      <c r="D106" s="186"/>
    </row>
    <row r="107" spans="1:4" ht="15.75" hidden="1" thickBot="1" x14ac:dyDescent="0.3">
      <c r="A107" s="187" t="s">
        <v>112</v>
      </c>
      <c r="B107" s="188"/>
      <c r="C107" s="189"/>
      <c r="D107" s="190">
        <f>SUM(D103:D106)</f>
        <v>53.052449999999993</v>
      </c>
    </row>
    <row r="108" spans="1:4" hidden="1" x14ac:dyDescent="0.25">
      <c r="A108" s="191"/>
      <c r="B108" s="191"/>
      <c r="C108" s="191"/>
      <c r="D108" s="191"/>
    </row>
    <row r="109" spans="1:4" hidden="1" x14ac:dyDescent="0.25">
      <c r="A109" s="191"/>
      <c r="B109" s="191"/>
      <c r="C109" s="191"/>
      <c r="D109" s="191"/>
    </row>
    <row r="110" spans="1:4" ht="15.75" hidden="1" thickBot="1" x14ac:dyDescent="0.3">
      <c r="A110" s="269" t="s">
        <v>113</v>
      </c>
      <c r="B110" s="270"/>
      <c r="C110" s="270"/>
      <c r="D110" s="271"/>
    </row>
    <row r="111" spans="1:4" hidden="1" x14ac:dyDescent="0.25">
      <c r="A111" s="192" t="s">
        <v>114</v>
      </c>
      <c r="B111" s="193"/>
      <c r="C111" s="193"/>
      <c r="D111" s="194">
        <f>-F63</f>
        <v>0</v>
      </c>
    </row>
    <row r="112" spans="1:4" hidden="1" x14ac:dyDescent="0.25">
      <c r="A112" s="195" t="s">
        <v>115</v>
      </c>
      <c r="B112" s="196">
        <f>B62</f>
        <v>0</v>
      </c>
      <c r="C112" s="197">
        <v>1.5</v>
      </c>
      <c r="D112" s="198">
        <f>C112*B112</f>
        <v>0</v>
      </c>
    </row>
    <row r="113" spans="1:13" hidden="1" x14ac:dyDescent="0.25">
      <c r="A113" s="195" t="s">
        <v>116</v>
      </c>
      <c r="B113" s="199">
        <f>D37</f>
        <v>3700</v>
      </c>
      <c r="C113" s="182">
        <v>1.7999999999999999E-2</v>
      </c>
      <c r="D113" s="198">
        <f>C113*B113</f>
        <v>66.599999999999994</v>
      </c>
    </row>
    <row r="114" spans="1:13" hidden="1" x14ac:dyDescent="0.25">
      <c r="A114" s="195" t="s">
        <v>117</v>
      </c>
      <c r="B114" s="199">
        <f>B113</f>
        <v>3700</v>
      </c>
      <c r="C114" s="182">
        <v>0.06</v>
      </c>
      <c r="D114" s="198">
        <f>C114*B114</f>
        <v>222</v>
      </c>
    </row>
    <row r="115" spans="1:13" ht="15.75" hidden="1" thickBot="1" x14ac:dyDescent="0.3">
      <c r="A115" s="200" t="s">
        <v>118</v>
      </c>
      <c r="B115" s="201"/>
      <c r="C115" s="201"/>
      <c r="D115" s="202">
        <f>D111+D112+D113+D114</f>
        <v>288.60000000000002</v>
      </c>
    </row>
    <row r="116" spans="1:13" hidden="1" x14ac:dyDescent="0.25"/>
    <row r="117" spans="1:13" hidden="1" x14ac:dyDescent="0.25"/>
    <row r="118" spans="1:13" hidden="1" x14ac:dyDescent="0.25"/>
    <row r="119" spans="1:13" hidden="1" x14ac:dyDescent="0.25"/>
    <row r="121" spans="1:13" ht="15.75" thickBot="1" x14ac:dyDescent="0.3">
      <c r="A121" s="203" t="s">
        <v>87</v>
      </c>
      <c r="G121" s="250" t="s">
        <v>169</v>
      </c>
      <c r="H121" s="250"/>
      <c r="I121" s="251">
        <f>+C156</f>
        <v>19.971360000000001</v>
      </c>
    </row>
    <row r="122" spans="1:13" x14ac:dyDescent="0.25">
      <c r="A122" s="204" t="s">
        <v>119</v>
      </c>
      <c r="B122" s="205">
        <f>-1.7%*B60</f>
        <v>-63.497550000000004</v>
      </c>
      <c r="G122" s="252">
        <v>21</v>
      </c>
      <c r="H122" s="251">
        <f>+C173</f>
        <v>19.600901020408163</v>
      </c>
      <c r="I122" s="253">
        <f>+H122*G122</f>
        <v>411.61892142857141</v>
      </c>
    </row>
    <row r="123" spans="1:13" x14ac:dyDescent="0.25">
      <c r="A123" s="206" t="s">
        <v>120</v>
      </c>
      <c r="B123" s="207">
        <f>$D$37*0.75%</f>
        <v>27.75</v>
      </c>
      <c r="G123" s="250"/>
      <c r="H123" s="250"/>
      <c r="I123" s="251">
        <f>+D74</f>
        <v>2881.3324499999999</v>
      </c>
    </row>
    <row r="124" spans="1:13" x14ac:dyDescent="0.25">
      <c r="A124" s="206" t="s">
        <v>121</v>
      </c>
      <c r="B124" s="207">
        <f>$D$37*2.4%</f>
        <v>88.8</v>
      </c>
      <c r="G124" s="250"/>
      <c r="H124" s="250"/>
      <c r="I124" s="253">
        <f>+I123+I122+I121</f>
        <v>3312.9227314285713</v>
      </c>
      <c r="K124" s="254" t="s">
        <v>171</v>
      </c>
      <c r="L124" s="254"/>
      <c r="M124" s="254"/>
    </row>
    <row r="125" spans="1:13" ht="15.75" thickBot="1" x14ac:dyDescent="0.3">
      <c r="A125" s="208"/>
      <c r="B125" s="209">
        <f>SUM(B122:B124)</f>
        <v>53.052449999999993</v>
      </c>
      <c r="G125" s="250" t="s">
        <v>170</v>
      </c>
      <c r="H125" s="250"/>
      <c r="I125" s="251">
        <f>+C170</f>
        <v>2881.3324499999999</v>
      </c>
    </row>
    <row r="127" spans="1:13" ht="15.75" thickBot="1" x14ac:dyDescent="0.3">
      <c r="A127" s="203" t="s">
        <v>96</v>
      </c>
    </row>
    <row r="128" spans="1:13" x14ac:dyDescent="0.25">
      <c r="A128" s="204" t="s">
        <v>122</v>
      </c>
      <c r="B128" s="210">
        <f>-F63</f>
        <v>0</v>
      </c>
    </row>
    <row r="129" spans="1:4" x14ac:dyDescent="0.25">
      <c r="A129" s="206" t="s">
        <v>123</v>
      </c>
      <c r="B129" s="207">
        <f>$D$37*6%</f>
        <v>222</v>
      </c>
    </row>
    <row r="130" spans="1:4" x14ac:dyDescent="0.25">
      <c r="A130" s="206" t="s">
        <v>124</v>
      </c>
      <c r="B130" s="207">
        <f>$D$37*1.8%</f>
        <v>66.600000000000009</v>
      </c>
    </row>
    <row r="131" spans="1:4" ht="15.75" thickBot="1" x14ac:dyDescent="0.3">
      <c r="A131" s="211" t="s">
        <v>118</v>
      </c>
      <c r="B131" s="212">
        <f>SUM(B128:B130)</f>
        <v>288.60000000000002</v>
      </c>
    </row>
    <row r="133" spans="1:4" ht="15.75" thickBot="1" x14ac:dyDescent="0.3"/>
    <row r="134" spans="1:4" x14ac:dyDescent="0.25">
      <c r="A134" s="213" t="s">
        <v>75</v>
      </c>
      <c r="B134" s="214" t="s">
        <v>89</v>
      </c>
      <c r="C134" s="214" t="s">
        <v>90</v>
      </c>
      <c r="D134" s="215" t="s">
        <v>40</v>
      </c>
    </row>
    <row r="135" spans="1:4" ht="16.5" x14ac:dyDescent="0.25">
      <c r="A135" s="216" t="s">
        <v>125</v>
      </c>
      <c r="B135" s="258">
        <f>D37</f>
        <v>3700</v>
      </c>
      <c r="C135" s="182">
        <v>1E-3</v>
      </c>
      <c r="D135" s="217">
        <f>C135*$B$135</f>
        <v>3.7</v>
      </c>
    </row>
    <row r="136" spans="1:4" ht="16.5" x14ac:dyDescent="0.25">
      <c r="A136" s="216" t="s">
        <v>126</v>
      </c>
      <c r="B136" s="259"/>
      <c r="C136" s="218"/>
      <c r="D136" s="219"/>
    </row>
    <row r="137" spans="1:4" ht="16.5" x14ac:dyDescent="0.25">
      <c r="A137" s="216" t="s">
        <v>127</v>
      </c>
      <c r="B137" s="259"/>
      <c r="C137" s="182">
        <v>3.0000000000000001E-3</v>
      </c>
      <c r="D137" s="217">
        <f t="shared" ref="D137:D140" si="6">C137*$B$135</f>
        <v>11.1</v>
      </c>
    </row>
    <row r="138" spans="1:4" ht="16.5" x14ac:dyDescent="0.25">
      <c r="A138" s="216" t="s">
        <v>128</v>
      </c>
      <c r="B138" s="259"/>
      <c r="C138" s="182">
        <v>6.7999999999999996E-3</v>
      </c>
      <c r="D138" s="217">
        <f t="shared" si="6"/>
        <v>25.16</v>
      </c>
    </row>
    <row r="139" spans="1:4" ht="16.5" x14ac:dyDescent="0.25">
      <c r="A139" s="216" t="s">
        <v>104</v>
      </c>
      <c r="B139" s="259"/>
      <c r="C139" s="182">
        <v>5.4999999999999997E-3</v>
      </c>
      <c r="D139" s="217">
        <f t="shared" si="6"/>
        <v>20.349999999999998</v>
      </c>
    </row>
    <row r="140" spans="1:4" ht="16.5" x14ac:dyDescent="0.25">
      <c r="A140" s="216" t="s">
        <v>129</v>
      </c>
      <c r="B140" s="260"/>
      <c r="C140" s="220">
        <v>1.6000000000000001E-4</v>
      </c>
      <c r="D140" s="217">
        <f t="shared" si="6"/>
        <v>0.59200000000000008</v>
      </c>
    </row>
    <row r="141" spans="1:4" ht="16.5" x14ac:dyDescent="0.25">
      <c r="A141" s="216" t="s">
        <v>130</v>
      </c>
      <c r="B141" s="218"/>
      <c r="C141" s="218"/>
      <c r="D141" s="221">
        <f>SUM(D135:D140)</f>
        <v>60.902000000000001</v>
      </c>
    </row>
    <row r="142" spans="1:4" ht="16.5" x14ac:dyDescent="0.25">
      <c r="A142" s="216" t="s">
        <v>106</v>
      </c>
      <c r="B142" s="218"/>
      <c r="C142" s="218"/>
      <c r="D142" s="217"/>
    </row>
    <row r="143" spans="1:4" ht="16.5" x14ac:dyDescent="0.25">
      <c r="A143" s="216"/>
      <c r="B143" s="218"/>
      <c r="C143" s="218"/>
      <c r="D143" s="219"/>
    </row>
    <row r="144" spans="1:4" ht="17.25" thickBot="1" x14ac:dyDescent="0.3">
      <c r="A144" s="222" t="s">
        <v>131</v>
      </c>
      <c r="B144" s="81"/>
      <c r="C144" s="81"/>
      <c r="D144" s="223"/>
    </row>
    <row r="147" spans="1:6" ht="15.75" thickBot="1" x14ac:dyDescent="0.3"/>
    <row r="148" spans="1:6" x14ac:dyDescent="0.25">
      <c r="A148" s="236" t="s">
        <v>134</v>
      </c>
      <c r="B148" s="7"/>
      <c r="C148" s="11" t="s">
        <v>138</v>
      </c>
    </row>
    <row r="149" spans="1:6" x14ac:dyDescent="0.25">
      <c r="A149" s="15" t="s">
        <v>135</v>
      </c>
      <c r="B149" s="1">
        <v>3500</v>
      </c>
      <c r="C149" s="207">
        <f>1.8*11.07*151.6667</f>
        <v>3022.1106642</v>
      </c>
    </row>
    <row r="150" spans="1:6" x14ac:dyDescent="0.25">
      <c r="A150" s="15" t="s">
        <v>136</v>
      </c>
      <c r="B150" s="1">
        <v>3500</v>
      </c>
      <c r="C150" s="207">
        <f t="shared" ref="C150:C151" si="7">1.8*11.07*151.6667</f>
        <v>3022.1106642</v>
      </c>
    </row>
    <row r="151" spans="1:6" x14ac:dyDescent="0.25">
      <c r="A151" s="15" t="s">
        <v>137</v>
      </c>
      <c r="B151" s="1">
        <v>3700</v>
      </c>
      <c r="C151" s="207">
        <f t="shared" si="7"/>
        <v>3022.1106642</v>
      </c>
    </row>
    <row r="152" spans="1:6" x14ac:dyDescent="0.25">
      <c r="A152" s="15" t="s">
        <v>139</v>
      </c>
      <c r="B152" s="52"/>
      <c r="C152" s="231">
        <f>SUM(C149:C151)</f>
        <v>9066.3319926000004</v>
      </c>
    </row>
    <row r="153" spans="1:6" x14ac:dyDescent="0.25">
      <c r="A153" s="15" t="s">
        <v>140</v>
      </c>
      <c r="B153" s="52"/>
      <c r="C153" s="207">
        <f>ROUND(C152/91.25*0.5,2)</f>
        <v>49.68</v>
      </c>
    </row>
    <row r="154" spans="1:6" x14ac:dyDescent="0.25">
      <c r="A154" s="15" t="s">
        <v>141</v>
      </c>
      <c r="B154" s="52"/>
      <c r="C154" s="17">
        <f>9-3</f>
        <v>6</v>
      </c>
    </row>
    <row r="155" spans="1:6" x14ac:dyDescent="0.25">
      <c r="A155" s="15" t="s">
        <v>142</v>
      </c>
      <c r="B155" s="52"/>
      <c r="C155" s="234">
        <f>+C154*C153</f>
        <v>298.08</v>
      </c>
    </row>
    <row r="156" spans="1:6" x14ac:dyDescent="0.25">
      <c r="A156" s="15" t="s">
        <v>143</v>
      </c>
      <c r="B156" s="52"/>
      <c r="C156" s="207">
        <f>+C155*6.7/100</f>
        <v>19.971360000000001</v>
      </c>
    </row>
    <row r="157" spans="1:6" ht="15.75" thickBot="1" x14ac:dyDescent="0.3">
      <c r="A157" s="18" t="s">
        <v>142</v>
      </c>
      <c r="B157" s="232"/>
      <c r="C157" s="235">
        <f>+C155-C156</f>
        <v>278.10863999999998</v>
      </c>
    </row>
    <row r="159" spans="1:6" ht="15.75" thickBot="1" x14ac:dyDescent="0.3"/>
    <row r="160" spans="1:6" x14ac:dyDescent="0.25">
      <c r="A160" s="9" t="s">
        <v>144</v>
      </c>
      <c r="B160" s="7"/>
      <c r="C160" s="8"/>
      <c r="E160" s="5" t="s">
        <v>149</v>
      </c>
      <c r="F160" s="5">
        <v>2881.33</v>
      </c>
    </row>
    <row r="161" spans="1:5" x14ac:dyDescent="0.25">
      <c r="A161" s="15" t="s">
        <v>145</v>
      </c>
      <c r="B161" s="52"/>
      <c r="C161" s="237">
        <v>0.11310000000000001</v>
      </c>
      <c r="E161" s="5" t="s">
        <v>172</v>
      </c>
    </row>
    <row r="162" spans="1:5" x14ac:dyDescent="0.25">
      <c r="A162" s="15" t="s">
        <v>143</v>
      </c>
      <c r="B162" s="52"/>
      <c r="C162" s="238">
        <f>9.7%*0.9825</f>
        <v>9.5302499999999998E-2</v>
      </c>
    </row>
    <row r="163" spans="1:5" x14ac:dyDescent="0.25">
      <c r="A163" s="15" t="s">
        <v>146</v>
      </c>
      <c r="B163" s="52"/>
      <c r="C163" s="237">
        <v>0.01</v>
      </c>
    </row>
    <row r="164" spans="1:5" x14ac:dyDescent="0.25">
      <c r="A164" s="246" t="s">
        <v>163</v>
      </c>
      <c r="B164" s="64" t="s">
        <v>164</v>
      </c>
      <c r="C164" s="247">
        <f>9.7%*2.7%</f>
        <v>2.6189999999999998E-3</v>
      </c>
    </row>
    <row r="165" spans="1:5" x14ac:dyDescent="0.25">
      <c r="A165" s="246" t="s">
        <v>12</v>
      </c>
      <c r="B165" s="64"/>
      <c r="C165" s="247">
        <v>2.4000000000000001E-4</v>
      </c>
    </row>
    <row r="166" spans="1:5" ht="15.75" thickBot="1" x14ac:dyDescent="0.3">
      <c r="A166" s="18" t="s">
        <v>147</v>
      </c>
      <c r="B166" s="232"/>
      <c r="C166" s="239">
        <f>SUM(C161:C165)</f>
        <v>0.2212615</v>
      </c>
    </row>
    <row r="167" spans="1:5" ht="15.75" thickBot="1" x14ac:dyDescent="0.3"/>
    <row r="168" spans="1:5" ht="15.75" thickBot="1" x14ac:dyDescent="0.3">
      <c r="A168" s="174" t="s">
        <v>148</v>
      </c>
      <c r="B168" s="175"/>
      <c r="C168" s="240">
        <f>1-C166</f>
        <v>0.7787385</v>
      </c>
    </row>
    <row r="169" spans="1:5" ht="15.75" thickBot="1" x14ac:dyDescent="0.3"/>
    <row r="170" spans="1:5" ht="15.75" thickBot="1" x14ac:dyDescent="0.3">
      <c r="A170" s="174" t="s">
        <v>149</v>
      </c>
      <c r="B170" s="175"/>
      <c r="C170" s="241">
        <f>3700*C168</f>
        <v>2881.3324499999999</v>
      </c>
    </row>
    <row r="171" spans="1:5" ht="15.75" thickBot="1" x14ac:dyDescent="0.3"/>
    <row r="172" spans="1:5" x14ac:dyDescent="0.25">
      <c r="A172" s="9" t="s">
        <v>150</v>
      </c>
      <c r="B172" s="7"/>
      <c r="C172" s="8">
        <v>147</v>
      </c>
    </row>
    <row r="173" spans="1:5" x14ac:dyDescent="0.25">
      <c r="A173" s="15" t="s">
        <v>151</v>
      </c>
      <c r="B173" s="52"/>
      <c r="C173" s="207">
        <f>+C170/C172</f>
        <v>19.600901020408163</v>
      </c>
    </row>
    <row r="174" spans="1:5" ht="15.75" thickBot="1" x14ac:dyDescent="0.3">
      <c r="A174" s="18" t="s">
        <v>152</v>
      </c>
      <c r="B174" s="232"/>
      <c r="C174" s="209">
        <f>3700/C172</f>
        <v>25.170068027210885</v>
      </c>
    </row>
    <row r="175" spans="1:5" ht="15.75" thickBot="1" x14ac:dyDescent="0.3"/>
    <row r="176" spans="1:5" x14ac:dyDescent="0.25">
      <c r="A176" s="9" t="s">
        <v>153</v>
      </c>
      <c r="B176" s="7"/>
      <c r="C176" s="242">
        <f>+C170</f>
        <v>2881.3324499999999</v>
      </c>
    </row>
    <row r="177" spans="1:4" x14ac:dyDescent="0.25">
      <c r="A177" s="15" t="s">
        <v>154</v>
      </c>
      <c r="B177" s="52" t="s">
        <v>161</v>
      </c>
      <c r="C177" s="231">
        <f>+-63*C173</f>
        <v>-1234.8567642857142</v>
      </c>
    </row>
    <row r="178" spans="1:4" x14ac:dyDescent="0.25">
      <c r="A178" s="15" t="s">
        <v>155</v>
      </c>
      <c r="B178" s="52" t="s">
        <v>162</v>
      </c>
      <c r="C178" s="231">
        <f>42*C173</f>
        <v>823.23784285714282</v>
      </c>
      <c r="D178" s="224">
        <f>C178+C177+C176</f>
        <v>2469.7135285714285</v>
      </c>
    </row>
    <row r="179" spans="1:4" x14ac:dyDescent="0.25">
      <c r="A179" s="15" t="s">
        <v>156</v>
      </c>
      <c r="B179" s="52"/>
      <c r="C179" s="231">
        <f>-C155</f>
        <v>-298.08</v>
      </c>
    </row>
    <row r="180" spans="1:4" x14ac:dyDescent="0.25">
      <c r="A180" s="248" t="s">
        <v>157</v>
      </c>
      <c r="B180" s="249"/>
      <c r="C180" s="234">
        <f>SUM(C176:C179)</f>
        <v>2171.6335285714285</v>
      </c>
    </row>
    <row r="181" spans="1:4" x14ac:dyDescent="0.25">
      <c r="A181" s="15" t="s">
        <v>158</v>
      </c>
      <c r="B181" s="52"/>
      <c r="C181" s="237">
        <f>+C168</f>
        <v>0.7787385</v>
      </c>
    </row>
    <row r="182" spans="1:4" ht="15.75" thickBot="1" x14ac:dyDescent="0.3">
      <c r="A182" s="18" t="s">
        <v>159</v>
      </c>
      <c r="B182" s="232" t="s">
        <v>160</v>
      </c>
      <c r="C182" s="243">
        <f>+C180/C181</f>
        <v>2788.6556637066597</v>
      </c>
    </row>
    <row r="185" spans="1:4" x14ac:dyDescent="0.25">
      <c r="A185" s="5" t="s">
        <v>173</v>
      </c>
      <c r="C185" s="224">
        <f>C170</f>
        <v>2881.3324499999999</v>
      </c>
    </row>
  </sheetData>
  <mergeCells count="7">
    <mergeCell ref="B135:B140"/>
    <mergeCell ref="B17:C17"/>
    <mergeCell ref="E17:F17"/>
    <mergeCell ref="A87:B87"/>
    <mergeCell ref="C88:C95"/>
    <mergeCell ref="A102:D102"/>
    <mergeCell ref="A110:D1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32DD1-0DD4-4075-8D7E-9A7B17175858}">
  <dimension ref="D1:E22"/>
  <sheetViews>
    <sheetView workbookViewId="0"/>
  </sheetViews>
  <sheetFormatPr baseColWidth="10" defaultRowHeight="15" x14ac:dyDescent="0.25"/>
  <sheetData>
    <row r="1" spans="4:5" x14ac:dyDescent="0.25">
      <c r="D1" t="s">
        <v>1</v>
      </c>
      <c r="E1">
        <v>1</v>
      </c>
    </row>
    <row r="2" spans="4:5" x14ac:dyDescent="0.25">
      <c r="D2" t="s">
        <v>2</v>
      </c>
      <c r="E2">
        <v>2</v>
      </c>
    </row>
    <row r="3" spans="4:5" x14ac:dyDescent="0.25">
      <c r="D3" t="s">
        <v>3</v>
      </c>
      <c r="E3">
        <v>5</v>
      </c>
    </row>
    <row r="4" spans="4:5" x14ac:dyDescent="0.25">
      <c r="D4" t="s">
        <v>4</v>
      </c>
      <c r="E4">
        <v>6</v>
      </c>
    </row>
    <row r="5" spans="4:5" x14ac:dyDescent="0.25">
      <c r="D5" t="s">
        <v>5</v>
      </c>
      <c r="E5">
        <v>7</v>
      </c>
    </row>
    <row r="6" spans="4:5" x14ac:dyDescent="0.25">
      <c r="D6" t="s">
        <v>1</v>
      </c>
      <c r="E6">
        <v>8</v>
      </c>
    </row>
    <row r="7" spans="4:5" x14ac:dyDescent="0.25">
      <c r="D7" t="s">
        <v>2</v>
      </c>
      <c r="E7">
        <v>9</v>
      </c>
    </row>
    <row r="8" spans="4:5" x14ac:dyDescent="0.25">
      <c r="D8" t="s">
        <v>3</v>
      </c>
      <c r="E8">
        <v>12</v>
      </c>
    </row>
    <row r="9" spans="4:5" x14ac:dyDescent="0.25">
      <c r="D9" t="s">
        <v>4</v>
      </c>
      <c r="E9">
        <v>13</v>
      </c>
    </row>
    <row r="10" spans="4:5" x14ac:dyDescent="0.25">
      <c r="D10" t="s">
        <v>5</v>
      </c>
      <c r="E10">
        <v>14</v>
      </c>
    </row>
    <row r="11" spans="4:5" x14ac:dyDescent="0.25">
      <c r="D11" t="s">
        <v>1</v>
      </c>
      <c r="E11">
        <v>15</v>
      </c>
    </row>
    <row r="12" spans="4:5" x14ac:dyDescent="0.25">
      <c r="D12" t="s">
        <v>2</v>
      </c>
      <c r="E12">
        <v>16</v>
      </c>
    </row>
    <row r="13" spans="4:5" x14ac:dyDescent="0.25">
      <c r="D13" t="s">
        <v>3</v>
      </c>
      <c r="E13">
        <v>19</v>
      </c>
    </row>
    <row r="14" spans="4:5" x14ac:dyDescent="0.25">
      <c r="D14" t="s">
        <v>4</v>
      </c>
      <c r="E14">
        <v>20</v>
      </c>
    </row>
    <row r="15" spans="4:5" x14ac:dyDescent="0.25">
      <c r="D15" t="s">
        <v>5</v>
      </c>
      <c r="E15">
        <v>21</v>
      </c>
    </row>
    <row r="16" spans="4:5" x14ac:dyDescent="0.25">
      <c r="D16" t="s">
        <v>1</v>
      </c>
      <c r="E16">
        <v>22</v>
      </c>
    </row>
    <row r="17" spans="4:5" x14ac:dyDescent="0.25">
      <c r="D17" t="s">
        <v>2</v>
      </c>
      <c r="E17">
        <v>23</v>
      </c>
    </row>
    <row r="18" spans="4:5" x14ac:dyDescent="0.25">
      <c r="D18" t="s">
        <v>3</v>
      </c>
      <c r="E18">
        <v>26</v>
      </c>
    </row>
    <row r="19" spans="4:5" x14ac:dyDescent="0.25">
      <c r="D19" t="s">
        <v>4</v>
      </c>
      <c r="E19">
        <v>27</v>
      </c>
    </row>
    <row r="20" spans="4:5" x14ac:dyDescent="0.25">
      <c r="D20" t="s">
        <v>5</v>
      </c>
      <c r="E20">
        <v>28</v>
      </c>
    </row>
    <row r="21" spans="4:5" x14ac:dyDescent="0.25">
      <c r="D21" t="s">
        <v>1</v>
      </c>
      <c r="E21">
        <v>29</v>
      </c>
    </row>
    <row r="22" spans="4:5" x14ac:dyDescent="0.25">
      <c r="D22" t="s">
        <v>2</v>
      </c>
      <c r="E22">
        <v>30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NET HABITUEL</vt:lpstr>
      <vt:lpstr>MAINTIEN 100% STRICT</vt:lpstr>
      <vt:lpstr>MAINTIEN 100% HABITUEL</vt:lpstr>
      <vt:lpstr>MAINTIEN 90% STRICT</vt:lpstr>
      <vt:lpstr>S HERMAN  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ARKHOS</cp:lastModifiedBy>
  <cp:lastPrinted>2023-03-23T07:30:36Z</cp:lastPrinted>
  <dcterms:created xsi:type="dcterms:W3CDTF">2019-05-13T15:16:04Z</dcterms:created>
  <dcterms:modified xsi:type="dcterms:W3CDTF">2023-04-11T05:18:34Z</dcterms:modified>
</cp:coreProperties>
</file>