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 2020\PAIE N2 - renuméroté\9-VIDEOS 9 ALLEGEMENTS\DOCUMENTS\FILLON V2\"/>
    </mc:Choice>
  </mc:AlternateContent>
  <xr:revisionPtr revIDLastSave="0" documentId="13_ncr:1_{93257E20-40FB-4918-B646-8D21B5CA9E07}" xr6:coauthVersionLast="44" xr6:coauthVersionMax="44" xr10:uidLastSave="{00000000-0000-0000-0000-000000000000}"/>
  <bookViews>
    <workbookView xWindow="-120" yWindow="-120" windowWidth="24240" windowHeight="13140" firstSheet="1" activeTab="2" xr2:uid="{2B034AD0-ACBB-44AB-89E0-32A4424E7064}"/>
  </bookViews>
  <sheets>
    <sheet name="SMIC et salaire brut" sheetId="13" r:id="rId1"/>
    <sheet name="REGUL PROGRES JUSQU'A DEC" sheetId="11" r:id="rId2"/>
    <sheet name="REGUL PROGRES JUSQU'A DEC (3)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5" l="1"/>
  <c r="M5" i="15"/>
  <c r="L16" i="15"/>
  <c r="K16" i="15"/>
  <c r="J7" i="15"/>
  <c r="J8" i="15" s="1"/>
  <c r="J9" i="15" s="1"/>
  <c r="J10" i="15" s="1"/>
  <c r="J11" i="15" s="1"/>
  <c r="J12" i="15" s="1"/>
  <c r="J13" i="15" s="1"/>
  <c r="J14" i="15" s="1"/>
  <c r="J15" i="15" s="1"/>
  <c r="J6" i="15"/>
  <c r="J5" i="15"/>
  <c r="H7" i="15"/>
  <c r="H8" i="15" s="1"/>
  <c r="H9" i="15" s="1"/>
  <c r="H10" i="15" s="1"/>
  <c r="H11" i="15" s="1"/>
  <c r="H12" i="15" s="1"/>
  <c r="H13" i="15" s="1"/>
  <c r="H14" i="15" s="1"/>
  <c r="H15" i="15" s="1"/>
  <c r="H6" i="15"/>
  <c r="H5" i="15"/>
  <c r="L7" i="15"/>
  <c r="L8" i="15"/>
  <c r="L9" i="15"/>
  <c r="L10" i="15"/>
  <c r="L11" i="15" s="1"/>
  <c r="L12" i="15" s="1"/>
  <c r="L13" i="15" s="1"/>
  <c r="L14" i="15" s="1"/>
  <c r="L15" i="15" s="1"/>
  <c r="L6" i="15"/>
  <c r="L5" i="15"/>
  <c r="K6" i="15"/>
  <c r="K7" i="15"/>
  <c r="K8" i="15"/>
  <c r="K9" i="15"/>
  <c r="M9" i="15" s="1"/>
  <c r="K10" i="15"/>
  <c r="K11" i="15"/>
  <c r="K12" i="15"/>
  <c r="K13" i="15"/>
  <c r="M13" i="15" s="1"/>
  <c r="K14" i="15"/>
  <c r="K15" i="15"/>
  <c r="M6" i="15"/>
  <c r="M7" i="15"/>
  <c r="M8" i="15"/>
  <c r="M10" i="15"/>
  <c r="M11" i="15"/>
  <c r="M12" i="15"/>
  <c r="M14" i="15"/>
  <c r="M15" i="15"/>
  <c r="K5" i="15"/>
  <c r="I16" i="15"/>
  <c r="G16" i="15"/>
  <c r="I15" i="15"/>
  <c r="G15" i="15"/>
  <c r="I14" i="15"/>
  <c r="G14" i="15"/>
  <c r="I13" i="15"/>
  <c r="G13" i="15"/>
  <c r="I12" i="15"/>
  <c r="G12" i="15"/>
  <c r="I11" i="15"/>
  <c r="G11" i="15"/>
  <c r="I10" i="15"/>
  <c r="G10" i="15"/>
  <c r="I9" i="15"/>
  <c r="G9" i="15"/>
  <c r="I8" i="15"/>
  <c r="G8" i="15"/>
  <c r="I7" i="15"/>
  <c r="G7" i="15"/>
  <c r="I6" i="15"/>
  <c r="G6" i="15"/>
  <c r="I5" i="15"/>
  <c r="G5" i="15"/>
  <c r="K5" i="11"/>
  <c r="J7" i="11"/>
  <c r="K13" i="13"/>
  <c r="H16" i="15" l="1"/>
  <c r="H13" i="13"/>
  <c r="O5" i="15" l="1"/>
  <c r="P5" i="15" s="1"/>
  <c r="G8" i="11"/>
  <c r="G9" i="11"/>
  <c r="G12" i="11"/>
  <c r="G13" i="11"/>
  <c r="I6" i="11"/>
  <c r="I8" i="11"/>
  <c r="I9" i="11"/>
  <c r="I10" i="11"/>
  <c r="I11" i="11"/>
  <c r="I12" i="11"/>
  <c r="I13" i="11"/>
  <c r="I14" i="11"/>
  <c r="I15" i="11"/>
  <c r="I16" i="11"/>
  <c r="I5" i="11"/>
  <c r="J5" i="11" s="1"/>
  <c r="I15" i="13"/>
  <c r="G16" i="11" s="1"/>
  <c r="J6" i="13"/>
  <c r="K6" i="13" s="1"/>
  <c r="I7" i="11" s="1"/>
  <c r="J4" i="13"/>
  <c r="K4" i="13" s="1"/>
  <c r="I5" i="13"/>
  <c r="G6" i="11" s="1"/>
  <c r="I7" i="13"/>
  <c r="I8" i="13"/>
  <c r="I9" i="13"/>
  <c r="G10" i="11" s="1"/>
  <c r="I10" i="13"/>
  <c r="G11" i="11" s="1"/>
  <c r="I11" i="13"/>
  <c r="I12" i="13"/>
  <c r="I13" i="13"/>
  <c r="G14" i="11" s="1"/>
  <c r="I14" i="13"/>
  <c r="G15" i="11" s="1"/>
  <c r="G6" i="13"/>
  <c r="F6" i="13"/>
  <c r="I6" i="13" s="1"/>
  <c r="G7" i="11" s="1"/>
  <c r="F4" i="13"/>
  <c r="I4" i="13" s="1"/>
  <c r="G5" i="11" s="1"/>
  <c r="H5" i="11" s="1"/>
  <c r="O6" i="15" l="1"/>
  <c r="P6" i="15" s="1"/>
  <c r="H6" i="11"/>
  <c r="J6" i="11"/>
  <c r="H7" i="11"/>
  <c r="H8" i="11" s="1"/>
  <c r="H9" i="11" s="1"/>
  <c r="H10" i="11" s="1"/>
  <c r="H11" i="11" s="1"/>
  <c r="H12" i="11" s="1"/>
  <c r="H13" i="11" s="1"/>
  <c r="H14" i="11" s="1"/>
  <c r="H15" i="11" s="1"/>
  <c r="H16" i="11" s="1"/>
  <c r="L5" i="11"/>
  <c r="M5" i="11" s="1"/>
  <c r="O7" i="15" l="1"/>
  <c r="P7" i="15" s="1"/>
  <c r="O5" i="11"/>
  <c r="P5" i="11" s="1"/>
  <c r="J8" i="11"/>
  <c r="J9" i="11" s="1"/>
  <c r="K6" i="11"/>
  <c r="L6" i="11" s="1"/>
  <c r="M6" i="11" s="1"/>
  <c r="K8" i="11"/>
  <c r="L8" i="11" s="1"/>
  <c r="O8" i="15" l="1"/>
  <c r="P8" i="15" s="1"/>
  <c r="O6" i="11"/>
  <c r="P6" i="11" s="1"/>
  <c r="K7" i="11"/>
  <c r="L7" i="11" s="1"/>
  <c r="M8" i="11" s="1"/>
  <c r="K9" i="11"/>
  <c r="L9" i="11" s="1"/>
  <c r="M9" i="11" s="1"/>
  <c r="J10" i="11"/>
  <c r="O9" i="15" l="1"/>
  <c r="P9" i="15" s="1"/>
  <c r="M7" i="11"/>
  <c r="O8" i="11"/>
  <c r="P8" i="11" s="1"/>
  <c r="O7" i="11"/>
  <c r="P7" i="11" s="1"/>
  <c r="O9" i="11"/>
  <c r="P9" i="11" s="1"/>
  <c r="K10" i="11"/>
  <c r="L10" i="11" s="1"/>
  <c r="M10" i="11" s="1"/>
  <c r="J11" i="11"/>
  <c r="O10" i="15" l="1"/>
  <c r="P10" i="15" s="1"/>
  <c r="O10" i="11"/>
  <c r="P10" i="11" s="1"/>
  <c r="K11" i="11"/>
  <c r="L11" i="11" s="1"/>
  <c r="M11" i="11" s="1"/>
  <c r="J12" i="11"/>
  <c r="O11" i="15" l="1"/>
  <c r="P11" i="15" s="1"/>
  <c r="O11" i="11"/>
  <c r="P11" i="11" s="1"/>
  <c r="K12" i="11"/>
  <c r="L12" i="11" s="1"/>
  <c r="M12" i="11" s="1"/>
  <c r="J13" i="11"/>
  <c r="O12" i="15" l="1"/>
  <c r="P12" i="15" s="1"/>
  <c r="O12" i="11"/>
  <c r="P12" i="11" s="1"/>
  <c r="J14" i="11"/>
  <c r="K13" i="11"/>
  <c r="L13" i="11" s="1"/>
  <c r="M13" i="11" s="1"/>
  <c r="O13" i="15" l="1"/>
  <c r="P13" i="15" s="1"/>
  <c r="O13" i="11"/>
  <c r="P13" i="11" s="1"/>
  <c r="K14" i="11"/>
  <c r="L14" i="11" s="1"/>
  <c r="M14" i="11" s="1"/>
  <c r="J15" i="11"/>
  <c r="O14" i="15" l="1"/>
  <c r="P14" i="15" s="1"/>
  <c r="J16" i="15"/>
  <c r="O14" i="11"/>
  <c r="P14" i="11" s="1"/>
  <c r="J16" i="11"/>
  <c r="K15" i="11"/>
  <c r="L15" i="11" s="1"/>
  <c r="M15" i="11" s="1"/>
  <c r="O15" i="15" l="1"/>
  <c r="P15" i="15" s="1"/>
  <c r="O15" i="11"/>
  <c r="P15" i="11" s="1"/>
  <c r="K16" i="11"/>
  <c r="L16" i="11" s="1"/>
  <c r="M16" i="11" s="1"/>
  <c r="O16" i="15" l="1"/>
  <c r="P16" i="15" s="1"/>
  <c r="O16" i="11"/>
  <c r="P16" i="11" s="1"/>
</calcChain>
</file>

<file path=xl/sharedStrings.xml><?xml version="1.0" encoding="utf-8"?>
<sst xmlns="http://schemas.openxmlformats.org/spreadsheetml/2006/main" count="58" uniqueCount="34">
  <si>
    <t>cumul</t>
  </si>
  <si>
    <t>SMIC cumulé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</si>
  <si>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</si>
  <si>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</si>
  <si>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</si>
  <si>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</si>
  <si>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</si>
  <si>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</si>
  <si>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</si>
  <si>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</si>
  <si>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</si>
  <si>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</si>
  <si>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décembre</t>
  </si>
  <si>
    <t>COEFF</t>
  </si>
  <si>
    <t>Salaires</t>
  </si>
  <si>
    <t>Réduction
 cumulée</t>
  </si>
  <si>
    <t>Calcul de l'allègement  HORS COTISATIONS POLE EMPLOI</t>
  </si>
  <si>
    <t>coef 
arrondi</t>
  </si>
  <si>
    <t>Réduction 
du mois</t>
  </si>
  <si>
    <t>octobre</t>
  </si>
  <si>
    <t>SMIC</t>
  </si>
  <si>
    <t>salaire de base</t>
  </si>
  <si>
    <t>HS 125%</t>
  </si>
  <si>
    <t>HS 150%</t>
  </si>
  <si>
    <t>Absences</t>
  </si>
  <si>
    <t>Salaires bruts</t>
  </si>
  <si>
    <t xml:space="preserve">Heures </t>
  </si>
  <si>
    <t>Primes</t>
  </si>
  <si>
    <t>MOIS</t>
  </si>
  <si>
    <t>Calcul des salaires bruts et des salaires minimums</t>
  </si>
  <si>
    <t>22 jours ouvrés</t>
  </si>
  <si>
    <t>154 heures</t>
  </si>
  <si>
    <t>Déclaration 
RETRAITE</t>
  </si>
  <si>
    <t>Déclaration 
URSSAF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</si>
</sst>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0_-;\-* #,##0.0000_-;_-* &quot;-&quot;??_-;_-@_-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4" fontId="8" fillId="0" borderId="5" xfId="2" applyFont="1" applyBorder="1" applyAlignment="1">
      <alignment vertical="center"/>
    </xf>
    <xf numFmtId="44" fontId="2" fillId="0" borderId="5" xfId="2" applyFont="1" applyBorder="1" applyAlignment="1">
      <alignment vertical="center"/>
    </xf>
    <xf numFmtId="43" fontId="8" fillId="0" borderId="5" xfId="1" applyFont="1" applyBorder="1" applyAlignment="1">
      <alignment vertical="center"/>
    </xf>
    <xf numFmtId="44" fontId="2" fillId="0" borderId="6" xfId="2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4" fontId="8" fillId="0" borderId="8" xfId="2" applyFont="1" applyBorder="1" applyAlignment="1">
      <alignment vertical="center"/>
    </xf>
    <xf numFmtId="44" fontId="2" fillId="0" borderId="8" xfId="2" applyFont="1" applyBorder="1" applyAlignment="1">
      <alignment vertical="center"/>
    </xf>
    <xf numFmtId="43" fontId="8" fillId="0" borderId="8" xfId="1" applyFont="1" applyBorder="1" applyAlignment="1">
      <alignment vertical="center"/>
    </xf>
    <xf numFmtId="44" fontId="2" fillId="0" borderId="9" xfId="2" applyFont="1" applyBorder="1" applyAlignment="1">
      <alignment vertical="center"/>
    </xf>
    <xf numFmtId="0" fontId="9" fillId="0" borderId="0" xfId="0" applyFont="1" applyAlignment="1">
      <alignment vertical="center"/>
    </xf>
    <xf numFmtId="165" fontId="9" fillId="0" borderId="14" xfId="0" applyNumberFormat="1" applyFont="1" applyBorder="1" applyAlignment="1">
      <alignment horizontal="left" vertical="center"/>
    </xf>
    <xf numFmtId="165" fontId="9" fillId="0" borderId="15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43" fontId="2" fillId="2" borderId="5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11" fillId="0" borderId="5" xfId="2" applyFont="1" applyBorder="1" applyAlignment="1">
      <alignment horizontal="center" vertical="center"/>
    </xf>
    <xf numFmtId="44" fontId="11" fillId="0" borderId="5" xfId="0" applyNumberFormat="1" applyFont="1" applyBorder="1" applyAlignment="1">
      <alignment vertical="center"/>
    </xf>
    <xf numFmtId="44" fontId="11" fillId="4" borderId="6" xfId="0" applyNumberFormat="1" applyFont="1" applyFill="1" applyBorder="1" applyAlignment="1">
      <alignment vertical="center"/>
    </xf>
    <xf numFmtId="44" fontId="6" fillId="3" borderId="5" xfId="0" applyNumberFormat="1" applyFont="1" applyFill="1" applyBorder="1" applyAlignment="1">
      <alignment vertical="center"/>
    </xf>
    <xf numFmtId="44" fontId="11" fillId="5" borderId="5" xfId="0" applyNumberFormat="1" applyFont="1" applyFill="1" applyBorder="1" applyAlignment="1">
      <alignment vertical="center"/>
    </xf>
    <xf numFmtId="44" fontId="11" fillId="0" borderId="6" xfId="0" applyNumberFormat="1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0" fontId="11" fillId="0" borderId="7" xfId="0" applyFont="1" applyBorder="1" applyAlignment="1">
      <alignment vertical="center"/>
    </xf>
    <xf numFmtId="44" fontId="11" fillId="0" borderId="8" xfId="2" applyFont="1" applyBorder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44" fontId="10" fillId="0" borderId="4" xfId="0" applyNumberFormat="1" applyFont="1" applyBorder="1" applyAlignment="1">
      <alignment vertical="center"/>
    </xf>
    <xf numFmtId="44" fontId="10" fillId="0" borderId="6" xfId="0" applyNumberFormat="1" applyFont="1" applyBorder="1" applyAlignment="1">
      <alignment vertical="center"/>
    </xf>
    <xf numFmtId="44" fontId="10" fillId="0" borderId="7" xfId="0" applyNumberFormat="1" applyFont="1" applyBorder="1" applyAlignment="1">
      <alignment vertical="center"/>
    </xf>
    <xf numFmtId="44" fontId="10" fillId="0" borderId="9" xfId="0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B1E16-CBF7-4040-816B-C1A3CCAC3AEB}">
  <dimension ref="C1:P32"/>
  <sheetViews>
    <sheetView topLeftCell="A7" workbookViewId="0">
      <selection activeCell="O8" sqref="O8"/>
    </sheetView>
  </sheetViews>
  <sheetFormatPr baseColWidth="10" defaultRowHeight="15" x14ac:dyDescent="0.25"/>
  <cols>
    <col min="1" max="1" width="10.5703125" style="1" customWidth="1"/>
    <col min="2" max="2" width="14.7109375" style="1" customWidth="1"/>
    <col min="3" max="3" width="14.28515625" style="1" customWidth="1"/>
    <col min="4" max="4" width="18.28515625" style="1" bestFit="1" customWidth="1"/>
    <col min="5" max="8" width="14.28515625" style="1" customWidth="1"/>
    <col min="9" max="9" width="16.85546875" style="1" bestFit="1" customWidth="1"/>
    <col min="10" max="10" width="14.28515625" style="1" customWidth="1"/>
    <col min="11" max="11" width="14.85546875" style="1" bestFit="1" customWidth="1"/>
    <col min="12" max="12" width="4" style="1" customWidth="1"/>
    <col min="13" max="13" width="21.28515625" style="21" bestFit="1" customWidth="1"/>
    <col min="14" max="15" width="18.85546875" style="1" bestFit="1" customWidth="1"/>
    <col min="16" max="16" width="11.42578125" style="1"/>
    <col min="17" max="17" width="15.85546875" style="1" bestFit="1" customWidth="1"/>
    <col min="18" max="16384" width="11.42578125" style="1"/>
  </cols>
  <sheetData>
    <row r="1" spans="3:16" ht="21.75" thickBot="1" x14ac:dyDescent="0.3">
      <c r="C1" s="5" t="s">
        <v>29</v>
      </c>
    </row>
    <row r="2" spans="3:16" ht="31.5" customHeight="1" thickBot="1" x14ac:dyDescent="0.3">
      <c r="M2" s="22">
        <v>44105</v>
      </c>
    </row>
    <row r="3" spans="3:16" ht="34.5" customHeight="1" x14ac:dyDescent="0.25">
      <c r="C3" s="7" t="s">
        <v>28</v>
      </c>
      <c r="D3" s="8" t="s">
        <v>21</v>
      </c>
      <c r="E3" s="8" t="s">
        <v>27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9" t="s">
        <v>20</v>
      </c>
      <c r="M3" s="23">
        <v>44106</v>
      </c>
    </row>
    <row r="4" spans="3:16" ht="34.5" customHeight="1" x14ac:dyDescent="0.25">
      <c r="C4" s="10">
        <v>43831</v>
      </c>
      <c r="D4" s="11">
        <v>1700</v>
      </c>
      <c r="E4" s="11"/>
      <c r="F4" s="12">
        <f>D4/151.67*1.25*7</f>
        <v>98.074767587525542</v>
      </c>
      <c r="G4" s="12"/>
      <c r="H4" s="12"/>
      <c r="I4" s="13">
        <f>D4+F4+G4-H4</f>
        <v>1798.0747675875255</v>
      </c>
      <c r="J4" s="14">
        <f>151.67+7</f>
        <v>158.66999999999999</v>
      </c>
      <c r="K4" s="15">
        <f>J4*10.15</f>
        <v>1610.5004999999999</v>
      </c>
      <c r="M4" s="23">
        <v>44107</v>
      </c>
    </row>
    <row r="5" spans="3:16" ht="34.5" customHeight="1" x14ac:dyDescent="0.25">
      <c r="C5" s="10">
        <v>43862</v>
      </c>
      <c r="D5" s="11">
        <v>1700</v>
      </c>
      <c r="E5" s="11"/>
      <c r="F5" s="12"/>
      <c r="G5" s="12"/>
      <c r="H5" s="12"/>
      <c r="I5" s="13">
        <f t="shared" ref="I5:I14" si="0">D5+F5+G5-H5</f>
        <v>1700</v>
      </c>
      <c r="J5" s="14">
        <v>151.66999999999999</v>
      </c>
      <c r="K5" s="15">
        <v>1539.42</v>
      </c>
      <c r="M5" s="23">
        <v>44108</v>
      </c>
    </row>
    <row r="6" spans="3:16" ht="34.5" customHeight="1" x14ac:dyDescent="0.25">
      <c r="C6" s="10">
        <v>43891</v>
      </c>
      <c r="D6" s="11">
        <v>1700</v>
      </c>
      <c r="E6" s="11"/>
      <c r="F6" s="12">
        <f>D6/151.67*1.25*16</f>
        <v>224.17089734291554</v>
      </c>
      <c r="G6" s="12">
        <f>D6/151.67*1.5*2</f>
        <v>33.625634601437334</v>
      </c>
      <c r="H6" s="12"/>
      <c r="I6" s="13">
        <f t="shared" si="0"/>
        <v>1957.7965319443529</v>
      </c>
      <c r="J6" s="14">
        <f>151.67+18</f>
        <v>169.67</v>
      </c>
      <c r="K6" s="15">
        <f>J6*10.15</f>
        <v>1722.1505</v>
      </c>
      <c r="M6" s="23">
        <v>44109</v>
      </c>
    </row>
    <row r="7" spans="3:16" ht="34.5" customHeight="1" x14ac:dyDescent="0.25">
      <c r="C7" s="10">
        <v>43922</v>
      </c>
      <c r="D7" s="11">
        <v>1700</v>
      </c>
      <c r="E7" s="11"/>
      <c r="F7" s="12"/>
      <c r="G7" s="12"/>
      <c r="H7" s="12"/>
      <c r="I7" s="13">
        <f t="shared" si="0"/>
        <v>1700</v>
      </c>
      <c r="J7" s="14">
        <v>151.66999999999999</v>
      </c>
      <c r="K7" s="15">
        <v>1539.42</v>
      </c>
      <c r="M7" s="23">
        <v>44110</v>
      </c>
    </row>
    <row r="8" spans="3:16" ht="34.5" customHeight="1" x14ac:dyDescent="0.25">
      <c r="C8" s="10">
        <v>43952</v>
      </c>
      <c r="D8" s="11">
        <v>1700</v>
      </c>
      <c r="E8" s="11"/>
      <c r="F8" s="12"/>
      <c r="G8" s="12"/>
      <c r="H8" s="12"/>
      <c r="I8" s="13">
        <f t="shared" si="0"/>
        <v>1700</v>
      </c>
      <c r="J8" s="14">
        <v>151.66999999999999</v>
      </c>
      <c r="K8" s="15">
        <v>1539.42</v>
      </c>
      <c r="M8" s="23">
        <v>44111</v>
      </c>
    </row>
    <row r="9" spans="3:16" ht="34.5" customHeight="1" thickBot="1" x14ac:dyDescent="0.3">
      <c r="C9" s="10">
        <v>43983</v>
      </c>
      <c r="D9" s="11">
        <v>1700</v>
      </c>
      <c r="E9" s="11"/>
      <c r="F9" s="12"/>
      <c r="G9" s="12"/>
      <c r="H9" s="12"/>
      <c r="I9" s="13">
        <f t="shared" si="0"/>
        <v>1700</v>
      </c>
      <c r="J9" s="14">
        <v>151.66999999999999</v>
      </c>
      <c r="K9" s="15">
        <v>1539.42</v>
      </c>
      <c r="M9" s="23">
        <v>44112</v>
      </c>
    </row>
    <row r="10" spans="3:16" ht="34.5" customHeight="1" thickBot="1" x14ac:dyDescent="0.3">
      <c r="C10" s="10">
        <v>44013</v>
      </c>
      <c r="D10" s="11">
        <v>1700</v>
      </c>
      <c r="E10" s="11"/>
      <c r="F10" s="12"/>
      <c r="G10" s="12"/>
      <c r="H10" s="12"/>
      <c r="I10" s="13">
        <f t="shared" si="0"/>
        <v>1700</v>
      </c>
      <c r="J10" s="14">
        <v>151.66999999999999</v>
      </c>
      <c r="K10" s="15">
        <v>1539.42</v>
      </c>
      <c r="M10" s="23">
        <v>44113</v>
      </c>
      <c r="N10" s="6" t="s">
        <v>30</v>
      </c>
      <c r="P10" s="4"/>
    </row>
    <row r="11" spans="3:16" ht="34.5" customHeight="1" thickBot="1" x14ac:dyDescent="0.3">
      <c r="C11" s="10">
        <v>44044</v>
      </c>
      <c r="D11" s="11">
        <v>1700</v>
      </c>
      <c r="E11" s="11"/>
      <c r="F11" s="12"/>
      <c r="G11" s="12"/>
      <c r="H11" s="12"/>
      <c r="I11" s="13">
        <f t="shared" si="0"/>
        <v>1700</v>
      </c>
      <c r="J11" s="14">
        <v>151.66999999999999</v>
      </c>
      <c r="K11" s="15">
        <v>1539.42</v>
      </c>
      <c r="M11" s="23">
        <v>44114</v>
      </c>
      <c r="N11" s="6" t="s">
        <v>31</v>
      </c>
    </row>
    <row r="12" spans="3:16" ht="34.5" customHeight="1" x14ac:dyDescent="0.25">
      <c r="C12" s="10">
        <v>44075</v>
      </c>
      <c r="D12" s="11">
        <v>1700</v>
      </c>
      <c r="E12" s="11"/>
      <c r="F12" s="12"/>
      <c r="G12" s="12"/>
      <c r="H12" s="12"/>
      <c r="I12" s="13">
        <f t="shared" si="0"/>
        <v>1700</v>
      </c>
      <c r="J12" s="14">
        <v>151.66999999999999</v>
      </c>
      <c r="K12" s="15">
        <v>1539.42</v>
      </c>
      <c r="M12" s="23">
        <v>44115</v>
      </c>
    </row>
    <row r="13" spans="3:16" ht="34.5" customHeight="1" x14ac:dyDescent="0.25">
      <c r="C13" s="10">
        <v>44105</v>
      </c>
      <c r="D13" s="11">
        <v>1700</v>
      </c>
      <c r="E13" s="11"/>
      <c r="F13" s="12"/>
      <c r="G13" s="12"/>
      <c r="H13" s="12">
        <f>D13/154*35</f>
        <v>386.36363636363637</v>
      </c>
      <c r="I13" s="13">
        <f t="shared" si="0"/>
        <v>1313.6363636363635</v>
      </c>
      <c r="J13" s="25">
        <v>154</v>
      </c>
      <c r="K13" s="15">
        <f>1539.42*1313.64/1700</f>
        <v>1189.5551110588237</v>
      </c>
      <c r="M13" s="23">
        <v>44116</v>
      </c>
    </row>
    <row r="14" spans="3:16" ht="34.5" customHeight="1" x14ac:dyDescent="0.25">
      <c r="C14" s="10">
        <v>44136</v>
      </c>
      <c r="D14" s="11">
        <v>1700</v>
      </c>
      <c r="E14" s="11"/>
      <c r="F14" s="12"/>
      <c r="G14" s="12"/>
      <c r="H14" s="12"/>
      <c r="I14" s="13">
        <f t="shared" si="0"/>
        <v>1700</v>
      </c>
      <c r="J14" s="14">
        <v>151.66999999999999</v>
      </c>
      <c r="K14" s="15">
        <v>1539.42</v>
      </c>
      <c r="M14" s="23">
        <v>44117</v>
      </c>
    </row>
    <row r="15" spans="3:16" ht="34.5" customHeight="1" thickBot="1" x14ac:dyDescent="0.3">
      <c r="C15" s="10">
        <v>44166</v>
      </c>
      <c r="D15" s="16">
        <v>1700</v>
      </c>
      <c r="E15" s="16">
        <v>1000</v>
      </c>
      <c r="F15" s="17"/>
      <c r="G15" s="17"/>
      <c r="H15" s="17"/>
      <c r="I15" s="18">
        <f>D15+F15+G15-H15+E15</f>
        <v>2700</v>
      </c>
      <c r="J15" s="19">
        <v>151.66999999999999</v>
      </c>
      <c r="K15" s="20">
        <v>1539.42</v>
      </c>
      <c r="M15" s="23">
        <v>44118</v>
      </c>
    </row>
    <row r="16" spans="3:16" ht="24" customHeight="1" x14ac:dyDescent="0.25">
      <c r="M16" s="23">
        <v>44119</v>
      </c>
    </row>
    <row r="17" spans="13:13" ht="24" customHeight="1" x14ac:dyDescent="0.25">
      <c r="M17" s="23">
        <v>44120</v>
      </c>
    </row>
    <row r="18" spans="13:13" ht="24" customHeight="1" x14ac:dyDescent="0.25">
      <c r="M18" s="23">
        <v>44121</v>
      </c>
    </row>
    <row r="19" spans="13:13" ht="24" customHeight="1" x14ac:dyDescent="0.25">
      <c r="M19" s="23">
        <v>44122</v>
      </c>
    </row>
    <row r="20" spans="13:13" ht="24" customHeight="1" x14ac:dyDescent="0.25">
      <c r="M20" s="23">
        <v>44123</v>
      </c>
    </row>
    <row r="21" spans="13:13" ht="24" customHeight="1" x14ac:dyDescent="0.25">
      <c r="M21" s="23">
        <v>44124</v>
      </c>
    </row>
    <row r="22" spans="13:13" ht="24" customHeight="1" x14ac:dyDescent="0.25">
      <c r="M22" s="23">
        <v>44125</v>
      </c>
    </row>
    <row r="23" spans="13:13" ht="24" customHeight="1" x14ac:dyDescent="0.25">
      <c r="M23" s="23">
        <v>44126</v>
      </c>
    </row>
    <row r="24" spans="13:13" ht="24" customHeight="1" x14ac:dyDescent="0.25">
      <c r="M24" s="23">
        <v>44127</v>
      </c>
    </row>
    <row r="25" spans="13:13" ht="24" customHeight="1" x14ac:dyDescent="0.25">
      <c r="M25" s="23">
        <v>44128</v>
      </c>
    </row>
    <row r="26" spans="13:13" ht="24" customHeight="1" x14ac:dyDescent="0.25">
      <c r="M26" s="23">
        <v>44129</v>
      </c>
    </row>
    <row r="27" spans="13:13" ht="24" customHeight="1" x14ac:dyDescent="0.25">
      <c r="M27" s="23">
        <v>44130</v>
      </c>
    </row>
    <row r="28" spans="13:13" ht="24" customHeight="1" x14ac:dyDescent="0.25">
      <c r="M28" s="23">
        <v>44131</v>
      </c>
    </row>
    <row r="29" spans="13:13" ht="24" customHeight="1" x14ac:dyDescent="0.25">
      <c r="M29" s="23">
        <v>44132</v>
      </c>
    </row>
    <row r="30" spans="13:13" ht="24" customHeight="1" x14ac:dyDescent="0.25">
      <c r="M30" s="23">
        <v>44133</v>
      </c>
    </row>
    <row r="31" spans="13:13" ht="24" customHeight="1" x14ac:dyDescent="0.25">
      <c r="M31" s="23">
        <v>44134</v>
      </c>
    </row>
    <row r="32" spans="13:13" ht="24" customHeight="1" thickBot="1" x14ac:dyDescent="0.3">
      <c r="M32" s="24">
        <v>44135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ECB4-E28A-4DD7-97B2-5928D45568AB}">
  <sheetPr>
    <tabColor rgb="FFFFFF00"/>
  </sheetPr>
  <dimension ref="F1:P16"/>
  <sheetViews>
    <sheetView topLeftCell="C7" zoomScale="70" zoomScaleNormal="70" workbookViewId="0">
      <selection activeCell="S4" sqref="S4"/>
    </sheetView>
  </sheetViews>
  <sheetFormatPr baseColWidth="10" defaultRowHeight="15" x14ac:dyDescent="0.25"/>
  <cols>
    <col min="1" max="2" width="0" style="1" hidden="1" customWidth="1"/>
    <col min="3" max="4" width="11.42578125" style="1"/>
    <col min="5" max="5" width="13.85546875" style="1" customWidth="1"/>
    <col min="6" max="6" width="13.85546875" style="1" bestFit="1" customWidth="1"/>
    <col min="7" max="13" width="22.28515625" style="1" customWidth="1"/>
    <col min="14" max="14" width="3.28515625" style="1" customWidth="1"/>
    <col min="15" max="16" width="19.5703125" style="1" customWidth="1"/>
    <col min="17" max="16384" width="11.42578125" style="1"/>
  </cols>
  <sheetData>
    <row r="1" spans="6:16" ht="23.25" x14ac:dyDescent="0.25">
      <c r="F1" s="3"/>
      <c r="J1" s="2" t="s">
        <v>13</v>
      </c>
      <c r="K1" s="2">
        <v>0.32050000000000001</v>
      </c>
    </row>
    <row r="2" spans="6:16" ht="15.75" thickBot="1" x14ac:dyDescent="0.3"/>
    <row r="3" spans="6:16" ht="45" customHeight="1" x14ac:dyDescent="0.25">
      <c r="F3" s="53" t="s">
        <v>16</v>
      </c>
      <c r="G3" s="54"/>
      <c r="H3" s="54"/>
      <c r="I3" s="54"/>
      <c r="J3" s="54"/>
      <c r="K3" s="54"/>
      <c r="L3" s="54"/>
      <c r="M3" s="55"/>
      <c r="O3" s="50" t="s">
        <v>32</v>
      </c>
      <c r="P3" s="51" t="s">
        <v>33</v>
      </c>
    </row>
    <row r="4" spans="6:16" s="26" customFormat="1" ht="45" customHeight="1" x14ac:dyDescent="0.25">
      <c r="F4" s="27"/>
      <c r="G4" s="28" t="s">
        <v>14</v>
      </c>
      <c r="H4" s="28" t="s">
        <v>0</v>
      </c>
      <c r="I4" s="28" t="s">
        <v>20</v>
      </c>
      <c r="J4" s="29" t="s">
        <v>1</v>
      </c>
      <c r="K4" s="30" t="s">
        <v>17</v>
      </c>
      <c r="L4" s="31" t="s">
        <v>15</v>
      </c>
      <c r="M4" s="32" t="s">
        <v>18</v>
      </c>
      <c r="N4" s="33"/>
      <c r="O4" s="44"/>
      <c r="P4" s="45"/>
    </row>
    <row r="5" spans="6:16" s="26" customFormat="1" ht="45" customHeight="1" x14ac:dyDescent="0.25">
      <c r="F5" s="27" t="s">
        <v>2</v>
      </c>
      <c r="G5" s="34">
        <f>'SMIC et salaire brut'!I4</f>
        <v>1798.0747675875255</v>
      </c>
      <c r="H5" s="34">
        <f>G5</f>
        <v>1798.0747675875255</v>
      </c>
      <c r="I5" s="34">
        <f>'SMIC et salaire brut'!K4</f>
        <v>1610.5004999999999</v>
      </c>
      <c r="J5" s="34">
        <f>I5</f>
        <v>1610.5004999999999</v>
      </c>
      <c r="K5" s="52">
        <f>ROUND($K$1/0.6*((1.6*J5/H5)-1),4)</f>
        <v>0.23130000000000001</v>
      </c>
      <c r="L5" s="35">
        <f>K5*H5</f>
        <v>415.89469374299466</v>
      </c>
      <c r="M5" s="36">
        <f>L5</f>
        <v>415.89469374299466</v>
      </c>
      <c r="O5" s="46">
        <f>M5*6.01/32.05</f>
        <v>77.988365347750332</v>
      </c>
      <c r="P5" s="47">
        <f>M5-O5</f>
        <v>337.90632839524432</v>
      </c>
    </row>
    <row r="6" spans="6:16" s="26" customFormat="1" ht="45" customHeight="1" x14ac:dyDescent="0.25">
      <c r="F6" s="27" t="s">
        <v>3</v>
      </c>
      <c r="G6" s="34">
        <f>'SMIC et salaire brut'!I5</f>
        <v>1700</v>
      </c>
      <c r="H6" s="34">
        <f>H5+G6</f>
        <v>3498.0747675875255</v>
      </c>
      <c r="I6" s="34">
        <f>'SMIC et salaire brut'!K5</f>
        <v>1539.42</v>
      </c>
      <c r="J6" s="34">
        <f>J5+I6</f>
        <v>3149.9205000000002</v>
      </c>
      <c r="K6" s="52">
        <f>ROUND($K$1/0.6*((1.6*J6/H6)-1),4)</f>
        <v>0.2354</v>
      </c>
      <c r="L6" s="35">
        <f>K6*H6</f>
        <v>823.44680029010351</v>
      </c>
      <c r="M6" s="36">
        <f>L6-L5</f>
        <v>407.55210654710885</v>
      </c>
      <c r="O6" s="46">
        <f t="shared" ref="O6:O15" si="0">M6*6.01/32.05</f>
        <v>76.423967561563941</v>
      </c>
      <c r="P6" s="47">
        <f t="shared" ref="P6:P16" si="1">M6-O6</f>
        <v>331.12813898554492</v>
      </c>
    </row>
    <row r="7" spans="6:16" s="26" customFormat="1" ht="45" customHeight="1" x14ac:dyDescent="0.25">
      <c r="F7" s="27" t="s">
        <v>4</v>
      </c>
      <c r="G7" s="34">
        <f>'SMIC et salaire brut'!I6</f>
        <v>1957.7965319443529</v>
      </c>
      <c r="H7" s="34">
        <f t="shared" ref="H7:H16" si="2">H6+G7</f>
        <v>5455.8712995318783</v>
      </c>
      <c r="I7" s="34">
        <f>'SMIC et salaire brut'!K6</f>
        <v>1722.1505</v>
      </c>
      <c r="J7" s="34">
        <f>J6+I7</f>
        <v>4872.0709999999999</v>
      </c>
      <c r="K7" s="52">
        <f t="shared" ref="K7:K16" si="3">ROUND($K$1/0.6*((1.6*J7/H7)-1),4)</f>
        <v>0.22900000000000001</v>
      </c>
      <c r="L7" s="35">
        <f t="shared" ref="L7:L16" si="4">K7*H7</f>
        <v>1249.3945275928002</v>
      </c>
      <c r="M7" s="36">
        <f t="shared" ref="M7:M9" si="5">L7-L6</f>
        <v>425.94772730269665</v>
      </c>
      <c r="O7" s="46">
        <f t="shared" si="0"/>
        <v>79.873505182190542</v>
      </c>
      <c r="P7" s="47">
        <f t="shared" si="1"/>
        <v>346.07422212050608</v>
      </c>
    </row>
    <row r="8" spans="6:16" s="26" customFormat="1" ht="45" customHeight="1" x14ac:dyDescent="0.25">
      <c r="F8" s="27" t="s">
        <v>5</v>
      </c>
      <c r="G8" s="34">
        <f>'SMIC et salaire brut'!I7</f>
        <v>1700</v>
      </c>
      <c r="H8" s="34">
        <f t="shared" si="2"/>
        <v>7155.8712995318783</v>
      </c>
      <c r="I8" s="34">
        <f>'SMIC et salaire brut'!K7</f>
        <v>1539.42</v>
      </c>
      <c r="J8" s="34">
        <f t="shared" ref="J7:J16" si="6">J7+I8</f>
        <v>6411.491</v>
      </c>
      <c r="K8" s="52">
        <f t="shared" si="3"/>
        <v>0.2316</v>
      </c>
      <c r="L8" s="35">
        <f t="shared" si="4"/>
        <v>1657.299792971583</v>
      </c>
      <c r="M8" s="36">
        <f t="shared" si="5"/>
        <v>407.90526537878281</v>
      </c>
      <c r="O8" s="46">
        <f t="shared" si="0"/>
        <v>76.490191729375496</v>
      </c>
      <c r="P8" s="47">
        <f t="shared" si="1"/>
        <v>331.4150736494073</v>
      </c>
    </row>
    <row r="9" spans="6:16" s="26" customFormat="1" ht="45" customHeight="1" x14ac:dyDescent="0.25">
      <c r="F9" s="27" t="s">
        <v>6</v>
      </c>
      <c r="G9" s="34">
        <f>'SMIC et salaire brut'!I8</f>
        <v>1700</v>
      </c>
      <c r="H9" s="34">
        <f t="shared" si="2"/>
        <v>8855.8712995318783</v>
      </c>
      <c r="I9" s="34">
        <f>'SMIC et salaire brut'!K8</f>
        <v>1539.42</v>
      </c>
      <c r="J9" s="34">
        <f t="shared" si="6"/>
        <v>7950.9110000000001</v>
      </c>
      <c r="K9" s="52">
        <f t="shared" si="3"/>
        <v>0.23319999999999999</v>
      </c>
      <c r="L9" s="35">
        <f t="shared" si="4"/>
        <v>2065.1891870508339</v>
      </c>
      <c r="M9" s="36">
        <f t="shared" si="5"/>
        <v>407.88939407925091</v>
      </c>
      <c r="O9" s="46">
        <f t="shared" si="0"/>
        <v>76.487215551210554</v>
      </c>
      <c r="P9" s="47">
        <f t="shared" si="1"/>
        <v>331.40217852804034</v>
      </c>
    </row>
    <row r="10" spans="6:16" s="26" customFormat="1" ht="45" customHeight="1" x14ac:dyDescent="0.25">
      <c r="F10" s="27" t="s">
        <v>7</v>
      </c>
      <c r="G10" s="34">
        <f>'SMIC et salaire brut'!I9</f>
        <v>1700</v>
      </c>
      <c r="H10" s="34">
        <f t="shared" si="2"/>
        <v>10555.871299531878</v>
      </c>
      <c r="I10" s="34">
        <f>'SMIC et salaire brut'!K9</f>
        <v>1539.42</v>
      </c>
      <c r="J10" s="34">
        <f t="shared" si="6"/>
        <v>9490.3310000000001</v>
      </c>
      <c r="K10" s="52">
        <f t="shared" si="3"/>
        <v>0.23419999999999999</v>
      </c>
      <c r="L10" s="35">
        <f t="shared" si="4"/>
        <v>2472.185058350366</v>
      </c>
      <c r="M10" s="36">
        <f>L10-L9</f>
        <v>406.99587129953215</v>
      </c>
      <c r="O10" s="46">
        <f t="shared" si="0"/>
        <v>76.319662605622099</v>
      </c>
      <c r="P10" s="47">
        <f t="shared" si="1"/>
        <v>330.67620869391004</v>
      </c>
    </row>
    <row r="11" spans="6:16" s="26" customFormat="1" ht="45" customHeight="1" x14ac:dyDescent="0.25">
      <c r="F11" s="27" t="s">
        <v>8</v>
      </c>
      <c r="G11" s="34">
        <f>'SMIC et salaire brut'!I10</f>
        <v>1700</v>
      </c>
      <c r="H11" s="34">
        <f t="shared" si="2"/>
        <v>12255.871299531878</v>
      </c>
      <c r="I11" s="34">
        <f>'SMIC et salaire brut'!K10</f>
        <v>1539.42</v>
      </c>
      <c r="J11" s="34">
        <f t="shared" si="6"/>
        <v>11029.751</v>
      </c>
      <c r="K11" s="52">
        <f t="shared" si="3"/>
        <v>0.23499999999999999</v>
      </c>
      <c r="L11" s="35">
        <f t="shared" si="4"/>
        <v>2880.1297553899913</v>
      </c>
      <c r="M11" s="36">
        <f t="shared" ref="M11:M13" si="7">L11-L10</f>
        <v>407.94469703962523</v>
      </c>
      <c r="O11" s="46">
        <f t="shared" si="0"/>
        <v>76.497585934731589</v>
      </c>
      <c r="P11" s="47">
        <f t="shared" si="1"/>
        <v>331.44711110489362</v>
      </c>
    </row>
    <row r="12" spans="6:16" s="26" customFormat="1" ht="45" customHeight="1" x14ac:dyDescent="0.25">
      <c r="F12" s="27" t="s">
        <v>9</v>
      </c>
      <c r="G12" s="34">
        <f>'SMIC et salaire brut'!I11</f>
        <v>1700</v>
      </c>
      <c r="H12" s="34">
        <f t="shared" si="2"/>
        <v>13955.871299531878</v>
      </c>
      <c r="I12" s="34">
        <f>'SMIC et salaire brut'!K11</f>
        <v>1539.42</v>
      </c>
      <c r="J12" s="34">
        <f t="shared" si="6"/>
        <v>12569.171</v>
      </c>
      <c r="K12" s="52">
        <f t="shared" si="3"/>
        <v>0.2356</v>
      </c>
      <c r="L12" s="35">
        <f t="shared" si="4"/>
        <v>3288.0032781697105</v>
      </c>
      <c r="M12" s="36">
        <f t="shared" si="7"/>
        <v>407.87352277971922</v>
      </c>
      <c r="O12" s="46">
        <f t="shared" si="0"/>
        <v>76.484239373045639</v>
      </c>
      <c r="P12" s="47">
        <f t="shared" si="1"/>
        <v>331.3892834066736</v>
      </c>
    </row>
    <row r="13" spans="6:16" s="26" customFormat="1" ht="45" customHeight="1" x14ac:dyDescent="0.25">
      <c r="F13" s="27" t="s">
        <v>10</v>
      </c>
      <c r="G13" s="34">
        <f>'SMIC et salaire brut'!I12</f>
        <v>1700</v>
      </c>
      <c r="H13" s="34">
        <f t="shared" si="2"/>
        <v>15655.871299531878</v>
      </c>
      <c r="I13" s="34">
        <f>'SMIC et salaire brut'!K12</f>
        <v>1539.42</v>
      </c>
      <c r="J13" s="34">
        <f t="shared" si="6"/>
        <v>14108.591</v>
      </c>
      <c r="K13" s="52">
        <f t="shared" si="3"/>
        <v>0.23599999999999999</v>
      </c>
      <c r="L13" s="37">
        <f t="shared" si="4"/>
        <v>3694.7856266895233</v>
      </c>
      <c r="M13" s="36">
        <f t="shared" si="7"/>
        <v>406.78234851981279</v>
      </c>
      <c r="O13" s="46">
        <f t="shared" si="0"/>
        <v>76.279622920563966</v>
      </c>
      <c r="P13" s="47">
        <f t="shared" si="1"/>
        <v>330.50272559924883</v>
      </c>
    </row>
    <row r="14" spans="6:16" s="26" customFormat="1" ht="45" customHeight="1" x14ac:dyDescent="0.25">
      <c r="F14" s="27" t="s">
        <v>19</v>
      </c>
      <c r="G14" s="34">
        <f>'SMIC et salaire brut'!I13</f>
        <v>1313.6363636363635</v>
      </c>
      <c r="H14" s="34">
        <f>H13+G14</f>
        <v>16969.507663168242</v>
      </c>
      <c r="I14" s="34">
        <f>'SMIC et salaire brut'!K13</f>
        <v>1189.5551110588237</v>
      </c>
      <c r="J14" s="34">
        <f>J13+I14</f>
        <v>15298.146111058824</v>
      </c>
      <c r="K14" s="52">
        <f t="shared" si="3"/>
        <v>0.23630000000000001</v>
      </c>
      <c r="L14" s="38">
        <f t="shared" si="4"/>
        <v>4009.8946608066558</v>
      </c>
      <c r="M14" s="39">
        <f>L14-L13</f>
        <v>315.10903411713252</v>
      </c>
      <c r="N14" s="40"/>
      <c r="O14" s="46">
        <f t="shared" si="0"/>
        <v>59.089088768922515</v>
      </c>
      <c r="P14" s="47">
        <f t="shared" si="1"/>
        <v>256.01994534821</v>
      </c>
    </row>
    <row r="15" spans="6:16" s="26" customFormat="1" ht="45" customHeight="1" x14ac:dyDescent="0.25">
      <c r="F15" s="27" t="s">
        <v>11</v>
      </c>
      <c r="G15" s="34">
        <f>'SMIC et salaire brut'!I14</f>
        <v>1700</v>
      </c>
      <c r="H15" s="34">
        <f>H14+G15</f>
        <v>18669.507663168242</v>
      </c>
      <c r="I15" s="34">
        <f>'SMIC et salaire brut'!K14</f>
        <v>1539.42</v>
      </c>
      <c r="J15" s="34">
        <f>J14+I15</f>
        <v>16837.566111058826</v>
      </c>
      <c r="K15" s="52">
        <f t="shared" si="3"/>
        <v>0.2366</v>
      </c>
      <c r="L15" s="38">
        <f t="shared" si="4"/>
        <v>4417.2055131056059</v>
      </c>
      <c r="M15" s="39">
        <f>L15-L14</f>
        <v>407.31085229895007</v>
      </c>
      <c r="N15" s="40"/>
      <c r="O15" s="46">
        <f t="shared" si="0"/>
        <v>76.378727685388142</v>
      </c>
      <c r="P15" s="47">
        <f t="shared" si="1"/>
        <v>330.93212461356194</v>
      </c>
    </row>
    <row r="16" spans="6:16" s="26" customFormat="1" ht="45" customHeight="1" thickBot="1" x14ac:dyDescent="0.3">
      <c r="F16" s="41" t="s">
        <v>12</v>
      </c>
      <c r="G16" s="34">
        <f>'SMIC et salaire brut'!I15</f>
        <v>2700</v>
      </c>
      <c r="H16" s="42">
        <f t="shared" si="2"/>
        <v>21369.507663168242</v>
      </c>
      <c r="I16" s="34">
        <f>'SMIC et salaire brut'!K15</f>
        <v>1539.42</v>
      </c>
      <c r="J16" s="34">
        <f t="shared" si="6"/>
        <v>18376.986111058824</v>
      </c>
      <c r="K16" s="52">
        <f t="shared" si="3"/>
        <v>0.20080000000000001</v>
      </c>
      <c r="L16" s="38">
        <f t="shared" si="4"/>
        <v>4290.9971387641835</v>
      </c>
      <c r="M16" s="39">
        <f t="shared" ref="M16" si="8">L16-L15</f>
        <v>-126.20837434142231</v>
      </c>
      <c r="N16" s="43"/>
      <c r="O16" s="48">
        <f>M16*6.01/32.05</f>
        <v>-23.666531350762813</v>
      </c>
      <c r="P16" s="49">
        <f t="shared" si="1"/>
        <v>-102.5418429906595</v>
      </c>
    </row>
  </sheetData>
  <mergeCells count="1">
    <mergeCell ref="F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C429A-AC2E-4237-9D27-940B06A44626}">
  <sheetPr>
    <tabColor rgb="FFFFFF00"/>
  </sheetPr>
  <dimension ref="F1:P16"/>
  <sheetViews>
    <sheetView tabSelected="1" topLeftCell="C1" zoomScale="70" zoomScaleNormal="70" workbookViewId="0">
      <selection activeCell="M21" sqref="M21"/>
    </sheetView>
  </sheetViews>
  <sheetFormatPr baseColWidth="10" defaultRowHeight="15" x14ac:dyDescent="0.25"/>
  <cols>
    <col min="1" max="2" width="0" style="1" hidden="1" customWidth="1"/>
    <col min="3" max="4" width="11.42578125" style="1"/>
    <col min="5" max="5" width="13.85546875" style="1" customWidth="1"/>
    <col min="6" max="6" width="13.85546875" style="1" bestFit="1" customWidth="1"/>
    <col min="7" max="13" width="22.28515625" style="1" customWidth="1"/>
    <col min="14" max="14" width="3.28515625" style="1" customWidth="1"/>
    <col min="15" max="16" width="19.5703125" style="1" customWidth="1"/>
    <col min="17" max="16384" width="11.42578125" style="1"/>
  </cols>
  <sheetData>
    <row r="1" spans="6:16" ht="23.25" x14ac:dyDescent="0.25">
      <c r="F1" s="3"/>
      <c r="J1" s="2" t="s">
        <v>13</v>
      </c>
      <c r="K1" s="2">
        <v>0.32050000000000001</v>
      </c>
    </row>
    <row r="2" spans="6:16" ht="15.75" thickBot="1" x14ac:dyDescent="0.3"/>
    <row r="3" spans="6:16" ht="45" customHeight="1" x14ac:dyDescent="0.25">
      <c r="F3" s="53" t="s">
        <v>16</v>
      </c>
      <c r="G3" s="54"/>
      <c r="H3" s="54"/>
      <c r="I3" s="54"/>
      <c r="J3" s="54"/>
      <c r="K3" s="54"/>
      <c r="L3" s="54"/>
      <c r="M3" s="55"/>
      <c r="O3" s="50" t="s">
        <v>32</v>
      </c>
      <c r="P3" s="51" t="s">
        <v>33</v>
      </c>
    </row>
    <row r="4" spans="6:16" s="26" customFormat="1" ht="45" customHeight="1" x14ac:dyDescent="0.25">
      <c r="F4" s="27"/>
      <c r="G4" s="28" t="s">
        <v>14</v>
      </c>
      <c r="H4" s="28" t="s">
        <v>0</v>
      </c>
      <c r="I4" s="28" t="s">
        <v>20</v>
      </c>
      <c r="J4" s="29" t="s">
        <v>1</v>
      </c>
      <c r="K4" s="30" t="s">
        <v>17</v>
      </c>
      <c r="L4" s="31" t="s">
        <v>15</v>
      </c>
      <c r="M4" s="32" t="s">
        <v>18</v>
      </c>
      <c r="N4" s="33"/>
      <c r="O4" s="44"/>
      <c r="P4" s="45"/>
    </row>
    <row r="5" spans="6:16" s="26" customFormat="1" ht="45" customHeight="1" x14ac:dyDescent="0.25">
      <c r="F5" s="27" t="s">
        <v>2</v>
      </c>
      <c r="G5" s="34">
        <f>'SMIC et salaire brut'!I4</f>
        <v>1798.0747675875255</v>
      </c>
      <c r="H5" s="34">
        <f>G5</f>
        <v>1798.0747675875255</v>
      </c>
      <c r="I5" s="34">
        <f>'SMIC et salaire brut'!K4</f>
        <v>1610.5004999999999</v>
      </c>
      <c r="J5" s="34">
        <f>I5</f>
        <v>1610.5004999999999</v>
      </c>
      <c r="K5" s="52">
        <f>ROUND($K$1/0.6*((1.6*I5/G5)-1),4)</f>
        <v>0.23130000000000001</v>
      </c>
      <c r="L5" s="35">
        <f>M5</f>
        <v>415.89469374299466</v>
      </c>
      <c r="M5" s="36">
        <f>K5*G5</f>
        <v>415.89469374299466</v>
      </c>
      <c r="O5" s="46">
        <f>M5*6.01/32.05</f>
        <v>77.988365347750332</v>
      </c>
      <c r="P5" s="47">
        <f>M5-O5</f>
        <v>337.90632839524432</v>
      </c>
    </row>
    <row r="6" spans="6:16" s="26" customFormat="1" ht="45" customHeight="1" x14ac:dyDescent="0.25">
      <c r="F6" s="27" t="s">
        <v>3</v>
      </c>
      <c r="G6" s="34">
        <f>'SMIC et salaire brut'!I5</f>
        <v>1700</v>
      </c>
      <c r="H6" s="34">
        <f>H5+G6</f>
        <v>3498.0747675875255</v>
      </c>
      <c r="I6" s="34">
        <f>'SMIC et salaire brut'!K5</f>
        <v>1539.42</v>
      </c>
      <c r="J6" s="34">
        <f>J5+I6</f>
        <v>3149.9205000000002</v>
      </c>
      <c r="K6" s="52">
        <f t="shared" ref="K6:K15" si="0">ROUND($K$1/0.6*((1.6*I6/G6)-1),4)</f>
        <v>0.23980000000000001</v>
      </c>
      <c r="L6" s="35">
        <f>L5+M6</f>
        <v>823.55469374299469</v>
      </c>
      <c r="M6" s="36">
        <f t="shared" ref="M6:M15" si="1">K6*G6</f>
        <v>407.66</v>
      </c>
      <c r="O6" s="46">
        <f t="shared" ref="O6:O15" si="2">M6*6.01/32.05</f>
        <v>76.444199687987521</v>
      </c>
      <c r="P6" s="47">
        <f t="shared" ref="P6:P16" si="3">M6-O6</f>
        <v>331.2158003120125</v>
      </c>
    </row>
    <row r="7" spans="6:16" s="26" customFormat="1" ht="45" customHeight="1" x14ac:dyDescent="0.25">
      <c r="F7" s="27" t="s">
        <v>4</v>
      </c>
      <c r="G7" s="34">
        <f>'SMIC et salaire brut'!I6</f>
        <v>1957.7965319443529</v>
      </c>
      <c r="H7" s="34">
        <f t="shared" ref="H7:H15" si="4">H6+G7</f>
        <v>5455.8712995318783</v>
      </c>
      <c r="I7" s="34">
        <f>'SMIC et salaire brut'!K6</f>
        <v>1722.1505</v>
      </c>
      <c r="J7" s="34">
        <f t="shared" ref="J7:J15" si="5">J6+I7</f>
        <v>4872.0709999999999</v>
      </c>
      <c r="K7" s="52">
        <f t="shared" si="0"/>
        <v>0.21759999999999999</v>
      </c>
      <c r="L7" s="35">
        <f t="shared" ref="L7:L15" si="6">L6+M7</f>
        <v>1249.5712190940858</v>
      </c>
      <c r="M7" s="36">
        <f t="shared" si="1"/>
        <v>426.01652535109116</v>
      </c>
      <c r="O7" s="46">
        <f t="shared" si="2"/>
        <v>79.886406157880131</v>
      </c>
      <c r="P7" s="47">
        <f t="shared" si="3"/>
        <v>346.13011919321104</v>
      </c>
    </row>
    <row r="8" spans="6:16" s="26" customFormat="1" ht="45" customHeight="1" x14ac:dyDescent="0.25">
      <c r="F8" s="27" t="s">
        <v>5</v>
      </c>
      <c r="G8" s="34">
        <f>'SMIC et salaire brut'!I7</f>
        <v>1700</v>
      </c>
      <c r="H8" s="34">
        <f t="shared" si="4"/>
        <v>7155.8712995318783</v>
      </c>
      <c r="I8" s="34">
        <f>'SMIC et salaire brut'!K7</f>
        <v>1539.42</v>
      </c>
      <c r="J8" s="34">
        <f t="shared" si="5"/>
        <v>6411.491</v>
      </c>
      <c r="K8" s="52">
        <f t="shared" si="0"/>
        <v>0.23980000000000001</v>
      </c>
      <c r="L8" s="35">
        <f t="shared" si="6"/>
        <v>1657.2312190940859</v>
      </c>
      <c r="M8" s="36">
        <f t="shared" si="1"/>
        <v>407.66</v>
      </c>
      <c r="O8" s="46">
        <f t="shared" si="2"/>
        <v>76.444199687987521</v>
      </c>
      <c r="P8" s="47">
        <f t="shared" si="3"/>
        <v>331.2158003120125</v>
      </c>
    </row>
    <row r="9" spans="6:16" s="26" customFormat="1" ht="45" customHeight="1" x14ac:dyDescent="0.25">
      <c r="F9" s="27" t="s">
        <v>6</v>
      </c>
      <c r="G9" s="34">
        <f>'SMIC et salaire brut'!I8</f>
        <v>1700</v>
      </c>
      <c r="H9" s="34">
        <f t="shared" si="4"/>
        <v>8855.8712995318783</v>
      </c>
      <c r="I9" s="34">
        <f>'SMIC et salaire brut'!K8</f>
        <v>1539.42</v>
      </c>
      <c r="J9" s="34">
        <f t="shared" si="5"/>
        <v>7950.9110000000001</v>
      </c>
      <c r="K9" s="52">
        <f t="shared" si="0"/>
        <v>0.23980000000000001</v>
      </c>
      <c r="L9" s="35">
        <f t="shared" si="6"/>
        <v>2064.891219094086</v>
      </c>
      <c r="M9" s="36">
        <f t="shared" si="1"/>
        <v>407.66</v>
      </c>
      <c r="O9" s="46">
        <f t="shared" si="2"/>
        <v>76.444199687987521</v>
      </c>
      <c r="P9" s="47">
        <f t="shared" si="3"/>
        <v>331.2158003120125</v>
      </c>
    </row>
    <row r="10" spans="6:16" s="26" customFormat="1" ht="45" customHeight="1" x14ac:dyDescent="0.25">
      <c r="F10" s="27" t="s">
        <v>7</v>
      </c>
      <c r="G10" s="34">
        <f>'SMIC et salaire brut'!I9</f>
        <v>1700</v>
      </c>
      <c r="H10" s="34">
        <f t="shared" si="4"/>
        <v>10555.871299531878</v>
      </c>
      <c r="I10" s="34">
        <f>'SMIC et salaire brut'!K9</f>
        <v>1539.42</v>
      </c>
      <c r="J10" s="34">
        <f t="shared" si="5"/>
        <v>9490.3310000000001</v>
      </c>
      <c r="K10" s="52">
        <f t="shared" si="0"/>
        <v>0.23980000000000001</v>
      </c>
      <c r="L10" s="35">
        <f t="shared" si="6"/>
        <v>2472.5512190940858</v>
      </c>
      <c r="M10" s="36">
        <f t="shared" si="1"/>
        <v>407.66</v>
      </c>
      <c r="O10" s="46">
        <f t="shared" si="2"/>
        <v>76.444199687987521</v>
      </c>
      <c r="P10" s="47">
        <f t="shared" si="3"/>
        <v>331.2158003120125</v>
      </c>
    </row>
    <row r="11" spans="6:16" s="26" customFormat="1" ht="45" customHeight="1" x14ac:dyDescent="0.25">
      <c r="F11" s="27" t="s">
        <v>8</v>
      </c>
      <c r="G11" s="34">
        <f>'SMIC et salaire brut'!I10</f>
        <v>1700</v>
      </c>
      <c r="H11" s="34">
        <f t="shared" si="4"/>
        <v>12255.871299531878</v>
      </c>
      <c r="I11" s="34">
        <f>'SMIC et salaire brut'!K10</f>
        <v>1539.42</v>
      </c>
      <c r="J11" s="34">
        <f t="shared" si="5"/>
        <v>11029.751</v>
      </c>
      <c r="K11" s="52">
        <f t="shared" si="0"/>
        <v>0.23980000000000001</v>
      </c>
      <c r="L11" s="35">
        <f t="shared" si="6"/>
        <v>2880.2112190940857</v>
      </c>
      <c r="M11" s="36">
        <f t="shared" si="1"/>
        <v>407.66</v>
      </c>
      <c r="O11" s="46">
        <f t="shared" si="2"/>
        <v>76.444199687987521</v>
      </c>
      <c r="P11" s="47">
        <f t="shared" si="3"/>
        <v>331.2158003120125</v>
      </c>
    </row>
    <row r="12" spans="6:16" s="26" customFormat="1" ht="45" customHeight="1" x14ac:dyDescent="0.25">
      <c r="F12" s="27" t="s">
        <v>9</v>
      </c>
      <c r="G12" s="34">
        <f>'SMIC et salaire brut'!I11</f>
        <v>1700</v>
      </c>
      <c r="H12" s="34">
        <f t="shared" si="4"/>
        <v>13955.871299531878</v>
      </c>
      <c r="I12" s="34">
        <f>'SMIC et salaire brut'!K11</f>
        <v>1539.42</v>
      </c>
      <c r="J12" s="34">
        <f t="shared" si="5"/>
        <v>12569.171</v>
      </c>
      <c r="K12" s="52">
        <f t="shared" si="0"/>
        <v>0.23980000000000001</v>
      </c>
      <c r="L12" s="35">
        <f t="shared" si="6"/>
        <v>3287.8712190940855</v>
      </c>
      <c r="M12" s="36">
        <f t="shared" si="1"/>
        <v>407.66</v>
      </c>
      <c r="O12" s="46">
        <f t="shared" si="2"/>
        <v>76.444199687987521</v>
      </c>
      <c r="P12" s="47">
        <f t="shared" si="3"/>
        <v>331.2158003120125</v>
      </c>
    </row>
    <row r="13" spans="6:16" s="26" customFormat="1" ht="45" customHeight="1" x14ac:dyDescent="0.25">
      <c r="F13" s="27" t="s">
        <v>10</v>
      </c>
      <c r="G13" s="34">
        <f>'SMIC et salaire brut'!I12</f>
        <v>1700</v>
      </c>
      <c r="H13" s="34">
        <f t="shared" si="4"/>
        <v>15655.871299531878</v>
      </c>
      <c r="I13" s="34">
        <f>'SMIC et salaire brut'!K12</f>
        <v>1539.42</v>
      </c>
      <c r="J13" s="34">
        <f t="shared" si="5"/>
        <v>14108.591</v>
      </c>
      <c r="K13" s="52">
        <f t="shared" si="0"/>
        <v>0.23980000000000001</v>
      </c>
      <c r="L13" s="35">
        <f t="shared" si="6"/>
        <v>3695.5312190940854</v>
      </c>
      <c r="M13" s="36">
        <f t="shared" si="1"/>
        <v>407.66</v>
      </c>
      <c r="O13" s="46">
        <f t="shared" si="2"/>
        <v>76.444199687987521</v>
      </c>
      <c r="P13" s="47">
        <f t="shared" si="3"/>
        <v>331.2158003120125</v>
      </c>
    </row>
    <row r="14" spans="6:16" s="26" customFormat="1" ht="45" customHeight="1" x14ac:dyDescent="0.25">
      <c r="F14" s="27" t="s">
        <v>19</v>
      </c>
      <c r="G14" s="34">
        <f>'SMIC et salaire brut'!I13</f>
        <v>1313.6363636363635</v>
      </c>
      <c r="H14" s="34">
        <f t="shared" si="4"/>
        <v>16969.507663168242</v>
      </c>
      <c r="I14" s="34">
        <f>'SMIC et salaire brut'!K13</f>
        <v>1189.5551110588237</v>
      </c>
      <c r="J14" s="34">
        <f t="shared" si="5"/>
        <v>15298.146111058824</v>
      </c>
      <c r="K14" s="52">
        <f t="shared" si="0"/>
        <v>0.23980000000000001</v>
      </c>
      <c r="L14" s="35">
        <f t="shared" si="6"/>
        <v>4010.5412190940851</v>
      </c>
      <c r="M14" s="36">
        <f t="shared" si="1"/>
        <v>315.01</v>
      </c>
      <c r="N14" s="40"/>
      <c r="O14" s="46">
        <f t="shared" si="2"/>
        <v>59.070517940717629</v>
      </c>
      <c r="P14" s="47">
        <f t="shared" si="3"/>
        <v>255.93948205928237</v>
      </c>
    </row>
    <row r="15" spans="6:16" s="26" customFormat="1" ht="45" customHeight="1" x14ac:dyDescent="0.25">
      <c r="F15" s="27" t="s">
        <v>11</v>
      </c>
      <c r="G15" s="34">
        <f>'SMIC et salaire brut'!I14</f>
        <v>1700</v>
      </c>
      <c r="H15" s="34">
        <f t="shared" si="4"/>
        <v>18669.507663168242</v>
      </c>
      <c r="I15" s="34">
        <f>'SMIC et salaire brut'!K14</f>
        <v>1539.42</v>
      </c>
      <c r="J15" s="34">
        <f t="shared" si="5"/>
        <v>16837.566111058826</v>
      </c>
      <c r="K15" s="52">
        <f t="shared" si="0"/>
        <v>0.23980000000000001</v>
      </c>
      <c r="L15" s="35">
        <f t="shared" si="6"/>
        <v>4418.201219094085</v>
      </c>
      <c r="M15" s="36">
        <f t="shared" si="1"/>
        <v>407.66</v>
      </c>
      <c r="N15" s="40"/>
      <c r="O15" s="46">
        <f t="shared" si="2"/>
        <v>76.444199687987521</v>
      </c>
      <c r="P15" s="47">
        <f t="shared" si="3"/>
        <v>331.2158003120125</v>
      </c>
    </row>
    <row r="16" spans="6:16" s="26" customFormat="1" ht="45" customHeight="1" thickBot="1" x14ac:dyDescent="0.3">
      <c r="F16" s="41" t="s">
        <v>12</v>
      </c>
      <c r="G16" s="34">
        <f>'SMIC et salaire brut'!I15</f>
        <v>2700</v>
      </c>
      <c r="H16" s="42">
        <f t="shared" ref="H7:H16" si="7">H15+G16</f>
        <v>21369.507663168242</v>
      </c>
      <c r="I16" s="34">
        <f>'SMIC et salaire brut'!K15</f>
        <v>1539.42</v>
      </c>
      <c r="J16" s="34">
        <f t="shared" ref="J8:J16" si="8">J15+I16</f>
        <v>18376.986111058824</v>
      </c>
      <c r="K16" s="52">
        <f>ROUND($K$1/0.6*((1.6*J16/H16)-1),4)</f>
        <v>0.20080000000000001</v>
      </c>
      <c r="L16" s="38">
        <f>K16*H16</f>
        <v>4290.9971387641835</v>
      </c>
      <c r="M16" s="39">
        <f>L16-L15</f>
        <v>-127.20408032990144</v>
      </c>
      <c r="N16" s="43"/>
      <c r="O16" s="48">
        <f>M16*6.01/32.05</f>
        <v>-23.853245640646108</v>
      </c>
      <c r="P16" s="49">
        <f t="shared" si="3"/>
        <v>-103.35083468925534</v>
      </c>
    </row>
  </sheetData>
  <mergeCells count="1">
    <mergeCell ref="F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SMIC et salaire brut</vt:lpstr>
      <vt:lpstr>REGUL PROGRES JUSQU'A DEC</vt:lpstr>
      <vt:lpstr>REGUL PROGRES JUSQU'A DEC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2019-09-09T15:16:47Z</dcterms:created>
  <dcterms:modified xsi:type="dcterms:W3CDTF">2020-02-10T15:28:26Z</dcterms:modified>
</cp:coreProperties>
</file>