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CONTRAT-APPRENTISSAGE-DV\DOCUMENTS\"/>
    </mc:Choice>
  </mc:AlternateContent>
  <xr:revisionPtr revIDLastSave="0" documentId="8_{E2F84D57-9F28-450F-A965-D100E737AE90}" xr6:coauthVersionLast="47" xr6:coauthVersionMax="47" xr10:uidLastSave="{00000000-0000-0000-0000-000000000000}"/>
  <bookViews>
    <workbookView xWindow="24075" yWindow="0" windowWidth="18900" windowHeight="11055" tabRatio="944" firstSheet="3" activeTab="3" xr2:uid="{00000000-000D-0000-FFFF-FFFF00000000}"/>
  </bookViews>
  <sheets>
    <sheet name="Feuil1" sheetId="11" state="hidden" r:id="rId1"/>
    <sheet name="OUTILS" sheetId="13" state="hidden" r:id="rId2"/>
    <sheet name="OUTILS S1" sheetId="26" state="hidden" r:id="rId3"/>
    <sheet name="Modèle 2023" sheetId="19" r:id="rId4"/>
    <sheet name="EXPL T1 NC 2022" sheetId="37" state="hidden" r:id="rId5"/>
    <sheet name="EXPL T2 C Arrété 23 déc 2021" sheetId="38" state="hidden" r:id="rId6"/>
    <sheet name="BULLETIN S1 (2)" sheetId="36" state="hidden" r:id="rId7"/>
    <sheet name="OUTILS S4" sheetId="3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6" i="37" l="1"/>
  <c r="R65" i="37"/>
  <c r="R64" i="37"/>
  <c r="U52" i="37"/>
  <c r="S52" i="37"/>
  <c r="R63" i="37"/>
  <c r="F65" i="37"/>
  <c r="F64" i="37"/>
  <c r="B60" i="37"/>
  <c r="D62" i="37"/>
  <c r="B62" i="37"/>
  <c r="D63" i="37"/>
  <c r="C63" i="37"/>
  <c r="B63" i="37"/>
  <c r="E6" i="26"/>
  <c r="F6" i="26" s="1"/>
  <c r="B6" i="26"/>
  <c r="F43" i="37"/>
  <c r="B43" i="37"/>
  <c r="D24" i="37"/>
  <c r="C24" i="37"/>
  <c r="J72" i="37" l="1"/>
  <c r="J71" i="37"/>
  <c r="J70" i="37"/>
  <c r="B98" i="38"/>
  <c r="D55" i="38"/>
  <c r="B55" i="38"/>
  <c r="F55" i="38" s="1"/>
  <c r="D51" i="38"/>
  <c r="B51" i="38"/>
  <c r="B45" i="38"/>
  <c r="F45" i="38"/>
  <c r="F41" i="38"/>
  <c r="J18" i="38"/>
  <c r="D20" i="38"/>
  <c r="B112" i="38"/>
  <c r="D112" i="38" s="1"/>
  <c r="B97" i="38"/>
  <c r="D97" i="38" s="1"/>
  <c r="B95" i="38"/>
  <c r="B94" i="38"/>
  <c r="B90" i="38"/>
  <c r="B89" i="38"/>
  <c r="C78" i="38"/>
  <c r="D70" i="38"/>
  <c r="D111" i="38"/>
  <c r="F53" i="38"/>
  <c r="F52" i="38"/>
  <c r="E51" i="38"/>
  <c r="F51" i="38" s="1"/>
  <c r="E50" i="38"/>
  <c r="B50" i="38"/>
  <c r="D50" i="38" s="1"/>
  <c r="E49" i="38"/>
  <c r="E48" i="38"/>
  <c r="E47" i="38"/>
  <c r="D36" i="38"/>
  <c r="D37" i="38" s="1"/>
  <c r="B112" i="37"/>
  <c r="D112" i="37" s="1"/>
  <c r="B97" i="37"/>
  <c r="D97" i="37" s="1"/>
  <c r="B95" i="37"/>
  <c r="B94" i="37"/>
  <c r="B90" i="37"/>
  <c r="B89" i="37"/>
  <c r="F50" i="38" l="1"/>
  <c r="B113" i="38"/>
  <c r="B54" i="38"/>
  <c r="F54" i="38" s="1"/>
  <c r="B47" i="38"/>
  <c r="F47" i="38" s="1"/>
  <c r="D98" i="38"/>
  <c r="B42" i="38"/>
  <c r="F42" i="38" s="1"/>
  <c r="B60" i="38" s="1"/>
  <c r="C88" i="38"/>
  <c r="B41" i="38"/>
  <c r="B103" i="38"/>
  <c r="B48" i="38"/>
  <c r="D48" i="38" s="1"/>
  <c r="B61" i="38" l="1"/>
  <c r="D61" i="38" s="1"/>
  <c r="D60" i="38"/>
  <c r="B105" i="38"/>
  <c r="D105" i="38" s="1"/>
  <c r="B104" i="38"/>
  <c r="D104" i="38" s="1"/>
  <c r="D103" i="38"/>
  <c r="B49" i="38"/>
  <c r="D47" i="38"/>
  <c r="D113" i="38"/>
  <c r="D114" i="38"/>
  <c r="D95" i="38"/>
  <c r="D93" i="38"/>
  <c r="D92" i="38"/>
  <c r="D89" i="38"/>
  <c r="D90" i="38"/>
  <c r="D94" i="38"/>
  <c r="D91" i="38"/>
  <c r="F48" i="38"/>
  <c r="D49" i="38" l="1"/>
  <c r="F49" i="38"/>
  <c r="D100" i="38"/>
  <c r="F56" i="38" s="1"/>
  <c r="D115" i="38"/>
  <c r="F82" i="38" s="1"/>
  <c r="D107" i="38"/>
  <c r="F75" i="38" s="1"/>
  <c r="D65" i="38"/>
  <c r="F65" i="38" l="1"/>
  <c r="F83" i="38" s="1"/>
  <c r="F74" i="38"/>
  <c r="D77" i="38"/>
  <c r="B78" i="38" l="1"/>
  <c r="D78" i="38" s="1"/>
  <c r="F78" i="38" s="1"/>
  <c r="F77" i="38"/>
  <c r="F81" i="38" l="1"/>
  <c r="C78" i="37" l="1"/>
  <c r="D70" i="37"/>
  <c r="F52" i="37"/>
  <c r="F53" i="37"/>
  <c r="E48" i="37"/>
  <c r="E49" i="37"/>
  <c r="E50" i="37"/>
  <c r="F50" i="37" s="1"/>
  <c r="E51" i="37"/>
  <c r="F51" i="37" s="1"/>
  <c r="E47" i="37"/>
  <c r="B50" i="37"/>
  <c r="D50" i="37" s="1"/>
  <c r="B55" i="37"/>
  <c r="F55" i="37" s="1"/>
  <c r="D36" i="37"/>
  <c r="F73" i="36"/>
  <c r="F56" i="36"/>
  <c r="F55" i="36"/>
  <c r="B55" i="36"/>
  <c r="D55" i="36" s="1"/>
  <c r="E45" i="36"/>
  <c r="B44" i="36"/>
  <c r="F44" i="36" s="1"/>
  <c r="E43" i="36"/>
  <c r="D36" i="36"/>
  <c r="D30" i="36"/>
  <c r="D29" i="36"/>
  <c r="D28" i="36"/>
  <c r="C27" i="36"/>
  <c r="D27" i="36" s="1"/>
  <c r="B27" i="36"/>
  <c r="C26" i="36"/>
  <c r="D26" i="36" s="1"/>
  <c r="B26" i="36"/>
  <c r="C25" i="36"/>
  <c r="D25" i="36" s="1"/>
  <c r="C23" i="36"/>
  <c r="D23" i="36" s="1"/>
  <c r="C24" i="36" s="1"/>
  <c r="D24" i="36" s="1"/>
  <c r="C22" i="36"/>
  <c r="D22" i="36" s="1"/>
  <c r="D20" i="36"/>
  <c r="D8" i="26"/>
  <c r="D37" i="37" l="1"/>
  <c r="D37" i="36"/>
  <c r="B62" i="36"/>
  <c r="D62" i="36" s="1"/>
  <c r="M22" i="31"/>
  <c r="D22" i="31" s="1"/>
  <c r="E22" i="31" s="1"/>
  <c r="M27" i="31"/>
  <c r="C33" i="31"/>
  <c r="E33" i="31" s="1"/>
  <c r="C32" i="31"/>
  <c r="E32" i="31" s="1"/>
  <c r="D34" i="31"/>
  <c r="C22" i="31"/>
  <c r="C23" i="31" s="1"/>
  <c r="C24" i="31" s="1"/>
  <c r="C25" i="31" s="1"/>
  <c r="B19" i="31"/>
  <c r="E11" i="31"/>
  <c r="E12" i="31" s="1"/>
  <c r="E13" i="31" s="1"/>
  <c r="E14" i="31" s="1"/>
  <c r="E15" i="31" s="1"/>
  <c r="C11" i="31"/>
  <c r="F11" i="31" s="1"/>
  <c r="G11" i="31" s="1"/>
  <c r="H11" i="31" s="1"/>
  <c r="D19" i="26"/>
  <c r="C18" i="26"/>
  <c r="E18" i="26" s="1"/>
  <c r="C17" i="26"/>
  <c r="M10" i="26"/>
  <c r="D10" i="26" s="1"/>
  <c r="E7" i="26"/>
  <c r="C6" i="26"/>
  <c r="C7" i="26" s="1"/>
  <c r="B45" i="37" l="1"/>
  <c r="F45" i="37" s="1"/>
  <c r="B113" i="37"/>
  <c r="B103" i="37"/>
  <c r="B98" i="37"/>
  <c r="D98" i="37" s="1"/>
  <c r="C88" i="37"/>
  <c r="B54" i="37"/>
  <c r="F54" i="37" s="1"/>
  <c r="J17" i="37"/>
  <c r="B47" i="37" s="1"/>
  <c r="F47" i="37" s="1"/>
  <c r="B41" i="37"/>
  <c r="F41" i="37" s="1"/>
  <c r="B42" i="37"/>
  <c r="B105" i="37" s="1"/>
  <c r="D105" i="37" s="1"/>
  <c r="B48" i="37"/>
  <c r="B50" i="36"/>
  <c r="B45" i="36"/>
  <c r="F45" i="36" s="1"/>
  <c r="B41" i="36"/>
  <c r="E53" i="36"/>
  <c r="F53" i="36" s="1"/>
  <c r="B51" i="36"/>
  <c r="I17" i="36"/>
  <c r="B53" i="36"/>
  <c r="B48" i="36"/>
  <c r="B54" i="36"/>
  <c r="F54" i="36" s="1"/>
  <c r="E41" i="36"/>
  <c r="F41" i="36" s="1"/>
  <c r="F64" i="36" s="1"/>
  <c r="G6" i="26"/>
  <c r="H6" i="26" s="1"/>
  <c r="F63" i="37" s="1"/>
  <c r="D111" i="37" s="1"/>
  <c r="C19" i="26"/>
  <c r="D23" i="31"/>
  <c r="D24" i="31" s="1"/>
  <c r="D25" i="31" s="1"/>
  <c r="E34" i="31"/>
  <c r="C34" i="31"/>
  <c r="C12" i="31"/>
  <c r="F22" i="31"/>
  <c r="G22" i="31" s="1"/>
  <c r="H22" i="31" s="1"/>
  <c r="E17" i="26"/>
  <c r="E19" i="26" s="1"/>
  <c r="E8" i="26"/>
  <c r="F7" i="26"/>
  <c r="B104" i="37" l="1"/>
  <c r="D104" i="37" s="1"/>
  <c r="D103" i="37"/>
  <c r="B114" i="37"/>
  <c r="D114" i="37" s="1"/>
  <c r="D113" i="37"/>
  <c r="D115" i="37" s="1"/>
  <c r="F82" i="37" s="1"/>
  <c r="D91" i="37"/>
  <c r="D95" i="37"/>
  <c r="D92" i="37"/>
  <c r="D89" i="37"/>
  <c r="D93" i="37"/>
  <c r="D90" i="37"/>
  <c r="D94" i="37"/>
  <c r="D48" i="37"/>
  <c r="F48" i="37"/>
  <c r="B61" i="37"/>
  <c r="D61" i="37" s="1"/>
  <c r="D60" i="37"/>
  <c r="D65" i="37" s="1"/>
  <c r="D47" i="37"/>
  <c r="B49" i="37"/>
  <c r="B47" i="36"/>
  <c r="B43" i="36"/>
  <c r="F43" i="36" s="1"/>
  <c r="B60" i="36" s="1"/>
  <c r="B49" i="36"/>
  <c r="D51" i="36"/>
  <c r="F51" i="36"/>
  <c r="F48" i="36"/>
  <c r="D48" i="36"/>
  <c r="F50" i="36"/>
  <c r="D50" i="36"/>
  <c r="I6" i="26"/>
  <c r="E23" i="31"/>
  <c r="C13" i="31"/>
  <c r="F12" i="31"/>
  <c r="G12" i="31" s="1"/>
  <c r="H12" i="31" s="1"/>
  <c r="G7" i="26"/>
  <c r="H7" i="26" s="1"/>
  <c r="I7" i="26"/>
  <c r="E9" i="26"/>
  <c r="D100" i="37" l="1"/>
  <c r="F56" i="37" s="1"/>
  <c r="D107" i="37"/>
  <c r="F75" i="37" s="1"/>
  <c r="D49" i="37"/>
  <c r="F49" i="37"/>
  <c r="F49" i="36"/>
  <c r="D49" i="36"/>
  <c r="D60" i="36"/>
  <c r="B61" i="36"/>
  <c r="D61" i="36" s="1"/>
  <c r="D47" i="36"/>
  <c r="D64" i="36" s="1"/>
  <c r="F72" i="36" s="1"/>
  <c r="F47" i="36"/>
  <c r="E24" i="31"/>
  <c r="F23" i="31"/>
  <c r="G23" i="31" s="1"/>
  <c r="H23" i="31" s="1"/>
  <c r="F13" i="31"/>
  <c r="G13" i="31" s="1"/>
  <c r="H13" i="31" s="1"/>
  <c r="C14" i="31"/>
  <c r="E10" i="26"/>
  <c r="F83" i="37" l="1"/>
  <c r="D77" i="37"/>
  <c r="F74" i="37"/>
  <c r="E25" i="31"/>
  <c r="F24" i="31"/>
  <c r="G24" i="31" s="1"/>
  <c r="H24" i="31" s="1"/>
  <c r="C15" i="31"/>
  <c r="F15" i="31" s="1"/>
  <c r="F14" i="31"/>
  <c r="G14" i="31" s="1"/>
  <c r="H14" i="31" s="1"/>
  <c r="B78" i="37" l="1"/>
  <c r="D78" i="37" s="1"/>
  <c r="F78" i="37" s="1"/>
  <c r="F77" i="37"/>
  <c r="F25" i="31"/>
  <c r="G25" i="31" s="1"/>
  <c r="H25" i="31" s="1"/>
  <c r="G15" i="31"/>
  <c r="H15" i="31" s="1"/>
  <c r="F81" i="37" l="1"/>
  <c r="B55" i="19"/>
  <c r="B26" i="31" l="1"/>
  <c r="M26" i="31"/>
  <c r="D26" i="31" s="1"/>
  <c r="E26" i="31" s="1"/>
  <c r="C26" i="31"/>
  <c r="F26" i="31" l="1"/>
  <c r="G26" i="31" s="1"/>
  <c r="H26" i="31" s="1"/>
  <c r="D36" i="19" l="1"/>
  <c r="E52" i="13"/>
  <c r="E53" i="13" s="1"/>
  <c r="C52" i="13"/>
  <c r="E41" i="13"/>
  <c r="E42" i="13" s="1"/>
  <c r="E43" i="13" s="1"/>
  <c r="E44" i="13" s="1"/>
  <c r="C41" i="13"/>
  <c r="C42" i="13" s="1"/>
  <c r="F35" i="13"/>
  <c r="D35" i="13"/>
  <c r="F34" i="13"/>
  <c r="D34" i="13"/>
  <c r="F33" i="13"/>
  <c r="D33" i="13"/>
  <c r="F32" i="13"/>
  <c r="D32" i="13"/>
  <c r="F31" i="13"/>
  <c r="G31" i="13" s="1"/>
  <c r="D31" i="13"/>
  <c r="C31" i="13"/>
  <c r="C32" i="13" s="1"/>
  <c r="F25" i="13"/>
  <c r="D25" i="13"/>
  <c r="F24" i="13"/>
  <c r="D24" i="13"/>
  <c r="F23" i="13"/>
  <c r="D23" i="13"/>
  <c r="F22" i="13"/>
  <c r="D22" i="13"/>
  <c r="F21" i="13"/>
  <c r="G21" i="13" s="1"/>
  <c r="D21" i="13"/>
  <c r="C21" i="13"/>
  <c r="C22" i="13" s="1"/>
  <c r="E11" i="13"/>
  <c r="C11" i="13"/>
  <c r="F11" i="13" l="1"/>
  <c r="G11" i="13" s="1"/>
  <c r="H11" i="13" s="1"/>
  <c r="E12" i="13"/>
  <c r="E13" i="13" s="1"/>
  <c r="E14" i="13" s="1"/>
  <c r="E15" i="13" s="1"/>
  <c r="G22" i="13"/>
  <c r="G23" i="13" s="1"/>
  <c r="G24" i="13" s="1"/>
  <c r="G25" i="13" s="1"/>
  <c r="C43" i="13"/>
  <c r="C44" i="13" s="1"/>
  <c r="C45" i="13" s="1"/>
  <c r="F42" i="13"/>
  <c r="F41" i="13"/>
  <c r="G41" i="13" s="1"/>
  <c r="H41" i="13" s="1"/>
  <c r="C12" i="13"/>
  <c r="C23" i="13"/>
  <c r="E45" i="13"/>
  <c r="G52" i="13"/>
  <c r="H52" i="13" s="1"/>
  <c r="C53" i="13"/>
  <c r="G32" i="13"/>
  <c r="G33" i="13" s="1"/>
  <c r="G34" i="13" s="1"/>
  <c r="G35" i="13" s="1"/>
  <c r="E54" i="13"/>
  <c r="C33" i="13"/>
  <c r="H21" i="13"/>
  <c r="I21" i="13" s="1"/>
  <c r="J21" i="13" s="1"/>
  <c r="K21" i="13" s="1"/>
  <c r="H31" i="13"/>
  <c r="I31" i="13" s="1"/>
  <c r="J31" i="13" s="1"/>
  <c r="K31" i="13" s="1"/>
  <c r="F52" i="13"/>
  <c r="D37" i="19" l="1"/>
  <c r="B8" i="26" s="1"/>
  <c r="C8" i="26" s="1"/>
  <c r="I41" i="13"/>
  <c r="H22" i="13"/>
  <c r="I22" i="13" s="1"/>
  <c r="J22" i="13" s="1"/>
  <c r="K22" i="13" s="1"/>
  <c r="F44" i="13"/>
  <c r="G44" i="13" s="1"/>
  <c r="F45" i="13"/>
  <c r="F43" i="13"/>
  <c r="G43" i="13" s="1"/>
  <c r="H32" i="13"/>
  <c r="I32" i="13" s="1"/>
  <c r="J32" i="13" s="1"/>
  <c r="K32" i="13" s="1"/>
  <c r="G42" i="13"/>
  <c r="H42" i="13" s="1"/>
  <c r="I42" i="13"/>
  <c r="C54" i="13"/>
  <c r="F54" i="13" s="1"/>
  <c r="G53" i="13"/>
  <c r="H53" i="13" s="1"/>
  <c r="C24" i="13"/>
  <c r="H23" i="13"/>
  <c r="I23" i="13" s="1"/>
  <c r="E55" i="13"/>
  <c r="C34" i="13"/>
  <c r="H33" i="13"/>
  <c r="I33" i="13" s="1"/>
  <c r="F53" i="13"/>
  <c r="F12" i="13"/>
  <c r="G12" i="13" s="1"/>
  <c r="H12" i="13" s="1"/>
  <c r="C13" i="13"/>
  <c r="C9" i="26" l="1"/>
  <c r="F9" i="26" s="1"/>
  <c r="F8" i="26"/>
  <c r="B10" i="26"/>
  <c r="I44" i="13"/>
  <c r="J23" i="13"/>
  <c r="K23" i="13" s="1"/>
  <c r="I43" i="13"/>
  <c r="J33" i="13"/>
  <c r="K33" i="13" s="1"/>
  <c r="H43" i="13"/>
  <c r="H44" i="13"/>
  <c r="C35" i="13"/>
  <c r="H34" i="13"/>
  <c r="I34" i="13" s="1"/>
  <c r="J34" i="13" s="1"/>
  <c r="K34" i="13" s="1"/>
  <c r="F13" i="13"/>
  <c r="G13" i="13" s="1"/>
  <c r="H13" i="13" s="1"/>
  <c r="C14" i="13"/>
  <c r="E56" i="13"/>
  <c r="I45" i="13"/>
  <c r="G45" i="13"/>
  <c r="H45" i="13" s="1"/>
  <c r="C25" i="13"/>
  <c r="H24" i="13"/>
  <c r="I24" i="13" s="1"/>
  <c r="J24" i="13" s="1"/>
  <c r="K24" i="13" s="1"/>
  <c r="C55" i="13"/>
  <c r="F55" i="13" s="1"/>
  <c r="G54" i="13"/>
  <c r="H54" i="13" s="1"/>
  <c r="C10" i="26" l="1"/>
  <c r="F10" i="26" s="1"/>
  <c r="I10" i="26" s="1"/>
  <c r="G8" i="26"/>
  <c r="H8" i="26" s="1"/>
  <c r="I8" i="26"/>
  <c r="G9" i="26"/>
  <c r="I9" i="26"/>
  <c r="H17" i="19"/>
  <c r="H25" i="13"/>
  <c r="I25" i="13" s="1"/>
  <c r="J25" i="13" s="1"/>
  <c r="K25" i="13" s="1"/>
  <c r="H35" i="13"/>
  <c r="I35" i="13" s="1"/>
  <c r="J35" i="13" s="1"/>
  <c r="K35" i="13" s="1"/>
  <c r="G55" i="13"/>
  <c r="H55" i="13" s="1"/>
  <c r="C56" i="13"/>
  <c r="F56" i="13" s="1"/>
  <c r="F14" i="13"/>
  <c r="G14" i="13" s="1"/>
  <c r="H14" i="13" s="1"/>
  <c r="C15" i="13"/>
  <c r="G10" i="26" l="1"/>
  <c r="H10" i="26" s="1"/>
  <c r="H9" i="26"/>
  <c r="F15" i="13"/>
  <c r="G15" i="13" s="1"/>
  <c r="H15" i="13" s="1"/>
  <c r="G56" i="13"/>
  <c r="H56" i="13" s="1"/>
</calcChain>
</file>

<file path=xl/sharedStrings.xml><?xml version="1.0" encoding="utf-8"?>
<sst xmlns="http://schemas.openxmlformats.org/spreadsheetml/2006/main" count="703" uniqueCount="206">
  <si>
    <t>Salaire de base</t>
  </si>
  <si>
    <t>Prime d'ancienneté</t>
  </si>
  <si>
    <t>Taux</t>
  </si>
  <si>
    <t>Absences</t>
  </si>
  <si>
    <t>Heures supplémentaires à 150%</t>
  </si>
  <si>
    <t>Salaire brut</t>
  </si>
  <si>
    <t>SANTE</t>
  </si>
  <si>
    <t xml:space="preserve">Accident du travail - Maladies professionnelles </t>
  </si>
  <si>
    <t>Retraite</t>
  </si>
  <si>
    <t>Total de cotisations et contributions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</si>
  <si>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</si>
  <si>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</si>
  <si>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</si>
  <si>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</si>
  <si>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personnalisé</t>
  </si>
  <si>
    <t>Assiettes</t>
  </si>
  <si>
    <t>Mutuelle salariale</t>
  </si>
  <si>
    <t>Mutuelle patronale</t>
  </si>
  <si>
    <t>Taux de prélèvement à la source</t>
  </si>
  <si>
    <t xml:space="preserve">Autres contributions dues par l'employeur </t>
  </si>
  <si>
    <t xml:space="preserve">Sécurité sociale plafonnée </t>
  </si>
  <si>
    <t xml:space="preserve">Assurance chômage </t>
  </si>
  <si>
    <t>Sécurité sociale déplafonnée</t>
  </si>
  <si>
    <t>Complémentaire Tranche 1</t>
  </si>
  <si>
    <t>Dialogue social : 0,016%</t>
  </si>
  <si>
    <t>Solidarité autonomie : 0,30%</t>
  </si>
  <si>
    <t>Apprentissage : 0,68%</t>
  </si>
  <si>
    <t>AU TOTAL</t>
  </si>
  <si>
    <t xml:space="preserve"> Rubrique dont évolution de la rémunération liée à la suppression des cotisations chômage et maladie</t>
  </si>
  <si>
    <t>Assurance chômage</t>
  </si>
  <si>
    <t>Maladie</t>
  </si>
  <si>
    <t>CSG CRDS</t>
  </si>
  <si>
    <t>Rubrique d'évolution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</si>
  <si>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</si>
  <si>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</si>
  <si>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</si>
  <si>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</si>
  <si>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</si>
  <si>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 xml:space="preserve"> Rubrique Allègement de cotisations employeur</t>
  </si>
  <si>
    <t>jeudi</t>
  </si>
  <si>
    <t>vendredi</t>
  </si>
  <si>
    <t>lundi</t>
  </si>
  <si>
    <t>mardi</t>
  </si>
  <si>
    <t>mercredi</t>
  </si>
  <si>
    <t>MOIS</t>
  </si>
  <si>
    <t>BULLETIN DE SALAIRE</t>
  </si>
  <si>
    <t>Employeur</t>
  </si>
  <si>
    <t>Salarié</t>
  </si>
  <si>
    <t>Nom :</t>
  </si>
  <si>
    <t>Adresse  :</t>
  </si>
  <si>
    <t>Prénom :</t>
  </si>
  <si>
    <t>Complément :</t>
  </si>
  <si>
    <t>N° de S.S. :</t>
  </si>
  <si>
    <t>Adresse :</t>
  </si>
  <si>
    <t>Code postal :</t>
  </si>
  <si>
    <t>Ville :</t>
  </si>
  <si>
    <t>CP/ Ville</t>
  </si>
  <si>
    <t>N° SIRET :</t>
  </si>
  <si>
    <t>Emploi :</t>
  </si>
  <si>
    <t>Code NAF(APE) :</t>
  </si>
  <si>
    <t>Contrat :</t>
  </si>
  <si>
    <t>Site d'emploi :</t>
  </si>
  <si>
    <t>Position :</t>
  </si>
  <si>
    <t>Effectif :</t>
  </si>
  <si>
    <t>Embauche :</t>
  </si>
  <si>
    <t>Convention collective :</t>
  </si>
  <si>
    <t>Horaire mensualisé :</t>
  </si>
  <si>
    <t>Autre :</t>
  </si>
  <si>
    <t>Période du :</t>
  </si>
  <si>
    <t>Au :</t>
  </si>
  <si>
    <t>Eléments de revenu brut</t>
  </si>
  <si>
    <t>Nombre/Base</t>
  </si>
  <si>
    <t>Taux/Val unitaire</t>
  </si>
  <si>
    <t>Montants</t>
  </si>
  <si>
    <t>Avantage en nature</t>
  </si>
  <si>
    <t xml:space="preserve">Tranche 1  </t>
  </si>
  <si>
    <t>Tranche 2</t>
  </si>
  <si>
    <t>Heures supplémentaires à 125%</t>
  </si>
  <si>
    <t>Retenue absence arrêt de travail</t>
  </si>
  <si>
    <t xml:space="preserve">IJSS </t>
  </si>
  <si>
    <t>Maintien de salaire</t>
  </si>
  <si>
    <t>Indemnité de précarité</t>
  </si>
  <si>
    <t>Cotisations et contributions sociales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</si>
  <si>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</si>
  <si>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</si>
  <si>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</si>
  <si>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>Contribution équilibre technique CET</t>
  </si>
  <si>
    <t>Retraite Supplémentaire</t>
  </si>
  <si>
    <t xml:space="preserve"> Famille </t>
  </si>
  <si>
    <t>APEC (Cadres)</t>
  </si>
  <si>
    <t>CSG déductible de l'impôt sur le revenu</t>
  </si>
  <si>
    <t>CSG CRDS non-déductible de l'impôt sur le revenu</t>
  </si>
  <si>
    <t>CSG/CRDS non-déductibles de l'impôt sur le revenu sur heures supplémentaires</t>
  </si>
  <si>
    <t>Acompte</t>
  </si>
  <si>
    <t>Saisie sur salaires</t>
  </si>
  <si>
    <t>Titres repas</t>
  </si>
  <si>
    <t>Montant</t>
  </si>
  <si>
    <t>Salaires bruts</t>
  </si>
  <si>
    <t>Salaires imposables</t>
  </si>
  <si>
    <t>Dans votre intérêt et pour vous aider à faire valoir vos droits, conserver ce bulletin de paie sans limitation de durée</t>
  </si>
  <si>
    <t>Construction : 0,45%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</si>
  <si>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</si>
  <si>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</si>
  <si>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</si>
  <si>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</si>
  <si>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</si>
  <si>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</si>
  <si>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</si>
  <si>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</si>
  <si>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Regularisation mensuelle progressive des cotisations de maladie</t>
  </si>
  <si>
    <t>Assiette 
 7%</t>
  </si>
  <si>
    <t>smics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</si>
  <si>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</si>
  <si>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</si>
  <si>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</si>
  <si>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</si>
  <si>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</si>
  <si>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</si>
  <si>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JANVIER</t>
  </si>
  <si>
    <t>FÉVRIER</t>
  </si>
  <si>
    <t>MARS</t>
  </si>
  <si>
    <t>AVRIL</t>
  </si>
  <si>
    <t>MAI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</si>
  <si>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</si>
  <si>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</si>
  <si>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</si>
  <si>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</si>
  <si>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</si>
  <si>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</si>
  <si>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</si>
  <si>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>coeff maximum cumulé</t>
  </si>
  <si>
    <t>BRUTS</t>
  </si>
  <si>
    <t>CUMULS</t>
  </si>
  <si>
    <t>SMICS
 CUMULES</t>
  </si>
  <si>
    <t>COEF ALLEGT
CUMULES</t>
  </si>
  <si>
    <t>ALLEGT 
CUMULES</t>
  </si>
  <si>
    <t>ALLEGT 
DU MOIS</t>
  </si>
  <si>
    <t>Remarque</t>
  </si>
  <si>
    <t>Regularisation mensuelle progressive de la cotisation CET</t>
  </si>
  <si>
    <t>CET à payer</t>
  </si>
  <si>
    <t>CET 
cumulées</t>
  </si>
  <si>
    <t>CET 
du mois</t>
  </si>
  <si>
    <t>Retenues pour congés payés</t>
  </si>
  <si>
    <t>0,3195 ou 0,3235</t>
  </si>
  <si>
    <t>FNAL 0,10%</t>
  </si>
  <si>
    <t>Forfait social</t>
  </si>
  <si>
    <t>FNAL : 0,50%</t>
  </si>
  <si>
    <t>versement transport :</t>
  </si>
  <si>
    <t>COTISATIONS STATUTAIRES OU PREVUES PAR LA CONVENTION COLLECTIVE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</si>
  <si>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</si>
  <si>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13ème mois</t>
  </si>
  <si>
    <t>Indemnité de congés payés</t>
  </si>
  <si>
    <t>Heures complémentaires à 125%</t>
  </si>
  <si>
    <t>Heures complémentaires à 110%</t>
  </si>
  <si>
    <t>Taux de prévoyance patronale</t>
  </si>
  <si>
    <t>Taux de prévoyance salariale</t>
  </si>
  <si>
    <t>Coefficient de réduction de cotisations patronales</t>
  </si>
  <si>
    <t>Cadre ou aucune mention</t>
  </si>
  <si>
    <t>Statut salarié</t>
  </si>
  <si>
    <t>Heures d'absences</t>
  </si>
  <si>
    <t>SMIC horaire</t>
  </si>
  <si>
    <t>Taux de la prime de mobilité</t>
  </si>
  <si>
    <t>Taux accident du travail</t>
  </si>
  <si>
    <t>Effectif</t>
  </si>
  <si>
    <t>Nombre d'heures travaillées durant le mois pour absence</t>
  </si>
  <si>
    <t>Horaire mensuel</t>
  </si>
  <si>
    <t>SAISIE DES VARIABLES</t>
  </si>
  <si>
    <t xml:space="preserve">ALLEGEMENT GENERAL DE COTISATIONS </t>
  </si>
  <si>
    <t>S1</t>
  </si>
  <si>
    <t xml:space="preserve">SMIC = </t>
  </si>
  <si>
    <t>(151,67+19)*10,57</t>
  </si>
  <si>
    <t>HEURES SUPPLEMENTAIRES</t>
  </si>
  <si>
    <t>Semaine 3</t>
  </si>
  <si>
    <t>Semaine 4</t>
  </si>
  <si>
    <t>DUREE</t>
  </si>
  <si>
    <t>HSUP</t>
  </si>
  <si>
    <t>HS 125%</t>
  </si>
  <si>
    <t>HS 150%</t>
  </si>
  <si>
    <t>TOTAUX</t>
  </si>
  <si>
    <t>HEURES COMPLEMENTAIRES</t>
  </si>
  <si>
    <t>104+11,3</t>
  </si>
  <si>
    <t>1603,12*115,30/151,67</t>
  </si>
  <si>
    <t>SMIC =</t>
  </si>
  <si>
    <t>1603,12*104/151,67</t>
  </si>
  <si>
    <t>HCOMPL</t>
  </si>
  <si>
    <t>HC 125%</t>
  </si>
  <si>
    <t>HC 110%</t>
  </si>
  <si>
    <t>Indemnités dimanches</t>
  </si>
  <si>
    <t>Prime de rendement</t>
  </si>
  <si>
    <t xml:space="preserve">Part salarié </t>
  </si>
  <si>
    <t>Part employeur</t>
  </si>
  <si>
    <t>TOTAL DES COTISATIONS ET CONTRIBUTIONS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</si>
  <si>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</si>
  <si>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</si>
  <si>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</si>
  <si>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</si>
  <si>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</si>
  <si>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</si>
  <si>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</si>
  <si>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Complémentaires santé</t>
  </si>
  <si>
    <t>Exonération, écrètement et allègements</t>
  </si>
  <si>
    <t>Taux salarial</t>
  </si>
  <si>
    <t>Part salarié</t>
  </si>
  <si>
    <t>Déplacement</t>
  </si>
  <si>
    <t>Formation</t>
  </si>
  <si>
    <t>SMIC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</si>
</sst>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00%"/>
    <numFmt numFmtId="166" formatCode="#,##0.00\ &quot;€&quot;"/>
    <numFmt numFmtId="167" formatCode="_-* #,##0.00\ [$€-40C]_-;\-* #,##0.00\ [$€-40C]_-;_-* &quot;-&quot;??\ [$€-40C]_-;_-@_-"/>
    <numFmt numFmtId="168" formatCode="0.00000%"/>
    <numFmt numFmtId="169" formatCode="#,##0.00\ [$€-40C];[Red]\-#,##0.00\ [$€-40C]"/>
    <numFmt numFmtId="170" formatCode="0.0000%"/>
    <numFmt numFmtId="171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rebuchet MS"/>
      <family val="2"/>
    </font>
    <font>
      <sz val="10"/>
      <name val="Arial"/>
      <family val="2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rebuchet MS"/>
      <family val="2"/>
    </font>
    <font>
      <b/>
      <sz val="14"/>
      <color rgb="FFFF0000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1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8"/>
      <color rgb="FFFF0000"/>
      <name val="Times New Roman"/>
      <family val="1"/>
    </font>
    <font>
      <b/>
      <sz val="11"/>
      <name val="Calibri"/>
      <family val="2"/>
      <scheme val="minor"/>
    </font>
    <font>
      <b/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425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8" fillId="10" borderId="5" xfId="0" applyNumberFormat="1" applyFont="1" applyFill="1" applyBorder="1" applyAlignment="1">
      <alignment vertical="center"/>
    </xf>
    <xf numFmtId="164" fontId="2" fillId="11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4" borderId="3" xfId="0" applyNumberFormat="1" applyFont="1" applyFill="1" applyBorder="1" applyAlignment="1">
      <alignment horizontal="center" vertical="center" wrapText="1"/>
    </xf>
    <xf numFmtId="167" fontId="0" fillId="9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7" fontId="0" fillId="9" borderId="5" xfId="0" applyNumberFormat="1" applyFill="1" applyBorder="1" applyAlignment="1">
      <alignment horizontal="center" vertical="center"/>
    </xf>
    <xf numFmtId="167" fontId="0" fillId="4" borderId="6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8" fontId="2" fillId="4" borderId="5" xfId="0" applyNumberFormat="1" applyFont="1" applyFill="1" applyBorder="1" applyAlignment="1">
      <alignment vertical="center"/>
    </xf>
    <xf numFmtId="44" fontId="2" fillId="4" borderId="5" xfId="0" applyNumberFormat="1" applyFont="1" applyFill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9" fontId="0" fillId="0" borderId="6" xfId="0" applyNumberForma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44" fontId="12" fillId="0" borderId="3" xfId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3" fontId="12" fillId="0" borderId="6" xfId="3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4" fontId="18" fillId="4" borderId="23" xfId="1" applyFont="1" applyFill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44" fontId="17" fillId="0" borderId="17" xfId="1" applyFont="1" applyBorder="1" applyAlignment="1">
      <alignment vertical="center"/>
    </xf>
    <xf numFmtId="10" fontId="12" fillId="0" borderId="16" xfId="0" applyNumberFormat="1" applyFont="1" applyBorder="1" applyAlignment="1">
      <alignment vertical="center"/>
    </xf>
    <xf numFmtId="44" fontId="17" fillId="0" borderId="16" xfId="0" applyNumberFormat="1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8" fontId="12" fillId="0" borderId="16" xfId="0" applyNumberFormat="1" applyFont="1" applyBorder="1" applyAlignment="1">
      <alignment vertical="center"/>
    </xf>
    <xf numFmtId="43" fontId="17" fillId="0" borderId="16" xfId="0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4" fontId="14" fillId="4" borderId="23" xfId="1" applyFont="1" applyFill="1" applyBorder="1" applyAlignment="1">
      <alignment vertical="center"/>
    </xf>
    <xf numFmtId="168" fontId="12" fillId="0" borderId="22" xfId="0" applyNumberFormat="1" applyFont="1" applyBorder="1" applyAlignment="1">
      <alignment vertical="center"/>
    </xf>
    <xf numFmtId="44" fontId="12" fillId="0" borderId="22" xfId="0" applyNumberFormat="1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8" fontId="20" fillId="2" borderId="16" xfId="0" applyNumberFormat="1" applyFont="1" applyFill="1" applyBorder="1" applyAlignment="1">
      <alignment horizontal="right" vertical="center" wrapText="1" readingOrder="1"/>
    </xf>
    <xf numFmtId="10" fontId="20" fillId="2" borderId="16" xfId="0" applyNumberFormat="1" applyFont="1" applyFill="1" applyBorder="1" applyAlignment="1">
      <alignment horizontal="right" vertical="center" wrapText="1" readingOrder="1"/>
    </xf>
    <xf numFmtId="167" fontId="20" fillId="2" borderId="16" xfId="0" applyNumberFormat="1" applyFont="1" applyFill="1" applyBorder="1" applyAlignment="1">
      <alignment horizontal="right" vertical="center" wrapText="1" readingOrder="1"/>
    </xf>
    <xf numFmtId="0" fontId="21" fillId="2" borderId="15" xfId="0" applyFont="1" applyFill="1" applyBorder="1" applyAlignment="1">
      <alignment horizontal="left" vertical="center" wrapText="1" readingOrder="1"/>
    </xf>
    <xf numFmtId="44" fontId="12" fillId="0" borderId="17" xfId="0" applyNumberFormat="1" applyFont="1" applyBorder="1" applyAlignment="1">
      <alignment vertical="center"/>
    </xf>
    <xf numFmtId="44" fontId="12" fillId="0" borderId="16" xfId="0" applyNumberFormat="1" applyFont="1" applyBorder="1" applyAlignment="1">
      <alignment vertical="center"/>
    </xf>
    <xf numFmtId="44" fontId="12" fillId="0" borderId="14" xfId="0" applyNumberFormat="1" applyFont="1" applyBorder="1" applyAlignment="1">
      <alignment vertical="center"/>
    </xf>
    <xf numFmtId="10" fontId="12" fillId="0" borderId="13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44" fontId="14" fillId="4" borderId="11" xfId="0" applyNumberFormat="1" applyFont="1" applyFill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67" fontId="12" fillId="0" borderId="9" xfId="0" applyNumberFormat="1" applyFont="1" applyBorder="1" applyAlignment="1">
      <alignment vertical="center"/>
    </xf>
    <xf numFmtId="10" fontId="12" fillId="0" borderId="8" xfId="0" applyNumberFormat="1" applyFont="1" applyBorder="1" applyAlignment="1">
      <alignment vertical="center"/>
    </xf>
    <xf numFmtId="167" fontId="12" fillId="0" borderId="8" xfId="0" applyNumberFormat="1" applyFont="1" applyBorder="1" applyAlignment="1">
      <alignment vertical="center"/>
    </xf>
    <xf numFmtId="167" fontId="12" fillId="0" borderId="6" xfId="0" applyNumberFormat="1" applyFont="1" applyBorder="1" applyAlignment="1">
      <alignment vertical="center"/>
    </xf>
    <xf numFmtId="10" fontId="12" fillId="0" borderId="5" xfId="0" applyNumberFormat="1" applyFont="1" applyBorder="1" applyAlignment="1">
      <alignment vertical="center"/>
    </xf>
    <xf numFmtId="167" fontId="12" fillId="0" borderId="5" xfId="0" applyNumberFormat="1" applyFont="1" applyBorder="1" applyAlignment="1">
      <alignment vertical="center"/>
    </xf>
    <xf numFmtId="44" fontId="22" fillId="2" borderId="6" xfId="1" applyFont="1" applyFill="1" applyBorder="1" applyAlignment="1">
      <alignment horizontal="right" vertical="center"/>
    </xf>
    <xf numFmtId="170" fontId="5" fillId="2" borderId="5" xfId="2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8" fontId="22" fillId="2" borderId="3" xfId="0" applyNumberFormat="1" applyFont="1" applyFill="1" applyBorder="1" applyAlignment="1">
      <alignment horizontal="right" vertical="center"/>
    </xf>
    <xf numFmtId="170" fontId="5" fillId="2" borderId="2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24" fillId="0" borderId="22" xfId="4" applyFont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 readingOrder="1"/>
    </xf>
    <xf numFmtId="0" fontId="14" fillId="2" borderId="15" xfId="0" applyFont="1" applyFill="1" applyBorder="1" applyAlignment="1">
      <alignment horizontal="left" vertical="center" wrapText="1" readingOrder="1"/>
    </xf>
    <xf numFmtId="0" fontId="21" fillId="3" borderId="35" xfId="0" applyFont="1" applyFill="1" applyBorder="1" applyAlignment="1">
      <alignment horizontal="right" vertical="center" wrapText="1" readingOrder="1"/>
    </xf>
    <xf numFmtId="0" fontId="21" fillId="3" borderId="36" xfId="0" applyFont="1" applyFill="1" applyBorder="1" applyAlignment="1">
      <alignment horizontal="center" vertical="center" wrapText="1" readingOrder="1"/>
    </xf>
    <xf numFmtId="0" fontId="21" fillId="3" borderId="31" xfId="0" applyFont="1" applyFill="1" applyBorder="1" applyAlignment="1">
      <alignment horizontal="right" vertical="center" wrapText="1" readingOrder="1"/>
    </xf>
    <xf numFmtId="0" fontId="21" fillId="3" borderId="33" xfId="0" applyFont="1" applyFill="1" applyBorder="1" applyAlignment="1">
      <alignment horizontal="center" vertical="center" wrapText="1" readingOrder="1"/>
    </xf>
    <xf numFmtId="44" fontId="16" fillId="4" borderId="34" xfId="1" applyFont="1" applyFill="1" applyBorder="1" applyAlignment="1">
      <alignment horizontal="right" vertical="center" wrapText="1"/>
    </xf>
    <xf numFmtId="44" fontId="21" fillId="4" borderId="32" xfId="1" applyFont="1" applyFill="1" applyBorder="1" applyAlignment="1">
      <alignment horizontal="right" vertical="center" wrapText="1" readingOrder="1"/>
    </xf>
    <xf numFmtId="44" fontId="21" fillId="4" borderId="16" xfId="1" applyFont="1" applyFill="1" applyBorder="1" applyAlignment="1">
      <alignment horizontal="right" vertical="center" wrapText="1" readingOrder="1"/>
    </xf>
    <xf numFmtId="0" fontId="21" fillId="4" borderId="16" xfId="0" applyFont="1" applyFill="1" applyBorder="1" applyAlignment="1">
      <alignment horizontal="center" vertical="center" wrapText="1" readingOrder="1"/>
    </xf>
    <xf numFmtId="44" fontId="20" fillId="4" borderId="16" xfId="1" applyFont="1" applyFill="1" applyBorder="1" applyAlignment="1">
      <alignment horizontal="right" vertical="center" wrapText="1" readingOrder="1"/>
    </xf>
    <xf numFmtId="44" fontId="15" fillId="2" borderId="39" xfId="1" applyFont="1" applyFill="1" applyBorder="1" applyAlignment="1">
      <alignment horizontal="right" vertical="center" wrapText="1"/>
    </xf>
    <xf numFmtId="44" fontId="21" fillId="2" borderId="32" xfId="1" applyFont="1" applyFill="1" applyBorder="1" applyAlignment="1">
      <alignment horizontal="right" vertical="center" wrapText="1" readingOrder="1"/>
    </xf>
    <xf numFmtId="44" fontId="21" fillId="2" borderId="16" xfId="1" applyFont="1" applyFill="1" applyBorder="1" applyAlignment="1">
      <alignment horizontal="right" vertical="center" wrapText="1" readingOrder="1"/>
    </xf>
    <xf numFmtId="0" fontId="21" fillId="2" borderId="16" xfId="0" applyFont="1" applyFill="1" applyBorder="1" applyAlignment="1">
      <alignment horizontal="center" vertical="center" wrapText="1" readingOrder="1"/>
    </xf>
    <xf numFmtId="44" fontId="20" fillId="2" borderId="16" xfId="1" applyFont="1" applyFill="1" applyBorder="1" applyAlignment="1">
      <alignment horizontal="right" vertical="center" wrapText="1" readingOrder="1"/>
    </xf>
    <xf numFmtId="44" fontId="16" fillId="2" borderId="23" xfId="1" applyFont="1" applyFill="1" applyBorder="1" applyAlignment="1">
      <alignment horizontal="right" vertical="center" wrapText="1"/>
    </xf>
    <xf numFmtId="44" fontId="21" fillId="2" borderId="30" xfId="1" applyFont="1" applyFill="1" applyBorder="1" applyAlignment="1">
      <alignment horizontal="right" vertical="center" wrapText="1" readingOrder="1"/>
    </xf>
    <xf numFmtId="44" fontId="16" fillId="2" borderId="17" xfId="1" applyFont="1" applyFill="1" applyBorder="1" applyAlignment="1">
      <alignment horizontal="right" vertical="center" wrapText="1"/>
    </xf>
    <xf numFmtId="44" fontId="20" fillId="2" borderId="32" xfId="1" applyFont="1" applyFill="1" applyBorder="1" applyAlignment="1">
      <alignment horizontal="right" vertical="center" wrapText="1" readingOrder="1"/>
    </xf>
    <xf numFmtId="165" fontId="20" fillId="2" borderId="32" xfId="1" applyNumberFormat="1" applyFont="1" applyFill="1" applyBorder="1" applyAlignment="1">
      <alignment horizontal="right" vertical="center" wrapText="1" readingOrder="1"/>
    </xf>
    <xf numFmtId="10" fontId="20" fillId="2" borderId="16" xfId="0" applyNumberFormat="1" applyFont="1" applyFill="1" applyBorder="1" applyAlignment="1">
      <alignment horizontal="center" vertical="center" wrapText="1" readingOrder="1"/>
    </xf>
    <xf numFmtId="0" fontId="25" fillId="2" borderId="15" xfId="0" applyFont="1" applyFill="1" applyBorder="1" applyAlignment="1">
      <alignment horizontal="left" vertical="center" wrapText="1" readingOrder="1"/>
    </xf>
    <xf numFmtId="44" fontId="16" fillId="2" borderId="16" xfId="1" applyFont="1" applyFill="1" applyBorder="1" applyAlignment="1">
      <alignment horizontal="right" vertical="center" wrapText="1"/>
    </xf>
    <xf numFmtId="0" fontId="20" fillId="2" borderId="16" xfId="0" applyFont="1" applyFill="1" applyBorder="1" applyAlignment="1">
      <alignment horizontal="center" vertical="center" wrapText="1" readingOrder="1"/>
    </xf>
    <xf numFmtId="0" fontId="21" fillId="5" borderId="17" xfId="0" applyFont="1" applyFill="1" applyBorder="1" applyAlignment="1">
      <alignment horizontal="center" vertical="center" wrapText="1" readingOrder="1"/>
    </xf>
    <xf numFmtId="0" fontId="21" fillId="5" borderId="36" xfId="0" applyFont="1" applyFill="1" applyBorder="1" applyAlignment="1">
      <alignment horizontal="center" vertical="center" wrapText="1" readingOrder="1"/>
    </xf>
    <xf numFmtId="0" fontId="21" fillId="5" borderId="37" xfId="0" applyFont="1" applyFill="1" applyBorder="1" applyAlignment="1">
      <alignment horizontal="left" vertical="center" wrapText="1" readingOrder="1"/>
    </xf>
    <xf numFmtId="44" fontId="20" fillId="2" borderId="14" xfId="0" applyNumberFormat="1" applyFont="1" applyFill="1" applyBorder="1" applyAlignment="1">
      <alignment horizontal="left" vertical="center" wrapText="1" readingOrder="1"/>
    </xf>
    <xf numFmtId="0" fontId="20" fillId="2" borderId="40" xfId="0" applyFont="1" applyFill="1" applyBorder="1" applyAlignment="1">
      <alignment horizontal="left" vertical="center" wrapText="1" readingOrder="1"/>
    </xf>
    <xf numFmtId="0" fontId="20" fillId="2" borderId="36" xfId="0" applyFont="1" applyFill="1" applyBorder="1" applyAlignment="1">
      <alignment horizontal="left" vertical="center" wrapText="1" readingOrder="1"/>
    </xf>
    <xf numFmtId="0" fontId="20" fillId="2" borderId="13" xfId="0" applyFont="1" applyFill="1" applyBorder="1" applyAlignment="1">
      <alignment horizontal="left" vertical="center" wrapText="1" readingOrder="1"/>
    </xf>
    <xf numFmtId="0" fontId="16" fillId="2" borderId="13" xfId="0" applyFont="1" applyFill="1" applyBorder="1" applyAlignment="1">
      <alignment horizontal="right" vertical="center" wrapText="1"/>
    </xf>
    <xf numFmtId="0" fontId="12" fillId="0" borderId="41" xfId="0" applyFont="1" applyBorder="1" applyAlignment="1">
      <alignment vertical="center"/>
    </xf>
    <xf numFmtId="44" fontId="12" fillId="8" borderId="42" xfId="1" applyFont="1" applyFill="1" applyBorder="1" applyAlignment="1">
      <alignment vertical="center"/>
    </xf>
    <xf numFmtId="9" fontId="17" fillId="8" borderId="0" xfId="0" applyNumberFormat="1" applyFont="1" applyFill="1" applyAlignment="1">
      <alignment vertical="center"/>
    </xf>
    <xf numFmtId="44" fontId="12" fillId="4" borderId="43" xfId="1" applyFont="1" applyFill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21" fillId="2" borderId="21" xfId="0" applyFont="1" applyFill="1" applyBorder="1" applyAlignment="1">
      <alignment horizontal="left" vertical="center" wrapText="1" readingOrder="1"/>
    </xf>
    <xf numFmtId="44" fontId="17" fillId="0" borderId="30" xfId="1" applyFont="1" applyBorder="1" applyAlignment="1">
      <alignment vertical="center"/>
    </xf>
    <xf numFmtId="10" fontId="17" fillId="0" borderId="16" xfId="3" applyNumberFormat="1" applyFont="1" applyBorder="1" applyAlignment="1">
      <alignment vertical="center"/>
    </xf>
    <xf numFmtId="44" fontId="17" fillId="0" borderId="19" xfId="1" applyFont="1" applyBorder="1" applyAlignment="1">
      <alignment vertical="center"/>
    </xf>
    <xf numFmtId="9" fontId="17" fillId="0" borderId="16" xfId="0" quotePrefix="1" applyNumberFormat="1" applyFont="1" applyBorder="1" applyAlignment="1">
      <alignment horizontal="center" vertical="center"/>
    </xf>
    <xf numFmtId="44" fontId="17" fillId="0" borderId="15" xfId="1" applyFont="1" applyBorder="1" applyAlignment="1">
      <alignment vertical="center"/>
    </xf>
    <xf numFmtId="9" fontId="17" fillId="0" borderId="16" xfId="0" applyNumberFormat="1" applyFont="1" applyBorder="1" applyAlignment="1">
      <alignment vertical="center"/>
    </xf>
    <xf numFmtId="44" fontId="12" fillId="8" borderId="44" xfId="1" applyFont="1" applyFill="1" applyBorder="1" applyAlignment="1">
      <alignment vertical="center"/>
    </xf>
    <xf numFmtId="9" fontId="17" fillId="8" borderId="8" xfId="0" applyNumberFormat="1" applyFont="1" applyFill="1" applyBorder="1" applyAlignment="1">
      <alignment vertical="center"/>
    </xf>
    <xf numFmtId="44" fontId="17" fillId="0" borderId="45" xfId="1" applyFont="1" applyBorder="1" applyAlignment="1">
      <alignment vertical="center"/>
    </xf>
    <xf numFmtId="9" fontId="17" fillId="0" borderId="19" xfId="0" applyNumberFormat="1" applyFont="1" applyBorder="1" applyAlignment="1">
      <alignment vertical="center"/>
    </xf>
    <xf numFmtId="44" fontId="16" fillId="2" borderId="33" xfId="1" applyFont="1" applyFill="1" applyBorder="1" applyAlignment="1">
      <alignment horizontal="right" vertical="center" wrapText="1"/>
    </xf>
    <xf numFmtId="167" fontId="12" fillId="8" borderId="46" xfId="0" applyNumberFormat="1" applyFont="1" applyFill="1" applyBorder="1" applyAlignment="1">
      <alignment vertical="center"/>
    </xf>
    <xf numFmtId="167" fontId="12" fillId="8" borderId="45" xfId="0" applyNumberFormat="1" applyFont="1" applyFill="1" applyBorder="1" applyAlignment="1">
      <alignment vertical="center"/>
    </xf>
    <xf numFmtId="44" fontId="12" fillId="0" borderId="45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7" fontId="12" fillId="8" borderId="6" xfId="0" applyNumberFormat="1" applyFont="1" applyFill="1" applyBorder="1" applyAlignment="1">
      <alignment vertical="center"/>
    </xf>
    <xf numFmtId="167" fontId="12" fillId="8" borderId="47" xfId="0" applyNumberFormat="1" applyFont="1" applyFill="1" applyBorder="1" applyAlignment="1">
      <alignment vertical="center"/>
    </xf>
    <xf numFmtId="44" fontId="26" fillId="4" borderId="5" xfId="1" applyFont="1" applyFill="1" applyBorder="1" applyAlignment="1">
      <alignment vertical="center"/>
    </xf>
    <xf numFmtId="9" fontId="26" fillId="4" borderId="5" xfId="0" applyNumberFormat="1" applyFont="1" applyFill="1" applyBorder="1" applyAlignment="1">
      <alignment vertical="center"/>
    </xf>
    <xf numFmtId="44" fontId="26" fillId="4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44" fontId="12" fillId="0" borderId="5" xfId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8" borderId="6" xfId="0" applyFont="1" applyFill="1" applyBorder="1" applyAlignment="1">
      <alignment vertical="center"/>
    </xf>
    <xf numFmtId="0" fontId="12" fillId="8" borderId="47" xfId="0" applyFont="1" applyFill="1" applyBorder="1" applyAlignment="1">
      <alignment vertical="center"/>
    </xf>
    <xf numFmtId="44" fontId="26" fillId="4" borderId="5" xfId="0" applyNumberFormat="1" applyFont="1" applyFill="1" applyBorder="1" applyAlignment="1">
      <alignment vertical="center"/>
    </xf>
    <xf numFmtId="10" fontId="12" fillId="0" borderId="9" xfId="0" applyNumberFormat="1" applyFont="1" applyBorder="1" applyAlignment="1">
      <alignment vertical="center"/>
    </xf>
    <xf numFmtId="44" fontId="12" fillId="8" borderId="6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9" fontId="12" fillId="0" borderId="6" xfId="0" applyNumberFormat="1" applyFont="1" applyBorder="1" applyAlignment="1">
      <alignment vertical="center"/>
    </xf>
    <xf numFmtId="44" fontId="12" fillId="8" borderId="48" xfId="1" applyFont="1" applyFill="1" applyBorder="1" applyAlignment="1">
      <alignment vertical="center"/>
    </xf>
    <xf numFmtId="0" fontId="12" fillId="8" borderId="49" xfId="0" applyFont="1" applyFill="1" applyBorder="1" applyAlignment="1">
      <alignment vertical="center"/>
    </xf>
    <xf numFmtId="44" fontId="12" fillId="0" borderId="50" xfId="1" applyFont="1" applyBorder="1" applyAlignment="1">
      <alignment vertical="center"/>
    </xf>
    <xf numFmtId="166" fontId="12" fillId="0" borderId="50" xfId="0" applyNumberFormat="1" applyFont="1" applyBorder="1" applyAlignment="1">
      <alignment horizontal="right" vertical="center"/>
    </xf>
    <xf numFmtId="2" fontId="12" fillId="0" borderId="50" xfId="0" applyNumberFormat="1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44" fontId="26" fillId="4" borderId="50" xfId="1" applyFont="1" applyFill="1" applyBorder="1" applyAlignment="1">
      <alignment vertical="center"/>
    </xf>
    <xf numFmtId="166" fontId="26" fillId="4" borderId="50" xfId="0" applyNumberFormat="1" applyFont="1" applyFill="1" applyBorder="1" applyAlignment="1">
      <alignment horizontal="right" vertical="center"/>
    </xf>
    <xf numFmtId="2" fontId="26" fillId="4" borderId="50" xfId="0" applyNumberFormat="1" applyFont="1" applyFill="1" applyBorder="1" applyAlignment="1">
      <alignment vertical="center"/>
    </xf>
    <xf numFmtId="10" fontId="6" fillId="0" borderId="0" xfId="4" applyNumberFormat="1"/>
    <xf numFmtId="0" fontId="19" fillId="0" borderId="4" xfId="0" applyFont="1" applyBorder="1" applyAlignment="1">
      <alignment vertical="center"/>
    </xf>
    <xf numFmtId="44" fontId="12" fillId="8" borderId="3" xfId="1" applyFont="1" applyFill="1" applyBorder="1" applyAlignment="1">
      <alignment vertical="center"/>
    </xf>
    <xf numFmtId="0" fontId="12" fillId="8" borderId="52" xfId="0" applyFont="1" applyFill="1" applyBorder="1" applyAlignment="1">
      <alignment vertical="center"/>
    </xf>
    <xf numFmtId="166" fontId="12" fillId="0" borderId="2" xfId="0" applyNumberFormat="1" applyFont="1" applyBorder="1" applyAlignment="1">
      <alignment horizontal="right" vertical="center"/>
    </xf>
    <xf numFmtId="2" fontId="12" fillId="0" borderId="2" xfId="0" applyNumberFormat="1" applyFont="1" applyBorder="1" applyAlignment="1">
      <alignment vertical="center"/>
    </xf>
    <xf numFmtId="0" fontId="12" fillId="8" borderId="0" xfId="0" applyFont="1" applyFill="1" applyAlignment="1">
      <alignment vertical="center"/>
    </xf>
    <xf numFmtId="0" fontId="13" fillId="0" borderId="5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8" fillId="0" borderId="18" xfId="4" applyFont="1" applyBorder="1" applyAlignment="1">
      <alignment horizontal="center" vertical="center"/>
    </xf>
    <xf numFmtId="44" fontId="17" fillId="0" borderId="6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2" fillId="5" borderId="11" xfId="0" applyFont="1" applyFill="1" applyBorder="1" applyAlignment="1">
      <alignment horizontal="centerContinuous" vertical="center"/>
    </xf>
    <xf numFmtId="0" fontId="12" fillId="5" borderId="24" xfId="0" applyFont="1" applyFill="1" applyBorder="1" applyAlignment="1">
      <alignment horizontal="centerContinuous" vertical="center"/>
    </xf>
    <xf numFmtId="0" fontId="29" fillId="5" borderId="10" xfId="4" applyFont="1" applyFill="1" applyBorder="1" applyAlignment="1">
      <alignment horizontal="centerContinuous" vertical="center"/>
    </xf>
    <xf numFmtId="44" fontId="17" fillId="0" borderId="6" xfId="1" applyFont="1" applyFill="1" applyBorder="1" applyAlignment="1">
      <alignment vertical="center"/>
    </xf>
    <xf numFmtId="0" fontId="28" fillId="6" borderId="24" xfId="4" applyFont="1" applyFill="1" applyBorder="1" applyAlignment="1">
      <alignment horizontal="center" vertical="center"/>
    </xf>
    <xf numFmtId="0" fontId="28" fillId="6" borderId="10" xfId="4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14" fontId="6" fillId="0" borderId="4" xfId="4" applyNumberFormat="1" applyBorder="1" applyAlignment="1">
      <alignment vertical="center"/>
    </xf>
    <xf numFmtId="8" fontId="12" fillId="0" borderId="6" xfId="0" applyNumberFormat="1" applyFont="1" applyBorder="1" applyAlignment="1">
      <alignment vertical="center"/>
    </xf>
    <xf numFmtId="10" fontId="16" fillId="0" borderId="6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1" fontId="12" fillId="0" borderId="6" xfId="2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28" fillId="0" borderId="1" xfId="4" applyFont="1" applyBorder="1" applyAlignment="1">
      <alignment vertical="center"/>
    </xf>
    <xf numFmtId="0" fontId="30" fillId="4" borderId="0" xfId="0" applyFont="1" applyFill="1" applyAlignment="1">
      <alignment horizontal="center" vertical="center"/>
    </xf>
    <xf numFmtId="0" fontId="12" fillId="5" borderId="55" xfId="0" applyFont="1" applyFill="1" applyBorder="1" applyAlignment="1">
      <alignment horizontal="centerContinuous" vertical="center"/>
    </xf>
    <xf numFmtId="0" fontId="12" fillId="5" borderId="56" xfId="0" applyFont="1" applyFill="1" applyBorder="1" applyAlignment="1">
      <alignment horizontal="centerContinuous" vertical="center"/>
    </xf>
    <xf numFmtId="0" fontId="29" fillId="5" borderId="57" xfId="4" applyFont="1" applyFill="1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8" fontId="0" fillId="0" borderId="5" xfId="0" applyNumberFormat="1" applyBorder="1" applyAlignment="1">
      <alignment vertical="center"/>
    </xf>
    <xf numFmtId="2" fontId="31" fillId="4" borderId="5" xfId="0" applyNumberFormat="1" applyFont="1" applyFill="1" applyBorder="1" applyAlignment="1">
      <alignment horizontal="center" vertical="center"/>
    </xf>
    <xf numFmtId="2" fontId="31" fillId="4" borderId="5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8" fontId="17" fillId="0" borderId="14" xfId="1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3" fontId="0" fillId="9" borderId="5" xfId="3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4" fontId="21" fillId="2" borderId="16" xfId="1" applyFont="1" applyFill="1" applyBorder="1" applyAlignment="1">
      <alignment horizontal="center" vertical="center" wrapText="1" readingOrder="1"/>
    </xf>
    <xf numFmtId="44" fontId="21" fillId="4" borderId="16" xfId="1" applyFont="1" applyFill="1" applyBorder="1" applyAlignment="1">
      <alignment horizontal="center" vertical="center" wrapText="1" readingOrder="1"/>
    </xf>
    <xf numFmtId="44" fontId="16" fillId="4" borderId="17" xfId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4" fontId="15" fillId="4" borderId="17" xfId="1" applyFont="1" applyFill="1" applyBorder="1" applyAlignment="1">
      <alignment horizontal="center" vertical="center" wrapText="1"/>
    </xf>
    <xf numFmtId="44" fontId="16" fillId="4" borderId="17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 readingOrder="1"/>
    </xf>
    <xf numFmtId="0" fontId="21" fillId="2" borderId="17" xfId="0" applyFont="1" applyFill="1" applyBorder="1" applyAlignment="1">
      <alignment horizontal="center"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2" fillId="0" borderId="16" xfId="0" applyFont="1" applyBorder="1" applyAlignment="1">
      <alignment horizontal="center" vertical="center" wrapText="1" readingOrder="1"/>
    </xf>
    <xf numFmtId="0" fontId="24" fillId="0" borderId="21" xfId="4" applyFont="1" applyBorder="1" applyAlignment="1">
      <alignment horizontal="center" vertical="center"/>
    </xf>
    <xf numFmtId="44" fontId="15" fillId="2" borderId="23" xfId="0" applyNumberFormat="1" applyFont="1" applyFill="1" applyBorder="1" applyAlignment="1">
      <alignment horizontal="center" vertical="center" wrapText="1"/>
    </xf>
    <xf numFmtId="44" fontId="21" fillId="3" borderId="16" xfId="1" applyFont="1" applyFill="1" applyBorder="1" applyAlignment="1">
      <alignment horizontal="center" vertical="center" wrapText="1" readingOrder="1"/>
    </xf>
    <xf numFmtId="0" fontId="21" fillId="3" borderId="16" xfId="0" applyFont="1" applyFill="1" applyBorder="1" applyAlignment="1">
      <alignment horizontal="center" vertical="center" readingOrder="1"/>
    </xf>
    <xf numFmtId="0" fontId="13" fillId="0" borderId="59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21" fillId="9" borderId="15" xfId="0" applyFont="1" applyFill="1" applyBorder="1" applyAlignment="1">
      <alignment horizontal="left" vertical="center" wrapText="1" readingOrder="1"/>
    </xf>
    <xf numFmtId="0" fontId="16" fillId="9" borderId="16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 readingOrder="1"/>
    </xf>
    <xf numFmtId="0" fontId="21" fillId="9" borderId="32" xfId="0" applyFont="1" applyFill="1" applyBorder="1" applyAlignment="1">
      <alignment horizontal="center" vertical="center" wrapText="1" readingOrder="1"/>
    </xf>
    <xf numFmtId="0" fontId="21" fillId="9" borderId="17" xfId="0" applyFont="1" applyFill="1" applyBorder="1" applyAlignment="1">
      <alignment horizontal="center" vertical="center" wrapText="1" readingOrder="1"/>
    </xf>
    <xf numFmtId="0" fontId="20" fillId="9" borderId="15" xfId="0" applyFont="1" applyFill="1" applyBorder="1" applyAlignment="1">
      <alignment horizontal="left" vertical="center" wrapText="1" readingOrder="1"/>
    </xf>
    <xf numFmtId="44" fontId="16" fillId="9" borderId="16" xfId="1" applyFont="1" applyFill="1" applyBorder="1" applyAlignment="1">
      <alignment horizontal="right" vertical="center" wrapText="1"/>
    </xf>
    <xf numFmtId="0" fontId="16" fillId="9" borderId="16" xfId="0" applyFont="1" applyFill="1" applyBorder="1" applyAlignment="1">
      <alignment vertical="center" wrapText="1"/>
    </xf>
    <xf numFmtId="44" fontId="16" fillId="9" borderId="16" xfId="1" applyFont="1" applyFill="1" applyBorder="1" applyAlignment="1">
      <alignment vertical="center" wrapText="1"/>
    </xf>
    <xf numFmtId="10" fontId="17" fillId="9" borderId="6" xfId="0" applyNumberFormat="1" applyFont="1" applyFill="1" applyBorder="1" applyAlignment="1">
      <alignment vertical="center"/>
    </xf>
    <xf numFmtId="44" fontId="16" fillId="9" borderId="17" xfId="1" applyFont="1" applyFill="1" applyBorder="1" applyAlignment="1">
      <alignment horizontal="right" vertical="center" wrapText="1"/>
    </xf>
    <xf numFmtId="0" fontId="12" fillId="9" borderId="0" xfId="0" applyFont="1" applyFill="1" applyAlignment="1">
      <alignment vertical="center"/>
    </xf>
    <xf numFmtId="10" fontId="20" fillId="9" borderId="16" xfId="0" applyNumberFormat="1" applyFont="1" applyFill="1" applyBorder="1" applyAlignment="1">
      <alignment horizontal="center" vertical="center" wrapText="1" readingOrder="1"/>
    </xf>
    <xf numFmtId="44" fontId="20" fillId="9" borderId="16" xfId="1" applyFont="1" applyFill="1" applyBorder="1" applyAlignment="1">
      <alignment horizontal="right" vertical="center" wrapText="1" readingOrder="1"/>
    </xf>
    <xf numFmtId="165" fontId="20" fillId="9" borderId="32" xfId="1" applyNumberFormat="1" applyFont="1" applyFill="1" applyBorder="1" applyAlignment="1">
      <alignment horizontal="right" vertical="center" wrapText="1" readingOrder="1"/>
    </xf>
    <xf numFmtId="165" fontId="20" fillId="9" borderId="16" xfId="0" applyNumberFormat="1" applyFont="1" applyFill="1" applyBorder="1" applyAlignment="1">
      <alignment horizontal="right" vertical="center" wrapText="1" readingOrder="1"/>
    </xf>
    <xf numFmtId="0" fontId="20" fillId="9" borderId="16" xfId="0" applyFont="1" applyFill="1" applyBorder="1" applyAlignment="1">
      <alignment horizontal="center" vertical="center" wrapText="1" readingOrder="1"/>
    </xf>
    <xf numFmtId="165" fontId="16" fillId="9" borderId="32" xfId="1" applyNumberFormat="1" applyFont="1" applyFill="1" applyBorder="1" applyAlignment="1">
      <alignment horizontal="right" vertical="center" wrapText="1"/>
    </xf>
    <xf numFmtId="165" fontId="20" fillId="9" borderId="16" xfId="0" applyNumberFormat="1" applyFont="1" applyFill="1" applyBorder="1" applyAlignment="1">
      <alignment horizontal="center" vertical="center" wrapText="1" readingOrder="1"/>
    </xf>
    <xf numFmtId="8" fontId="16" fillId="9" borderId="17" xfId="1" applyNumberFormat="1" applyFont="1" applyFill="1" applyBorder="1" applyAlignment="1">
      <alignment horizontal="right" vertical="center" wrapText="1"/>
    </xf>
    <xf numFmtId="0" fontId="25" fillId="9" borderId="15" xfId="0" applyFont="1" applyFill="1" applyBorder="1" applyAlignment="1">
      <alignment horizontal="left" vertical="center" wrapText="1" readingOrder="1"/>
    </xf>
    <xf numFmtId="44" fontId="21" fillId="2" borderId="31" xfId="1" applyFont="1" applyFill="1" applyBorder="1" applyAlignment="1">
      <alignment horizontal="right" vertical="center" wrapText="1" readingOrder="1"/>
    </xf>
    <xf numFmtId="0" fontId="32" fillId="0" borderId="21" xfId="4" applyFont="1" applyBorder="1" applyAlignment="1">
      <alignment horizontal="center" vertical="center"/>
    </xf>
    <xf numFmtId="10" fontId="6" fillId="0" borderId="6" xfId="4" applyNumberFormat="1" applyBorder="1"/>
    <xf numFmtId="44" fontId="16" fillId="4" borderId="50" xfId="1" applyFont="1" applyFill="1" applyBorder="1" applyAlignment="1">
      <alignment vertical="center"/>
    </xf>
    <xf numFmtId="10" fontId="12" fillId="0" borderId="0" xfId="2" applyNumberFormat="1" applyFont="1" applyAlignment="1">
      <alignment vertical="center"/>
    </xf>
    <xf numFmtId="0" fontId="12" fillId="0" borderId="60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28" fillId="6" borderId="53" xfId="4" applyFont="1" applyFill="1" applyBorder="1" applyAlignment="1">
      <alignment horizontal="center" vertical="center"/>
    </xf>
    <xf numFmtId="0" fontId="12" fillId="5" borderId="53" xfId="0" applyFont="1" applyFill="1" applyBorder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44" fontId="16" fillId="4" borderId="49" xfId="1" applyFont="1" applyFill="1" applyBorder="1" applyAlignment="1">
      <alignment vertical="center"/>
    </xf>
    <xf numFmtId="44" fontId="12" fillId="0" borderId="49" xfId="1" applyFont="1" applyBorder="1" applyAlignment="1">
      <alignment vertical="center"/>
    </xf>
    <xf numFmtId="44" fontId="26" fillId="4" borderId="49" xfId="1" applyFont="1" applyFill="1" applyBorder="1" applyAlignment="1">
      <alignment vertical="center"/>
    </xf>
    <xf numFmtId="44" fontId="12" fillId="0" borderId="47" xfId="1" applyFont="1" applyBorder="1" applyAlignment="1">
      <alignment vertical="center"/>
    </xf>
    <xf numFmtId="44" fontId="26" fillId="4" borderId="47" xfId="1" applyFont="1" applyFill="1" applyBorder="1" applyAlignment="1">
      <alignment vertical="center"/>
    </xf>
    <xf numFmtId="44" fontId="12" fillId="0" borderId="63" xfId="1" applyFont="1" applyBorder="1" applyAlignment="1">
      <alignment vertical="center"/>
    </xf>
    <xf numFmtId="44" fontId="17" fillId="0" borderId="63" xfId="1" applyFont="1" applyBorder="1" applyAlignment="1">
      <alignment vertical="center"/>
    </xf>
    <xf numFmtId="44" fontId="17" fillId="0" borderId="0" xfId="1" applyFont="1" applyBorder="1" applyAlignment="1">
      <alignment vertical="center"/>
    </xf>
    <xf numFmtId="44" fontId="12" fillId="4" borderId="0" xfId="1" applyFont="1" applyFill="1" applyBorder="1" applyAlignment="1">
      <alignment vertical="center"/>
    </xf>
    <xf numFmtId="0" fontId="20" fillId="2" borderId="35" xfId="0" applyFont="1" applyFill="1" applyBorder="1" applyAlignment="1">
      <alignment horizontal="left" vertical="center" wrapText="1" readingOrder="1"/>
    </xf>
    <xf numFmtId="0" fontId="21" fillId="5" borderId="35" xfId="0" applyFont="1" applyFill="1" applyBorder="1" applyAlignment="1">
      <alignment horizontal="center" vertical="center" wrapText="1" readingOrder="1"/>
    </xf>
    <xf numFmtId="44" fontId="16" fillId="9" borderId="32" xfId="1" applyFont="1" applyFill="1" applyBorder="1" applyAlignment="1">
      <alignment vertical="center" wrapText="1"/>
    </xf>
    <xf numFmtId="44" fontId="20" fillId="9" borderId="32" xfId="1" applyFont="1" applyFill="1" applyBorder="1" applyAlignment="1">
      <alignment horizontal="right" vertical="center" wrapText="1" readingOrder="1"/>
    </xf>
    <xf numFmtId="44" fontId="16" fillId="9" borderId="32" xfId="1" applyFont="1" applyFill="1" applyBorder="1" applyAlignment="1">
      <alignment horizontal="right" vertical="center" wrapText="1"/>
    </xf>
    <xf numFmtId="44" fontId="21" fillId="2" borderId="0" xfId="1" applyFont="1" applyFill="1" applyBorder="1" applyAlignment="1">
      <alignment horizontal="right" vertical="center" wrapText="1" readingOrder="1"/>
    </xf>
    <xf numFmtId="44" fontId="21" fillId="2" borderId="32" xfId="1" applyFont="1" applyFill="1" applyBorder="1" applyAlignment="1">
      <alignment horizontal="center" vertical="center" wrapText="1" readingOrder="1"/>
    </xf>
    <xf numFmtId="0" fontId="21" fillId="4" borderId="32" xfId="0" applyFont="1" applyFill="1" applyBorder="1" applyAlignment="1">
      <alignment horizontal="center" vertical="center" wrapText="1" readingOrder="1"/>
    </xf>
    <xf numFmtId="0" fontId="21" fillId="2" borderId="32" xfId="0" applyFont="1" applyFill="1" applyBorder="1" applyAlignment="1">
      <alignment horizontal="center" vertical="center" wrapText="1" readingOrder="1"/>
    </xf>
    <xf numFmtId="0" fontId="24" fillId="0" borderId="29" xfId="4" applyFont="1" applyBorder="1" applyAlignment="1">
      <alignment horizontal="center" vertical="center"/>
    </xf>
    <xf numFmtId="10" fontId="20" fillId="9" borderId="32" xfId="1" applyNumberFormat="1" applyFont="1" applyFill="1" applyBorder="1" applyAlignment="1">
      <alignment horizontal="right" vertical="center" wrapText="1" readingOrder="1"/>
    </xf>
    <xf numFmtId="10" fontId="16" fillId="9" borderId="32" xfId="1" applyNumberFormat="1" applyFont="1" applyFill="1" applyBorder="1" applyAlignment="1">
      <alignment horizontal="right" vertical="center" wrapText="1"/>
    </xf>
    <xf numFmtId="0" fontId="12" fillId="8" borderId="42" xfId="0" applyFont="1" applyFill="1" applyBorder="1" applyAlignment="1">
      <alignment vertical="center"/>
    </xf>
    <xf numFmtId="44" fontId="20" fillId="2" borderId="64" xfId="0" applyNumberFormat="1" applyFont="1" applyFill="1" applyBorder="1" applyAlignment="1">
      <alignment horizontal="left" vertical="center" wrapText="1" readingOrder="1"/>
    </xf>
    <xf numFmtId="0" fontId="21" fillId="5" borderId="65" xfId="0" applyFont="1" applyFill="1" applyBorder="1" applyAlignment="1">
      <alignment horizontal="center" vertical="center" wrapText="1" readingOrder="1"/>
    </xf>
    <xf numFmtId="0" fontId="21" fillId="9" borderId="65" xfId="0" applyFont="1" applyFill="1" applyBorder="1" applyAlignment="1">
      <alignment horizontal="center" vertical="center" wrapText="1" readingOrder="1"/>
    </xf>
    <xf numFmtId="44" fontId="16" fillId="9" borderId="65" xfId="1" applyFont="1" applyFill="1" applyBorder="1" applyAlignment="1">
      <alignment horizontal="right" vertical="center" wrapText="1"/>
    </xf>
    <xf numFmtId="8" fontId="16" fillId="9" borderId="65" xfId="1" applyNumberFormat="1" applyFont="1" applyFill="1" applyBorder="1" applyAlignment="1">
      <alignment horizontal="right" vertical="center" wrapText="1"/>
    </xf>
    <xf numFmtId="44" fontId="16" fillId="2" borderId="65" xfId="1" applyFont="1" applyFill="1" applyBorder="1" applyAlignment="1">
      <alignment horizontal="right" vertical="center" wrapText="1"/>
    </xf>
    <xf numFmtId="0" fontId="12" fillId="0" borderId="66" xfId="0" applyFont="1" applyBorder="1" applyAlignment="1">
      <alignment vertical="center"/>
    </xf>
    <xf numFmtId="44" fontId="21" fillId="2" borderId="65" xfId="1" applyFont="1" applyFill="1" applyBorder="1" applyAlignment="1">
      <alignment horizontal="right" vertical="center" wrapText="1" readingOrder="1"/>
    </xf>
    <xf numFmtId="44" fontId="21" fillId="2" borderId="67" xfId="1" applyFont="1" applyFill="1" applyBorder="1" applyAlignment="1">
      <alignment horizontal="right" vertical="center" wrapText="1" readingOrder="1"/>
    </xf>
    <xf numFmtId="44" fontId="16" fillId="2" borderId="68" xfId="1" applyFont="1" applyFill="1" applyBorder="1" applyAlignment="1">
      <alignment horizontal="right" vertical="center" wrapText="1"/>
    </xf>
    <xf numFmtId="44" fontId="15" fillId="2" borderId="69" xfId="1" applyFont="1" applyFill="1" applyBorder="1" applyAlignment="1">
      <alignment horizontal="right" vertical="center" wrapText="1"/>
    </xf>
    <xf numFmtId="44" fontId="15" fillId="4" borderId="65" xfId="1" applyFont="1" applyFill="1" applyBorder="1" applyAlignment="1">
      <alignment horizontal="center" vertical="center" wrapText="1"/>
    </xf>
    <xf numFmtId="44" fontId="21" fillId="3" borderId="65" xfId="1" applyFont="1" applyFill="1" applyBorder="1" applyAlignment="1">
      <alignment horizontal="center" vertical="center" wrapText="1" readingOrder="1"/>
    </xf>
    <xf numFmtId="44" fontId="16" fillId="4" borderId="65" xfId="0" applyNumberFormat="1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 readingOrder="1"/>
    </xf>
    <xf numFmtId="44" fontId="15" fillId="2" borderId="68" xfId="0" applyNumberFormat="1" applyFont="1" applyFill="1" applyBorder="1" applyAlignment="1">
      <alignment horizontal="center" vertical="center" wrapText="1"/>
    </xf>
    <xf numFmtId="44" fontId="21" fillId="4" borderId="16" xfId="0" applyNumberFormat="1" applyFont="1" applyFill="1" applyBorder="1" applyAlignment="1">
      <alignment horizontal="center" vertical="center" wrapText="1" readingOrder="1"/>
    </xf>
    <xf numFmtId="44" fontId="20" fillId="4" borderId="16" xfId="0" applyNumberFormat="1" applyFont="1" applyFill="1" applyBorder="1" applyAlignment="1">
      <alignment horizontal="center" vertical="center" wrapText="1" readingOrder="1"/>
    </xf>
    <xf numFmtId="10" fontId="21" fillId="4" borderId="16" xfId="0" applyNumberFormat="1" applyFont="1" applyFill="1" applyBorder="1" applyAlignment="1">
      <alignment horizontal="center" vertical="center" wrapText="1" readingOrder="1"/>
    </xf>
    <xf numFmtId="8" fontId="12" fillId="0" borderId="65" xfId="0" applyNumberFormat="1" applyFont="1" applyBorder="1" applyAlignment="1">
      <alignment vertical="center"/>
    </xf>
    <xf numFmtId="9" fontId="16" fillId="9" borderId="32" xfId="1" applyNumberFormat="1" applyFont="1" applyFill="1" applyBorder="1" applyAlignment="1">
      <alignment vertical="center" wrapText="1"/>
    </xf>
    <xf numFmtId="43" fontId="20" fillId="2" borderId="16" xfId="3" applyFont="1" applyFill="1" applyBorder="1" applyAlignment="1">
      <alignment horizontal="right" vertical="center" wrapText="1" readingOrder="1"/>
    </xf>
    <xf numFmtId="44" fontId="12" fillId="0" borderId="59" xfId="0" applyNumberFormat="1" applyFont="1" applyBorder="1" applyAlignment="1">
      <alignment vertical="center"/>
    </xf>
    <xf numFmtId="44" fontId="12" fillId="0" borderId="0" xfId="0" applyNumberFormat="1" applyFont="1" applyAlignment="1">
      <alignment vertical="center"/>
    </xf>
    <xf numFmtId="0" fontId="29" fillId="5" borderId="1" xfId="4" applyFont="1" applyFill="1" applyBorder="1" applyAlignment="1">
      <alignment horizontal="centerContinuous" vertical="center"/>
    </xf>
    <xf numFmtId="0" fontId="12" fillId="5" borderId="2" xfId="0" applyFont="1" applyFill="1" applyBorder="1" applyAlignment="1">
      <alignment horizontal="centerContinuous" vertical="center"/>
    </xf>
    <xf numFmtId="0" fontId="12" fillId="5" borderId="3" xfId="0" applyFont="1" applyFill="1" applyBorder="1" applyAlignment="1">
      <alignment horizontal="centerContinuous" vertical="center"/>
    </xf>
    <xf numFmtId="0" fontId="28" fillId="0" borderId="4" xfId="4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9" fillId="5" borderId="4" xfId="4" applyFont="1" applyFill="1" applyBorder="1" applyAlignment="1">
      <alignment horizontal="centerContinuous" vertical="center"/>
    </xf>
    <xf numFmtId="0" fontId="12" fillId="5" borderId="5" xfId="0" applyFont="1" applyFill="1" applyBorder="1" applyAlignment="1">
      <alignment horizontal="centerContinuous" vertical="center"/>
    </xf>
    <xf numFmtId="0" fontId="12" fillId="5" borderId="6" xfId="0" applyFont="1" applyFill="1" applyBorder="1" applyAlignment="1">
      <alignment horizontal="centerContinuous" vertical="center"/>
    </xf>
    <xf numFmtId="0" fontId="28" fillId="0" borderId="4" xfId="4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vertical="center"/>
    </xf>
    <xf numFmtId="166" fontId="12" fillId="0" borderId="5" xfId="0" applyNumberFormat="1" applyFont="1" applyBorder="1" applyAlignment="1">
      <alignment horizontal="right" vertical="center"/>
    </xf>
    <xf numFmtId="44" fontId="12" fillId="8" borderId="6" xfId="1" applyFont="1" applyFill="1" applyBorder="1" applyAlignment="1">
      <alignment vertical="center"/>
    </xf>
    <xf numFmtId="2" fontId="26" fillId="4" borderId="5" xfId="0" applyNumberFormat="1" applyFont="1" applyFill="1" applyBorder="1" applyAlignment="1">
      <alignment vertical="center"/>
    </xf>
    <xf numFmtId="166" fontId="26" fillId="4" borderId="5" xfId="0" applyNumberFormat="1" applyFont="1" applyFill="1" applyBorder="1" applyAlignment="1">
      <alignment horizontal="right" vertical="center"/>
    </xf>
    <xf numFmtId="44" fontId="16" fillId="2" borderId="5" xfId="1" applyFont="1" applyFill="1" applyBorder="1" applyAlignment="1">
      <alignment horizontal="right" vertical="center" wrapText="1"/>
    </xf>
    <xf numFmtId="9" fontId="17" fillId="0" borderId="5" xfId="0" applyNumberFormat="1" applyFont="1" applyBorder="1" applyAlignment="1">
      <alignment vertical="center"/>
    </xf>
    <xf numFmtId="44" fontId="17" fillId="0" borderId="5" xfId="1" applyFont="1" applyBorder="1" applyAlignment="1">
      <alignment vertical="center"/>
    </xf>
    <xf numFmtId="44" fontId="17" fillId="0" borderId="4" xfId="1" applyFont="1" applyBorder="1" applyAlignment="1">
      <alignment vertical="center"/>
    </xf>
    <xf numFmtId="9" fontId="17" fillId="0" borderId="5" xfId="0" quotePrefix="1" applyNumberFormat="1" applyFont="1" applyBorder="1" applyAlignment="1">
      <alignment horizontal="center" vertical="center"/>
    </xf>
    <xf numFmtId="10" fontId="17" fillId="0" borderId="5" xfId="3" applyNumberFormat="1" applyFont="1" applyBorder="1" applyAlignment="1">
      <alignment vertical="center"/>
    </xf>
    <xf numFmtId="0" fontId="21" fillId="2" borderId="4" xfId="0" applyFont="1" applyFill="1" applyBorder="1" applyAlignment="1">
      <alignment horizontal="left" vertical="center" wrapText="1" readingOrder="1"/>
    </xf>
    <xf numFmtId="44" fontId="12" fillId="4" borderId="5" xfId="1" applyFont="1" applyFill="1" applyBorder="1" applyAlignment="1">
      <alignment vertical="center"/>
    </xf>
    <xf numFmtId="0" fontId="16" fillId="2" borderId="5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 readingOrder="1"/>
    </xf>
    <xf numFmtId="44" fontId="20" fillId="2" borderId="6" xfId="0" applyNumberFormat="1" applyFont="1" applyFill="1" applyBorder="1" applyAlignment="1">
      <alignment horizontal="left" vertical="center" wrapText="1" readingOrder="1"/>
    </xf>
    <xf numFmtId="0" fontId="21" fillId="5" borderId="4" xfId="0" applyFont="1" applyFill="1" applyBorder="1" applyAlignment="1">
      <alignment horizontal="left" vertical="center" wrapText="1" readingOrder="1"/>
    </xf>
    <xf numFmtId="0" fontId="21" fillId="5" borderId="5" xfId="0" applyFont="1" applyFill="1" applyBorder="1" applyAlignment="1">
      <alignment horizontal="center" vertical="center" wrapText="1" readingOrder="1"/>
    </xf>
    <xf numFmtId="0" fontId="21" fillId="5" borderId="6" xfId="0" applyFont="1" applyFill="1" applyBorder="1" applyAlignment="1">
      <alignment horizontal="center" vertical="center" wrapText="1" readingOrder="1"/>
    </xf>
    <xf numFmtId="0" fontId="21" fillId="9" borderId="4" xfId="0" applyFont="1" applyFill="1" applyBorder="1" applyAlignment="1">
      <alignment horizontal="left" vertical="center" wrapText="1" readingOrder="1"/>
    </xf>
    <xf numFmtId="0" fontId="16" fillId="9" borderId="5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 readingOrder="1"/>
    </xf>
    <xf numFmtId="0" fontId="21" fillId="9" borderId="6" xfId="0" applyFont="1" applyFill="1" applyBorder="1" applyAlignment="1">
      <alignment horizontal="center" vertical="center" wrapText="1" readingOrder="1"/>
    </xf>
    <xf numFmtId="0" fontId="20" fillId="9" borderId="4" xfId="0" applyFont="1" applyFill="1" applyBorder="1" applyAlignment="1">
      <alignment horizontal="left" vertical="center" wrapText="1" readingOrder="1"/>
    </xf>
    <xf numFmtId="44" fontId="16" fillId="9" borderId="5" xfId="1" applyFont="1" applyFill="1" applyBorder="1" applyAlignment="1">
      <alignment horizontal="right" vertical="center" wrapText="1"/>
    </xf>
    <xf numFmtId="0" fontId="16" fillId="9" borderId="5" xfId="0" applyFont="1" applyFill="1" applyBorder="1" applyAlignment="1">
      <alignment vertical="center" wrapText="1"/>
    </xf>
    <xf numFmtId="44" fontId="16" fillId="9" borderId="5" xfId="1" applyFont="1" applyFill="1" applyBorder="1" applyAlignment="1">
      <alignment vertical="center" wrapText="1"/>
    </xf>
    <xf numFmtId="44" fontId="16" fillId="9" borderId="6" xfId="1" applyFont="1" applyFill="1" applyBorder="1" applyAlignment="1">
      <alignment horizontal="right" vertical="center" wrapText="1"/>
    </xf>
    <xf numFmtId="0" fontId="12" fillId="9" borderId="4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10" fontId="20" fillId="9" borderId="5" xfId="0" applyNumberFormat="1" applyFont="1" applyFill="1" applyBorder="1" applyAlignment="1">
      <alignment horizontal="center" vertical="center" wrapText="1" readingOrder="1"/>
    </xf>
    <xf numFmtId="44" fontId="20" fillId="9" borderId="5" xfId="1" applyFont="1" applyFill="1" applyBorder="1" applyAlignment="1">
      <alignment horizontal="right" vertical="center" wrapText="1" readingOrder="1"/>
    </xf>
    <xf numFmtId="0" fontId="20" fillId="9" borderId="5" xfId="0" applyFont="1" applyFill="1" applyBorder="1" applyAlignment="1">
      <alignment horizontal="center" vertical="center" wrapText="1" readingOrder="1"/>
    </xf>
    <xf numFmtId="165" fontId="20" fillId="9" borderId="5" xfId="0" applyNumberFormat="1" applyFont="1" applyFill="1" applyBorder="1" applyAlignment="1">
      <alignment horizontal="center" vertical="center" wrapText="1" readingOrder="1"/>
    </xf>
    <xf numFmtId="8" fontId="16" fillId="9" borderId="6" xfId="1" applyNumberFormat="1" applyFont="1" applyFill="1" applyBorder="1" applyAlignment="1">
      <alignment horizontal="right" vertical="center" wrapText="1"/>
    </xf>
    <xf numFmtId="0" fontId="25" fillId="9" borderId="4" xfId="0" applyFont="1" applyFill="1" applyBorder="1" applyAlignment="1">
      <alignment horizontal="left" vertical="center" wrapText="1" readingOrder="1"/>
    </xf>
    <xf numFmtId="10" fontId="20" fillId="2" borderId="5" xfId="0" applyNumberFormat="1" applyFont="1" applyFill="1" applyBorder="1" applyAlignment="1">
      <alignment horizontal="center" vertical="center" wrapText="1" readingOrder="1"/>
    </xf>
    <xf numFmtId="44" fontId="20" fillId="2" borderId="5" xfId="1" applyFont="1" applyFill="1" applyBorder="1" applyAlignment="1">
      <alignment horizontal="right" vertical="center" wrapText="1" readingOrder="1"/>
    </xf>
    <xf numFmtId="44" fontId="16" fillId="2" borderId="6" xfId="1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left" vertical="center" wrapText="1" readingOrder="1"/>
    </xf>
    <xf numFmtId="0" fontId="13" fillId="0" borderId="4" xfId="0" applyFont="1" applyBorder="1" applyAlignment="1">
      <alignment vertical="center"/>
    </xf>
    <xf numFmtId="0" fontId="21" fillId="2" borderId="5" xfId="0" applyFont="1" applyFill="1" applyBorder="1" applyAlignment="1">
      <alignment horizontal="center" vertical="center" wrapText="1" readingOrder="1"/>
    </xf>
    <xf numFmtId="44" fontId="21" fillId="2" borderId="5" xfId="1" applyFont="1" applyFill="1" applyBorder="1" applyAlignment="1">
      <alignment horizontal="right" vertical="center" wrapText="1" readingOrder="1"/>
    </xf>
    <xf numFmtId="44" fontId="21" fillId="2" borderId="6" xfId="1" applyFont="1" applyFill="1" applyBorder="1" applyAlignment="1">
      <alignment horizontal="right" vertical="center" wrapText="1" readingOrder="1"/>
    </xf>
    <xf numFmtId="0" fontId="20" fillId="2" borderId="4" xfId="0" applyFont="1" applyFill="1" applyBorder="1" applyAlignment="1">
      <alignment horizontal="left" vertical="center" wrapText="1" readingOrder="1"/>
    </xf>
    <xf numFmtId="0" fontId="14" fillId="2" borderId="4" xfId="0" applyFont="1" applyFill="1" applyBorder="1" applyAlignment="1">
      <alignment horizontal="left" vertical="center" wrapText="1" readingOrder="1"/>
    </xf>
    <xf numFmtId="44" fontId="15" fillId="2" borderId="6" xfId="1" applyFont="1" applyFill="1" applyBorder="1" applyAlignment="1">
      <alignment horizontal="right" vertical="center" wrapText="1"/>
    </xf>
    <xf numFmtId="44" fontId="21" fillId="2" borderId="5" xfId="1" applyFont="1" applyFill="1" applyBorder="1" applyAlignment="1">
      <alignment horizontal="center" vertical="center" wrapText="1" readingOrder="1"/>
    </xf>
    <xf numFmtId="44" fontId="15" fillId="4" borderId="6" xfId="1" applyFont="1" applyFill="1" applyBorder="1" applyAlignment="1">
      <alignment horizontal="center" vertical="center" wrapText="1"/>
    </xf>
    <xf numFmtId="44" fontId="21" fillId="3" borderId="4" xfId="1" applyFont="1" applyFill="1" applyBorder="1" applyAlignment="1">
      <alignment horizontal="center" vertical="center" wrapText="1" readingOrder="1"/>
    </xf>
    <xf numFmtId="44" fontId="21" fillId="3" borderId="5" xfId="1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center" vertical="center" readingOrder="1"/>
    </xf>
    <xf numFmtId="44" fontId="21" fillId="3" borderId="6" xfId="1" applyFont="1" applyFill="1" applyBorder="1" applyAlignment="1">
      <alignment horizontal="center" vertical="center" wrapText="1" readingOrder="1"/>
    </xf>
    <xf numFmtId="0" fontId="20" fillId="2" borderId="5" xfId="0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center" vertical="center" wrapText="1" readingOrder="1"/>
    </xf>
    <xf numFmtId="44" fontId="16" fillId="4" borderId="6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 readingOrder="1"/>
    </xf>
    <xf numFmtId="0" fontId="21" fillId="2" borderId="6" xfId="0" applyFont="1" applyFill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32" fillId="0" borderId="7" xfId="4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/>
    </xf>
    <xf numFmtId="44" fontId="15" fillId="2" borderId="9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28" fillId="7" borderId="5" xfId="4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0" fontId="14" fillId="4" borderId="25" xfId="0" applyFont="1" applyFill="1" applyBorder="1" applyAlignment="1">
      <alignment horizontal="left" vertical="center" wrapText="1" readingOrder="1"/>
    </xf>
    <xf numFmtId="0" fontId="14" fillId="4" borderId="26" xfId="0" applyFont="1" applyFill="1" applyBorder="1" applyAlignment="1">
      <alignment horizontal="left" vertical="center" wrapText="1" readingOrder="1"/>
    </xf>
    <xf numFmtId="0" fontId="14" fillId="4" borderId="27" xfId="0" applyFont="1" applyFill="1" applyBorder="1" applyAlignment="1">
      <alignment horizontal="left" vertical="center" wrapText="1" readingOrder="1"/>
    </xf>
    <xf numFmtId="14" fontId="28" fillId="7" borderId="24" xfId="4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vertical="center"/>
    </xf>
    <xf numFmtId="0" fontId="23" fillId="4" borderId="28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5" fillId="2" borderId="2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1" fillId="2" borderId="15" xfId="0" applyFont="1" applyFill="1" applyBorder="1" applyAlignment="1">
      <alignment horizontal="left" vertical="center" wrapText="1" readingOrder="1"/>
    </xf>
    <xf numFmtId="0" fontId="21" fillId="3" borderId="17" xfId="0" applyFont="1" applyFill="1" applyBorder="1" applyAlignment="1">
      <alignment horizontal="center" vertical="center" wrapText="1" readingOrder="1"/>
    </xf>
    <xf numFmtId="0" fontId="1" fillId="0" borderId="11" xfId="0" applyFont="1" applyBorder="1" applyAlignment="1">
      <alignment vertical="center"/>
    </xf>
    <xf numFmtId="0" fontId="21" fillId="2" borderId="38" xfId="0" applyFont="1" applyFill="1" applyBorder="1" applyAlignment="1">
      <alignment horizontal="center" vertical="center" wrapText="1" readingOrder="1"/>
    </xf>
    <xf numFmtId="0" fontId="21" fillId="2" borderId="37" xfId="0" applyFont="1" applyFill="1" applyBorder="1" applyAlignment="1">
      <alignment horizontal="center" vertical="center" wrapText="1" readingOrder="1"/>
    </xf>
    <xf numFmtId="44" fontId="20" fillId="3" borderId="33" xfId="1" applyFont="1" applyFill="1" applyBorder="1" applyAlignment="1">
      <alignment horizontal="center" vertical="center" wrapText="1" readingOrder="1"/>
    </xf>
    <xf numFmtId="44" fontId="20" fillId="3" borderId="36" xfId="1" applyFont="1" applyFill="1" applyBorder="1" applyAlignment="1">
      <alignment horizontal="center" vertical="center" wrapText="1" readingOrder="1"/>
    </xf>
    <xf numFmtId="0" fontId="21" fillId="3" borderId="33" xfId="0" applyFont="1" applyFill="1" applyBorder="1" applyAlignment="1">
      <alignment horizontal="right" vertical="center" wrapText="1" readingOrder="1"/>
    </xf>
    <xf numFmtId="0" fontId="21" fillId="3" borderId="36" xfId="0" applyFont="1" applyFill="1" applyBorder="1" applyAlignment="1">
      <alignment horizontal="right" vertical="center" wrapText="1" readingOrder="1"/>
    </xf>
    <xf numFmtId="0" fontId="21" fillId="3" borderId="30" xfId="0" applyFont="1" applyFill="1" applyBorder="1" applyAlignment="1">
      <alignment horizontal="center" vertical="center" wrapText="1" readingOrder="1"/>
    </xf>
    <xf numFmtId="0" fontId="21" fillId="3" borderId="34" xfId="0" applyFont="1" applyFill="1" applyBorder="1" applyAlignment="1">
      <alignment horizontal="center" vertical="center" wrapText="1" readingOrder="1"/>
    </xf>
  </cellXfs>
  <cellStyles count="5">
    <cellStyle name="Milliers" xfId="3" builtinId="3"/>
    <cellStyle name="Monétaire" xfId="1" builtinId="4"/>
    <cellStyle name="Normal" xfId="0" builtinId="0"/>
    <cellStyle name="Normal_Fiche de paie TEPA plus 20 salariés" xfId="4" xr:uid="{33D184B8-70E4-4D3A-8D17-A8F5BE1C22B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165F948-6267-4AAB-BDDD-CD9209B59D4B}"/>
            </a:ext>
          </a:extLst>
        </xdr:cNvPr>
        <xdr:cNvSpPr txBox="1"/>
      </xdr:nvSpPr>
      <xdr:spPr>
        <a:xfrm>
          <a:off x="8582025" y="2095499"/>
          <a:ext cx="6115050" cy="1809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11</xdr:col>
      <xdr:colOff>400050</xdr:colOff>
      <xdr:row>19</xdr:row>
      <xdr:rowOff>0</xdr:rowOff>
    </xdr:from>
    <xdr:to>
      <xdr:col>16</xdr:col>
      <xdr:colOff>371475</xdr:colOff>
      <xdr:row>20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A4D45FB-3D55-4007-9EE6-C7CA6F216C68}"/>
            </a:ext>
          </a:extLst>
        </xdr:cNvPr>
        <xdr:cNvSpPr txBox="1"/>
      </xdr:nvSpPr>
      <xdr:spPr>
        <a:xfrm>
          <a:off x="11010900" y="5810250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29</xdr:row>
      <xdr:rowOff>0</xdr:rowOff>
    </xdr:from>
    <xdr:to>
      <xdr:col>18</xdr:col>
      <xdr:colOff>133350</xdr:colOff>
      <xdr:row>30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0F7DC51-8388-4512-859C-A1F219B4BD23}"/>
            </a:ext>
          </a:extLst>
        </xdr:cNvPr>
        <xdr:cNvSpPr txBox="1"/>
      </xdr:nvSpPr>
      <xdr:spPr>
        <a:xfrm>
          <a:off x="12296775" y="955357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38</xdr:row>
      <xdr:rowOff>190500</xdr:rowOff>
    </xdr:from>
    <xdr:to>
      <xdr:col>14</xdr:col>
      <xdr:colOff>428625</xdr:colOff>
      <xdr:row>40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D06FF0D-A4C7-41B5-80C4-BAAAFF5152C5}"/>
            </a:ext>
          </a:extLst>
        </xdr:cNvPr>
        <xdr:cNvSpPr txBox="1"/>
      </xdr:nvSpPr>
      <xdr:spPr>
        <a:xfrm>
          <a:off x="9505950" y="14744700"/>
          <a:ext cx="38290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6371554-E4D2-4D19-AFC0-85BFB3FA4A8B}"/>
            </a:ext>
          </a:extLst>
        </xdr:cNvPr>
        <xdr:cNvSpPr txBox="1"/>
      </xdr:nvSpPr>
      <xdr:spPr>
        <a:xfrm>
          <a:off x="9524" y="38100"/>
          <a:ext cx="93154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C574402-3F57-40D7-B63D-30402D3DD80F}"/>
            </a:ext>
          </a:extLst>
        </xdr:cNvPr>
        <xdr:cNvSpPr txBox="1"/>
      </xdr:nvSpPr>
      <xdr:spPr>
        <a:xfrm>
          <a:off x="8582025" y="2095499"/>
          <a:ext cx="6686550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D65B35B-C799-4DF3-8E6B-A59F76DDB344}"/>
            </a:ext>
          </a:extLst>
        </xdr:cNvPr>
        <xdr:cNvSpPr txBox="1"/>
      </xdr:nvSpPr>
      <xdr:spPr>
        <a:xfrm>
          <a:off x="9524" y="38100"/>
          <a:ext cx="93154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>
      <selection activeCell="D1" sqref="D1:E22"/>
    </sheetView>
  </sheetViews>
  <sheetFormatPr baseColWidth="10" defaultRowHeight="15" x14ac:dyDescent="0.25"/>
  <sheetData>
    <row r="1" spans="4:5" x14ac:dyDescent="0.25">
      <c r="D1" t="s">
        <v>39</v>
      </c>
      <c r="E1">
        <v>1</v>
      </c>
    </row>
    <row r="2" spans="4:5" x14ac:dyDescent="0.25">
      <c r="D2" t="s">
        <v>40</v>
      </c>
      <c r="E2">
        <v>2</v>
      </c>
    </row>
    <row r="3" spans="4:5" x14ac:dyDescent="0.25">
      <c r="D3" t="s">
        <v>41</v>
      </c>
      <c r="E3">
        <v>5</v>
      </c>
    </row>
    <row r="4" spans="4:5" x14ac:dyDescent="0.25">
      <c r="D4" t="s">
        <v>42</v>
      </c>
      <c r="E4">
        <v>6</v>
      </c>
    </row>
    <row r="5" spans="4:5" x14ac:dyDescent="0.25">
      <c r="D5" t="s">
        <v>43</v>
      </c>
      <c r="E5">
        <v>7</v>
      </c>
    </row>
    <row r="6" spans="4:5" x14ac:dyDescent="0.25">
      <c r="D6" t="s">
        <v>39</v>
      </c>
      <c r="E6">
        <v>8</v>
      </c>
    </row>
    <row r="7" spans="4:5" x14ac:dyDescent="0.25">
      <c r="D7" t="s">
        <v>40</v>
      </c>
      <c r="E7">
        <v>9</v>
      </c>
    </row>
    <row r="8" spans="4:5" x14ac:dyDescent="0.25">
      <c r="D8" t="s">
        <v>41</v>
      </c>
      <c r="E8">
        <v>12</v>
      </c>
    </row>
    <row r="9" spans="4:5" x14ac:dyDescent="0.25">
      <c r="D9" t="s">
        <v>42</v>
      </c>
      <c r="E9">
        <v>13</v>
      </c>
    </row>
    <row r="10" spans="4:5" x14ac:dyDescent="0.25">
      <c r="D10" t="s">
        <v>43</v>
      </c>
      <c r="E10">
        <v>14</v>
      </c>
    </row>
    <row r="11" spans="4:5" x14ac:dyDescent="0.25">
      <c r="D11" t="s">
        <v>39</v>
      </c>
      <c r="E11">
        <v>15</v>
      </c>
    </row>
    <row r="12" spans="4:5" x14ac:dyDescent="0.25">
      <c r="D12" t="s">
        <v>40</v>
      </c>
      <c r="E12">
        <v>16</v>
      </c>
    </row>
    <row r="13" spans="4:5" x14ac:dyDescent="0.25">
      <c r="D13" t="s">
        <v>41</v>
      </c>
      <c r="E13">
        <v>19</v>
      </c>
    </row>
    <row r="14" spans="4:5" x14ac:dyDescent="0.25">
      <c r="D14" t="s">
        <v>42</v>
      </c>
      <c r="E14">
        <v>20</v>
      </c>
    </row>
    <row r="15" spans="4:5" x14ac:dyDescent="0.25">
      <c r="D15" t="s">
        <v>43</v>
      </c>
      <c r="E15">
        <v>21</v>
      </c>
    </row>
    <row r="16" spans="4:5" x14ac:dyDescent="0.25">
      <c r="D16" t="s">
        <v>39</v>
      </c>
      <c r="E16">
        <v>22</v>
      </c>
    </row>
    <row r="17" spans="4:5" x14ac:dyDescent="0.25">
      <c r="D17" t="s">
        <v>40</v>
      </c>
      <c r="E17">
        <v>23</v>
      </c>
    </row>
    <row r="18" spans="4:5" x14ac:dyDescent="0.25">
      <c r="D18" t="s">
        <v>41</v>
      </c>
      <c r="E18">
        <v>26</v>
      </c>
    </row>
    <row r="19" spans="4:5" x14ac:dyDescent="0.25">
      <c r="D19" t="s">
        <v>42</v>
      </c>
      <c r="E19">
        <v>27</v>
      </c>
    </row>
    <row r="20" spans="4:5" x14ac:dyDescent="0.25">
      <c r="D20" t="s">
        <v>43</v>
      </c>
      <c r="E20">
        <v>28</v>
      </c>
    </row>
    <row r="21" spans="4:5" x14ac:dyDescent="0.25">
      <c r="D21" t="s">
        <v>39</v>
      </c>
      <c r="E21">
        <v>29</v>
      </c>
    </row>
    <row r="22" spans="4:5" x14ac:dyDescent="0.25">
      <c r="D22" t="s">
        <v>40</v>
      </c>
      <c r="E22">
        <v>30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1238-99C1-4961-ACC7-49FDCBC88E63}">
  <sheetPr>
    <tabColor rgb="FFFF0000"/>
  </sheetPr>
  <dimension ref="A6:K56"/>
  <sheetViews>
    <sheetView topLeftCell="A16" zoomScaleNormal="100" workbookViewId="0">
      <selection activeCell="D32" sqref="D32"/>
    </sheetView>
  </sheetViews>
  <sheetFormatPr baseColWidth="10" defaultRowHeight="15" x14ac:dyDescent="0.25"/>
  <cols>
    <col min="1" max="1" width="21.42578125" style="1" customWidth="1"/>
    <col min="2" max="2" width="13" style="1" bestFit="1" customWidth="1"/>
    <col min="3" max="3" width="12.7109375" style="1" bestFit="1" customWidth="1"/>
    <col min="4" max="5" width="16.85546875" style="1" bestFit="1" customWidth="1"/>
    <col min="6" max="6" width="12.42578125" style="1" bestFit="1" customWidth="1"/>
    <col min="7" max="7" width="12.85546875" style="1" customWidth="1"/>
    <col min="8" max="8" width="13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11.5703125" style="1" bestFit="1" customWidth="1"/>
    <col min="13" max="16384" width="11.42578125" style="1"/>
  </cols>
  <sheetData>
    <row r="6" spans="1:8" ht="23.25" x14ac:dyDescent="0.25">
      <c r="A6" s="11" t="s">
        <v>101</v>
      </c>
      <c r="B6" s="12"/>
      <c r="C6" s="12"/>
      <c r="D6" s="12"/>
      <c r="E6" s="12"/>
      <c r="F6" s="12"/>
      <c r="G6" s="12"/>
      <c r="H6" s="12"/>
    </row>
    <row r="8" spans="1:8" ht="18.75" x14ac:dyDescent="0.25">
      <c r="A8" s="13" t="s">
        <v>102</v>
      </c>
      <c r="D8" s="14">
        <v>3428</v>
      </c>
    </row>
    <row r="9" spans="1:8" ht="15.75" thickBot="1" x14ac:dyDescent="0.3"/>
    <row r="10" spans="1:8" ht="30" x14ac:dyDescent="0.25">
      <c r="A10" s="15" t="s">
        <v>44</v>
      </c>
      <c r="B10" s="2" t="s">
        <v>97</v>
      </c>
      <c r="C10" s="2" t="s">
        <v>103</v>
      </c>
      <c r="D10" s="2" t="s">
        <v>104</v>
      </c>
      <c r="E10" s="16" t="s">
        <v>105</v>
      </c>
      <c r="F10" s="16" t="s">
        <v>106</v>
      </c>
      <c r="G10" s="16" t="s">
        <v>107</v>
      </c>
      <c r="H10" s="17" t="s">
        <v>108</v>
      </c>
    </row>
    <row r="11" spans="1:8" x14ac:dyDescent="0.25">
      <c r="A11" s="18" t="s">
        <v>118</v>
      </c>
      <c r="B11" s="19"/>
      <c r="C11" s="20">
        <f>B11</f>
        <v>0</v>
      </c>
      <c r="D11" s="20">
        <v>3428</v>
      </c>
      <c r="E11" s="20">
        <f>D11</f>
        <v>3428</v>
      </c>
      <c r="F11" s="20">
        <f>MIN(C11,E11)</f>
        <v>0</v>
      </c>
      <c r="G11" s="20">
        <f>F11</f>
        <v>0</v>
      </c>
      <c r="H11" s="21">
        <f t="shared" ref="H11:H15" si="0">B11-G11</f>
        <v>0</v>
      </c>
    </row>
    <row r="12" spans="1:8" x14ac:dyDescent="0.25">
      <c r="A12" s="18" t="s">
        <v>119</v>
      </c>
      <c r="B12" s="19"/>
      <c r="C12" s="20">
        <f>C11+B12</f>
        <v>0</v>
      </c>
      <c r="D12" s="20">
        <v>3428</v>
      </c>
      <c r="E12" s="20">
        <f>E11+D12</f>
        <v>6856</v>
      </c>
      <c r="F12" s="22">
        <f t="shared" ref="F12:F15" si="1">MIN(C12,E12)</f>
        <v>0</v>
      </c>
      <c r="G12" s="23">
        <f>F12-F11</f>
        <v>0</v>
      </c>
      <c r="H12" s="21">
        <f>B12-G12</f>
        <v>0</v>
      </c>
    </row>
    <row r="13" spans="1:8" x14ac:dyDescent="0.25">
      <c r="A13" s="18" t="s">
        <v>120</v>
      </c>
      <c r="B13" s="19"/>
      <c r="C13" s="20">
        <f>C12+B13</f>
        <v>0</v>
      </c>
      <c r="D13" s="20">
        <v>3428</v>
      </c>
      <c r="E13" s="20">
        <f t="shared" ref="E13:E15" si="2">E12+D13</f>
        <v>10284</v>
      </c>
      <c r="F13" s="20">
        <f>MIN(C13,E13)</f>
        <v>0</v>
      </c>
      <c r="G13" s="20">
        <f>F13-F12</f>
        <v>0</v>
      </c>
      <c r="H13" s="21">
        <f t="shared" si="0"/>
        <v>0</v>
      </c>
    </row>
    <row r="14" spans="1:8" x14ac:dyDescent="0.25">
      <c r="A14" s="18" t="s">
        <v>121</v>
      </c>
      <c r="B14" s="19"/>
      <c r="C14" s="20">
        <f t="shared" ref="C14:C15" si="3">C13+B14</f>
        <v>0</v>
      </c>
      <c r="D14" s="20">
        <v>3428</v>
      </c>
      <c r="E14" s="20">
        <f t="shared" si="2"/>
        <v>13712</v>
      </c>
      <c r="F14" s="20">
        <f t="shared" si="1"/>
        <v>0</v>
      </c>
      <c r="G14" s="20">
        <f t="shared" ref="G14:G15" si="4">F14-F13</f>
        <v>0</v>
      </c>
      <c r="H14" s="21">
        <f t="shared" si="0"/>
        <v>0</v>
      </c>
    </row>
    <row r="15" spans="1:8" x14ac:dyDescent="0.25">
      <c r="A15" s="18" t="s">
        <v>122</v>
      </c>
      <c r="B15" s="19"/>
      <c r="C15" s="20">
        <f t="shared" si="3"/>
        <v>0</v>
      </c>
      <c r="D15" s="20">
        <v>3428</v>
      </c>
      <c r="E15" s="20">
        <f t="shared" si="2"/>
        <v>17140</v>
      </c>
      <c r="F15" s="20">
        <f t="shared" si="1"/>
        <v>0</v>
      </c>
      <c r="G15" s="20">
        <f t="shared" si="4"/>
        <v>0</v>
      </c>
      <c r="H15" s="21">
        <f t="shared" si="0"/>
        <v>0</v>
      </c>
    </row>
    <row r="17" spans="1:11" ht="23.25" x14ac:dyDescent="0.25">
      <c r="A17" s="24" t="s">
        <v>109</v>
      </c>
      <c r="B17" s="12"/>
      <c r="C17" s="12"/>
      <c r="D17" s="12"/>
      <c r="E17" s="12"/>
      <c r="F17" s="12"/>
      <c r="G17" s="12"/>
      <c r="H17" s="12"/>
    </row>
    <row r="19" spans="1:11" ht="15.75" thickBot="1" x14ac:dyDescent="0.3"/>
    <row r="20" spans="1:11" ht="45" x14ac:dyDescent="0.25">
      <c r="A20" s="25"/>
      <c r="B20" s="26" t="s">
        <v>97</v>
      </c>
      <c r="C20" s="26" t="s">
        <v>103</v>
      </c>
      <c r="D20" s="27" t="s">
        <v>110</v>
      </c>
      <c r="E20" s="27" t="s">
        <v>111</v>
      </c>
      <c r="F20" s="27" t="s">
        <v>112</v>
      </c>
      <c r="G20" s="27" t="s">
        <v>113</v>
      </c>
      <c r="H20" s="16" t="s">
        <v>114</v>
      </c>
      <c r="I20" s="27" t="s">
        <v>115</v>
      </c>
      <c r="J20" s="28" t="s">
        <v>116</v>
      </c>
      <c r="K20" s="29" t="s">
        <v>117</v>
      </c>
    </row>
    <row r="21" spans="1:11" x14ac:dyDescent="0.25">
      <c r="A21" s="18" t="s">
        <v>118</v>
      </c>
      <c r="B21" s="30"/>
      <c r="C21" s="30">
        <f>B21</f>
        <v>0</v>
      </c>
      <c r="D21" s="31">
        <f>+B21</f>
        <v>0</v>
      </c>
      <c r="E21" s="40">
        <v>1603.12</v>
      </c>
      <c r="F21" s="30">
        <f t="shared" ref="F21:F25" si="5">2.5*E21</f>
        <v>4007.7999999999997</v>
      </c>
      <c r="G21" s="30">
        <f>F21</f>
        <v>4007.7999999999997</v>
      </c>
      <c r="H21" s="9" t="str">
        <f t="shared" ref="H21:H25" si="6">IF(C21&gt;G21,"OUI","")</f>
        <v/>
      </c>
      <c r="I21" s="32">
        <f>IF(H21="OUI",C21,0)</f>
        <v>0</v>
      </c>
      <c r="J21" s="31">
        <f>I21</f>
        <v>0</v>
      </c>
      <c r="K21" s="33">
        <f>(D21*7%)+(J21*6%)</f>
        <v>0</v>
      </c>
    </row>
    <row r="22" spans="1:11" x14ac:dyDescent="0.25">
      <c r="A22" s="18" t="s">
        <v>119</v>
      </c>
      <c r="B22" s="30"/>
      <c r="C22" s="30">
        <f>C21+B22</f>
        <v>0</v>
      </c>
      <c r="D22" s="31">
        <f t="shared" ref="D22:D25" si="7">B22</f>
        <v>0</v>
      </c>
      <c r="E22" s="40">
        <v>1603.12</v>
      </c>
      <c r="F22" s="30">
        <f t="shared" si="5"/>
        <v>4007.7999999999997</v>
      </c>
      <c r="G22" s="30">
        <f t="shared" ref="G22:G25" si="8">G21+F22</f>
        <v>8015.5999999999995</v>
      </c>
      <c r="H22" s="9" t="str">
        <f>IF(C22&gt;G22,"OUI","")</f>
        <v/>
      </c>
      <c r="I22" s="32">
        <f>IF(H22="OUI",C22,0)</f>
        <v>0</v>
      </c>
      <c r="J22" s="31">
        <f t="shared" ref="J22:J25" si="9">I22-I21</f>
        <v>0</v>
      </c>
      <c r="K22" s="33">
        <f t="shared" ref="K22:K24" si="10">(D22*7%)+(J22*6%)</f>
        <v>0</v>
      </c>
    </row>
    <row r="23" spans="1:11" x14ac:dyDescent="0.25">
      <c r="A23" s="18" t="s">
        <v>120</v>
      </c>
      <c r="B23" s="30"/>
      <c r="C23" s="30">
        <f>C22+B23</f>
        <v>0</v>
      </c>
      <c r="D23" s="31">
        <f t="shared" si="7"/>
        <v>0</v>
      </c>
      <c r="E23" s="40">
        <v>1603.12</v>
      </c>
      <c r="F23" s="30">
        <f t="shared" si="5"/>
        <v>4007.7999999999997</v>
      </c>
      <c r="G23" s="30">
        <f t="shared" si="8"/>
        <v>12023.4</v>
      </c>
      <c r="H23" s="9" t="str">
        <f t="shared" si="6"/>
        <v/>
      </c>
      <c r="I23" s="32">
        <f t="shared" ref="I23:I25" si="11">IF(H23="OUI",C23,0)</f>
        <v>0</v>
      </c>
      <c r="J23" s="31">
        <f t="shared" si="9"/>
        <v>0</v>
      </c>
      <c r="K23" s="33">
        <f t="shared" si="10"/>
        <v>0</v>
      </c>
    </row>
    <row r="24" spans="1:11" x14ac:dyDescent="0.25">
      <c r="A24" s="18" t="s">
        <v>121</v>
      </c>
      <c r="B24" s="30"/>
      <c r="C24" s="30">
        <f>C23+B24</f>
        <v>0</v>
      </c>
      <c r="D24" s="31">
        <f t="shared" si="7"/>
        <v>0</v>
      </c>
      <c r="E24" s="40">
        <v>1603.12</v>
      </c>
      <c r="F24" s="30">
        <f t="shared" si="5"/>
        <v>4007.7999999999997</v>
      </c>
      <c r="G24" s="30">
        <f t="shared" si="8"/>
        <v>16031.199999999999</v>
      </c>
      <c r="H24" s="9" t="str">
        <f t="shared" si="6"/>
        <v/>
      </c>
      <c r="I24" s="32">
        <f t="shared" si="11"/>
        <v>0</v>
      </c>
      <c r="J24" s="31">
        <f t="shared" si="9"/>
        <v>0</v>
      </c>
      <c r="K24" s="33">
        <f t="shared" si="10"/>
        <v>0</v>
      </c>
    </row>
    <row r="25" spans="1:11" x14ac:dyDescent="0.25">
      <c r="A25" s="18" t="s">
        <v>122</v>
      </c>
      <c r="B25" s="30"/>
      <c r="C25" s="30">
        <f>C24+B25</f>
        <v>0</v>
      </c>
      <c r="D25" s="31">
        <f t="shared" si="7"/>
        <v>0</v>
      </c>
      <c r="E25" s="40">
        <v>1603.12</v>
      </c>
      <c r="F25" s="30">
        <f t="shared" si="5"/>
        <v>4007.7999999999997</v>
      </c>
      <c r="G25" s="30">
        <f t="shared" si="8"/>
        <v>20039</v>
      </c>
      <c r="H25" s="9" t="str">
        <f t="shared" si="6"/>
        <v/>
      </c>
      <c r="I25" s="32">
        <f t="shared" si="11"/>
        <v>0</v>
      </c>
      <c r="J25" s="31">
        <f t="shared" si="9"/>
        <v>0</v>
      </c>
      <c r="K25" s="33">
        <f>(J25*6%)+(D25*7%)</f>
        <v>0</v>
      </c>
    </row>
    <row r="27" spans="1:11" ht="23.25" x14ac:dyDescent="0.25">
      <c r="A27" s="24" t="s">
        <v>123</v>
      </c>
      <c r="B27" s="12"/>
      <c r="C27" s="12"/>
      <c r="D27" s="12"/>
      <c r="E27" s="12"/>
      <c r="F27" s="12"/>
      <c r="G27" s="12"/>
      <c r="H27" s="12"/>
    </row>
    <row r="29" spans="1:11" ht="15.75" thickBot="1" x14ac:dyDescent="0.3"/>
    <row r="30" spans="1:11" s="34" customFormat="1" ht="45" x14ac:dyDescent="0.25">
      <c r="A30" s="25"/>
      <c r="B30" s="26" t="s">
        <v>97</v>
      </c>
      <c r="C30" s="26" t="s">
        <v>103</v>
      </c>
      <c r="D30" s="27" t="s">
        <v>124</v>
      </c>
      <c r="E30" s="27" t="s">
        <v>111</v>
      </c>
      <c r="F30" s="27" t="s">
        <v>125</v>
      </c>
      <c r="G30" s="27" t="s">
        <v>126</v>
      </c>
      <c r="H30" s="16" t="s">
        <v>127</v>
      </c>
      <c r="I30" s="27" t="s">
        <v>128</v>
      </c>
      <c r="J30" s="28" t="s">
        <v>129</v>
      </c>
      <c r="K30" s="29" t="s">
        <v>117</v>
      </c>
    </row>
    <row r="31" spans="1:11" ht="21.75" customHeight="1" x14ac:dyDescent="0.25">
      <c r="A31" s="18" t="s">
        <v>118</v>
      </c>
      <c r="B31" s="30"/>
      <c r="C31" s="30">
        <f>B31</f>
        <v>0</v>
      </c>
      <c r="D31" s="31">
        <f>+B31</f>
        <v>0</v>
      </c>
      <c r="E31" s="40">
        <v>1603.12</v>
      </c>
      <c r="F31" s="30">
        <f>3.5*E31</f>
        <v>5610.92</v>
      </c>
      <c r="G31" s="30">
        <f>F31</f>
        <v>5610.92</v>
      </c>
      <c r="H31" s="9" t="str">
        <f>IF(C31&gt;G31,"OUI","")</f>
        <v/>
      </c>
      <c r="I31" s="32">
        <f>IF(H31="OUI",C31,0)</f>
        <v>0</v>
      </c>
      <c r="J31" s="31">
        <f>I31</f>
        <v>0</v>
      </c>
      <c r="K31" s="33">
        <f>(D31*7%)+(J31*6%)</f>
        <v>0</v>
      </c>
    </row>
    <row r="32" spans="1:11" ht="21.75" customHeight="1" x14ac:dyDescent="0.25">
      <c r="A32" s="18" t="s">
        <v>119</v>
      </c>
      <c r="B32" s="30"/>
      <c r="C32" s="30">
        <f>C31+B32</f>
        <v>0</v>
      </c>
      <c r="D32" s="31">
        <f t="shared" ref="D32:D35" si="12">B32</f>
        <v>0</v>
      </c>
      <c r="E32" s="40">
        <v>1603.12</v>
      </c>
      <c r="F32" s="30">
        <f t="shared" ref="F32:F35" si="13">3.5*E32</f>
        <v>5610.92</v>
      </c>
      <c r="G32" s="30">
        <f t="shared" ref="G32:G35" si="14">G31+F32</f>
        <v>11221.84</v>
      </c>
      <c r="H32" s="9" t="str">
        <f>IF(C32&gt;G32,"OUI","")</f>
        <v/>
      </c>
      <c r="I32" s="32">
        <f>IF(H32="OUI",C32,0)</f>
        <v>0</v>
      </c>
      <c r="J32" s="31">
        <f>I32-I31</f>
        <v>0</v>
      </c>
      <c r="K32" s="33">
        <f t="shared" ref="K32:K34" si="15">(D32*7%)+(J32*6%)</f>
        <v>0</v>
      </c>
    </row>
    <row r="33" spans="1:11" ht="21.75" customHeight="1" x14ac:dyDescent="0.25">
      <c r="A33" s="18" t="s">
        <v>120</v>
      </c>
      <c r="B33" s="30"/>
      <c r="C33" s="30">
        <f t="shared" ref="C33:C35" si="16">C32+B33</f>
        <v>0</v>
      </c>
      <c r="D33" s="31">
        <f t="shared" si="12"/>
        <v>0</v>
      </c>
      <c r="E33" s="40">
        <v>1603.12</v>
      </c>
      <c r="F33" s="30">
        <f t="shared" si="13"/>
        <v>5610.92</v>
      </c>
      <c r="G33" s="30">
        <f t="shared" si="14"/>
        <v>16832.760000000002</v>
      </c>
      <c r="H33" s="9" t="str">
        <f>IF(C33&gt;G33,"OUI","")</f>
        <v/>
      </c>
      <c r="I33" s="32">
        <f t="shared" ref="I33:I34" si="17">IF(H33="OUI",C33,0)</f>
        <v>0</v>
      </c>
      <c r="J33" s="31">
        <f t="shared" ref="J33:J34" si="18">I33-I32</f>
        <v>0</v>
      </c>
      <c r="K33" s="33">
        <f t="shared" si="15"/>
        <v>0</v>
      </c>
    </row>
    <row r="34" spans="1:11" ht="21.75" customHeight="1" x14ac:dyDescent="0.25">
      <c r="A34" s="18" t="s">
        <v>121</v>
      </c>
      <c r="B34" s="30"/>
      <c r="C34" s="30">
        <f t="shared" si="16"/>
        <v>0</v>
      </c>
      <c r="D34" s="31">
        <f t="shared" si="12"/>
        <v>0</v>
      </c>
      <c r="E34" s="40">
        <v>1603.12</v>
      </c>
      <c r="F34" s="30">
        <f t="shared" si="13"/>
        <v>5610.92</v>
      </c>
      <c r="G34" s="30">
        <f t="shared" si="14"/>
        <v>22443.68</v>
      </c>
      <c r="H34" s="9" t="str">
        <f>IF(C34&gt;G34,"OUI","")</f>
        <v/>
      </c>
      <c r="I34" s="32">
        <f t="shared" si="17"/>
        <v>0</v>
      </c>
      <c r="J34" s="31">
        <f t="shared" si="18"/>
        <v>0</v>
      </c>
      <c r="K34" s="33">
        <f t="shared" si="15"/>
        <v>0</v>
      </c>
    </row>
    <row r="35" spans="1:11" ht="21.75" customHeight="1" x14ac:dyDescent="0.25">
      <c r="A35" s="18" t="s">
        <v>122</v>
      </c>
      <c r="B35" s="30"/>
      <c r="C35" s="30">
        <f t="shared" si="16"/>
        <v>0</v>
      </c>
      <c r="D35" s="31">
        <f t="shared" si="12"/>
        <v>0</v>
      </c>
      <c r="E35" s="40">
        <v>1603.12</v>
      </c>
      <c r="F35" s="30">
        <f t="shared" si="13"/>
        <v>5610.92</v>
      </c>
      <c r="G35" s="30">
        <f t="shared" si="14"/>
        <v>28054.6</v>
      </c>
      <c r="H35" s="9" t="str">
        <f t="shared" ref="H35" si="19">IF(C35&gt;G35,"OUI","")</f>
        <v/>
      </c>
      <c r="I35" s="32">
        <f>IF(H35="OUI",C35,0)</f>
        <v>0</v>
      </c>
      <c r="J35" s="31">
        <f>I35-I34</f>
        <v>0</v>
      </c>
      <c r="K35" s="33">
        <f>(J35*6%)+(D35*7%)</f>
        <v>0</v>
      </c>
    </row>
    <row r="37" spans="1:11" ht="21.75" thickBot="1" x14ac:dyDescent="0.3">
      <c r="A37" s="401" t="s">
        <v>167</v>
      </c>
      <c r="B37" s="402"/>
      <c r="C37" s="402"/>
      <c r="D37" s="402"/>
      <c r="E37" s="402"/>
      <c r="F37" s="402"/>
      <c r="G37" s="402"/>
      <c r="H37" s="402"/>
      <c r="I37" s="35"/>
    </row>
    <row r="38" spans="1:11" ht="21" customHeight="1" thickBot="1" x14ac:dyDescent="0.3">
      <c r="A38" s="36" t="s">
        <v>130</v>
      </c>
      <c r="B38" s="37">
        <v>0.31950000000000001</v>
      </c>
    </row>
    <row r="39" spans="1:11" ht="15.75" thickBot="1" x14ac:dyDescent="0.3"/>
    <row r="40" spans="1:11" ht="30" x14ac:dyDescent="0.25">
      <c r="A40" s="4" t="s">
        <v>44</v>
      </c>
      <c r="B40" s="2" t="s">
        <v>131</v>
      </c>
      <c r="C40" s="2" t="s">
        <v>132</v>
      </c>
      <c r="D40" s="27" t="s">
        <v>111</v>
      </c>
      <c r="E40" s="16" t="s">
        <v>133</v>
      </c>
      <c r="F40" s="16" t="s">
        <v>134</v>
      </c>
      <c r="G40" s="16" t="s">
        <v>135</v>
      </c>
      <c r="H40" s="16" t="s">
        <v>136</v>
      </c>
      <c r="I40" s="3" t="s">
        <v>137</v>
      </c>
    </row>
    <row r="41" spans="1:11" ht="21" customHeight="1" x14ac:dyDescent="0.25">
      <c r="A41" s="18" t="s">
        <v>118</v>
      </c>
      <c r="B41" s="38"/>
      <c r="C41" s="39">
        <f>B41</f>
        <v>0</v>
      </c>
      <c r="D41" s="40">
        <v>1603.12</v>
      </c>
      <c r="E41" s="38">
        <f>+D41</f>
        <v>1603.12</v>
      </c>
      <c r="F41" s="41" t="e">
        <f>ROUND(($B$38/0.6)*((1.6*E41/C41)-1),4)</f>
        <v>#DIV/0!</v>
      </c>
      <c r="G41" s="39" t="e">
        <f>IF(F41&gt;0,F41*C41,0)</f>
        <v>#DIV/0!</v>
      </c>
      <c r="H41" s="42" t="e">
        <f>G41</f>
        <v>#DIV/0!</v>
      </c>
      <c r="I41" s="7" t="e">
        <f>IF(F41&gt;$B$38,"ERREUR","")</f>
        <v>#DIV/0!</v>
      </c>
    </row>
    <row r="42" spans="1:11" ht="21" customHeight="1" x14ac:dyDescent="0.25">
      <c r="A42" s="18" t="s">
        <v>119</v>
      </c>
      <c r="B42" s="38"/>
      <c r="C42" s="39">
        <f>C41+B42</f>
        <v>0</v>
      </c>
      <c r="D42" s="40">
        <v>1603.12</v>
      </c>
      <c r="E42" s="38">
        <f>D42+E41</f>
        <v>3206.24</v>
      </c>
      <c r="F42" s="41" t="e">
        <f>ROUND(($B$38/0.6)*((1.6*E42/C42)-1),4)</f>
        <v>#DIV/0!</v>
      </c>
      <c r="G42" s="39" t="e">
        <f t="shared" ref="G42:G45" si="20">IF(F42&gt;0,F42*C42,0)</f>
        <v>#DIV/0!</v>
      </c>
      <c r="H42" s="42" t="e">
        <f>G42-G41</f>
        <v>#DIV/0!</v>
      </c>
      <c r="I42" s="7" t="e">
        <f>IF(F42&gt;$B$38,"ERREUR","")</f>
        <v>#DIV/0!</v>
      </c>
    </row>
    <row r="43" spans="1:11" ht="21" customHeight="1" x14ac:dyDescent="0.25">
      <c r="A43" s="18" t="s">
        <v>120</v>
      </c>
      <c r="B43" s="38"/>
      <c r="C43" s="39">
        <f t="shared" ref="C43:C45" si="21">C42+B43</f>
        <v>0</v>
      </c>
      <c r="D43" s="40">
        <v>1603.12</v>
      </c>
      <c r="E43" s="38">
        <f t="shared" ref="E43:E45" si="22">D43+E42</f>
        <v>4809.3599999999997</v>
      </c>
      <c r="F43" s="41" t="e">
        <f>ROUND(($B$38/0.6)*((1.6*E43/C43)-1),4)</f>
        <v>#DIV/0!</v>
      </c>
      <c r="G43" s="43" t="e">
        <f t="shared" si="20"/>
        <v>#DIV/0!</v>
      </c>
      <c r="H43" s="42" t="e">
        <f t="shared" ref="H43:H45" si="23">G43-G42</f>
        <v>#DIV/0!</v>
      </c>
      <c r="I43" s="7" t="e">
        <f>IF(F43&gt;$B$38,"ERREUR","")</f>
        <v>#DIV/0!</v>
      </c>
    </row>
    <row r="44" spans="1:11" ht="21" customHeight="1" x14ac:dyDescent="0.25">
      <c r="A44" s="18" t="s">
        <v>121</v>
      </c>
      <c r="B44" s="38"/>
      <c r="C44" s="39">
        <f t="shared" si="21"/>
        <v>0</v>
      </c>
      <c r="D44" s="40">
        <v>1603.12</v>
      </c>
      <c r="E44" s="38">
        <f t="shared" si="22"/>
        <v>6412.48</v>
      </c>
      <c r="F44" s="41" t="e">
        <f>ROUND(($B$38/0.6)*((1.6*E44/C44)-1),4)</f>
        <v>#DIV/0!</v>
      </c>
      <c r="G44" s="39" t="e">
        <f t="shared" si="20"/>
        <v>#DIV/0!</v>
      </c>
      <c r="H44" s="42" t="e">
        <f t="shared" si="23"/>
        <v>#DIV/0!</v>
      </c>
      <c r="I44" s="7" t="e">
        <f>IF(F44&gt;$B$38,"ERREUR","")</f>
        <v>#DIV/0!</v>
      </c>
    </row>
    <row r="45" spans="1:11" ht="21" customHeight="1" x14ac:dyDescent="0.25">
      <c r="A45" s="18" t="s">
        <v>122</v>
      </c>
      <c r="B45" s="38"/>
      <c r="C45" s="39">
        <f t="shared" si="21"/>
        <v>0</v>
      </c>
      <c r="D45" s="40">
        <v>1603.12</v>
      </c>
      <c r="E45" s="38">
        <f t="shared" si="22"/>
        <v>8015.5999999999995</v>
      </c>
      <c r="F45" s="41" t="e">
        <f>ROUND(($B$38/0.6)*((1.6*E45/C45)-1),4)</f>
        <v>#DIV/0!</v>
      </c>
      <c r="G45" s="39" t="e">
        <f t="shared" si="20"/>
        <v>#DIV/0!</v>
      </c>
      <c r="H45" s="42" t="e">
        <f t="shared" si="23"/>
        <v>#DIV/0!</v>
      </c>
      <c r="I45" s="7" t="e">
        <f>IF(F45&gt;$B$38,"ERREUR","")</f>
        <v>#DIV/0!</v>
      </c>
    </row>
    <row r="47" spans="1:11" ht="23.25" x14ac:dyDescent="0.25">
      <c r="A47" s="11" t="s">
        <v>138</v>
      </c>
      <c r="B47" s="12"/>
      <c r="C47" s="12"/>
      <c r="D47" s="12"/>
      <c r="E47" s="12"/>
      <c r="F47" s="12"/>
    </row>
    <row r="49" spans="1:8" ht="18.75" x14ac:dyDescent="0.25">
      <c r="A49" s="13" t="s">
        <v>102</v>
      </c>
      <c r="D49" s="14">
        <v>3428</v>
      </c>
    </row>
    <row r="50" spans="1:8" ht="15.75" thickBot="1" x14ac:dyDescent="0.3"/>
    <row r="51" spans="1:8" ht="30" x14ac:dyDescent="0.25">
      <c r="A51" s="15" t="s">
        <v>44</v>
      </c>
      <c r="B51" s="2" t="s">
        <v>97</v>
      </c>
      <c r="C51" s="2" t="s">
        <v>103</v>
      </c>
      <c r="D51" s="2" t="s">
        <v>104</v>
      </c>
      <c r="E51" s="16" t="s">
        <v>105</v>
      </c>
      <c r="F51" s="2" t="s">
        <v>139</v>
      </c>
      <c r="G51" s="16" t="s">
        <v>140</v>
      </c>
      <c r="H51" s="17" t="s">
        <v>141</v>
      </c>
    </row>
    <row r="52" spans="1:8" ht="19.5" customHeight="1" x14ac:dyDescent="0.25">
      <c r="A52" s="18" t="s">
        <v>118</v>
      </c>
      <c r="B52" s="44"/>
      <c r="C52" s="45">
        <f>B52</f>
        <v>0</v>
      </c>
      <c r="D52" s="20">
        <v>3428</v>
      </c>
      <c r="E52" s="45">
        <f>D52</f>
        <v>3428</v>
      </c>
      <c r="F52" s="46" t="str">
        <f>IF(E52&gt;C52,"","OUI")</f>
        <v/>
      </c>
      <c r="G52" s="31">
        <f t="shared" ref="G52:G56" si="24">IF(C52&gt;E52,C52,0)</f>
        <v>0</v>
      </c>
      <c r="H52" s="47">
        <f>G52</f>
        <v>0</v>
      </c>
    </row>
    <row r="53" spans="1:8" ht="19.5" customHeight="1" x14ac:dyDescent="0.25">
      <c r="A53" s="18" t="s">
        <v>119</v>
      </c>
      <c r="B53" s="44"/>
      <c r="C53" s="45">
        <f>C52+B53</f>
        <v>0</v>
      </c>
      <c r="D53" s="20">
        <v>3428</v>
      </c>
      <c r="E53" s="45">
        <f>E52+D53</f>
        <v>6856</v>
      </c>
      <c r="F53" s="46" t="str">
        <f t="shared" ref="F53:F56" si="25">IF(E53&gt;C53,"","OUI")</f>
        <v/>
      </c>
      <c r="G53" s="31">
        <f t="shared" si="24"/>
        <v>0</v>
      </c>
      <c r="H53" s="47">
        <f>G53-G52</f>
        <v>0</v>
      </c>
    </row>
    <row r="54" spans="1:8" ht="19.5" customHeight="1" x14ac:dyDescent="0.25">
      <c r="A54" s="18" t="s">
        <v>120</v>
      </c>
      <c r="B54" s="44"/>
      <c r="C54" s="45">
        <f>C53+B54</f>
        <v>0</v>
      </c>
      <c r="D54" s="20">
        <v>3428</v>
      </c>
      <c r="E54" s="45">
        <f t="shared" ref="E54:E56" si="26">E53+D54</f>
        <v>10284</v>
      </c>
      <c r="F54" s="46" t="str">
        <f t="shared" si="25"/>
        <v/>
      </c>
      <c r="G54" s="31">
        <f t="shared" si="24"/>
        <v>0</v>
      </c>
      <c r="H54" s="47">
        <f t="shared" ref="H54:H56" si="27">G54-G53</f>
        <v>0</v>
      </c>
    </row>
    <row r="55" spans="1:8" ht="19.5" customHeight="1" x14ac:dyDescent="0.25">
      <c r="A55" s="18" t="s">
        <v>121</v>
      </c>
      <c r="B55" s="44"/>
      <c r="C55" s="45">
        <f t="shared" ref="C55:C56" si="28">C54+B55</f>
        <v>0</v>
      </c>
      <c r="D55" s="20">
        <v>3428</v>
      </c>
      <c r="E55" s="45">
        <f t="shared" si="26"/>
        <v>13712</v>
      </c>
      <c r="F55" s="46" t="str">
        <f t="shared" si="25"/>
        <v/>
      </c>
      <c r="G55" s="31">
        <f t="shared" si="24"/>
        <v>0</v>
      </c>
      <c r="H55" s="47">
        <f t="shared" si="27"/>
        <v>0</v>
      </c>
    </row>
    <row r="56" spans="1:8" ht="19.5" customHeight="1" x14ac:dyDescent="0.25">
      <c r="A56" s="18" t="s">
        <v>122</v>
      </c>
      <c r="B56" s="44"/>
      <c r="C56" s="45">
        <f t="shared" si="28"/>
        <v>0</v>
      </c>
      <c r="D56" s="20">
        <v>3428</v>
      </c>
      <c r="E56" s="45">
        <f t="shared" si="26"/>
        <v>17140</v>
      </c>
      <c r="F56" s="46" t="str">
        <f t="shared" si="25"/>
        <v/>
      </c>
      <c r="G56" s="31">
        <f t="shared" si="24"/>
        <v>0</v>
      </c>
      <c r="H56" s="47">
        <f t="shared" si="27"/>
        <v>0</v>
      </c>
    </row>
  </sheetData>
  <mergeCells count="1">
    <mergeCell ref="A37:H3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1EC9-1A26-49B2-B8C2-32D14810EDFF}">
  <sheetPr>
    <tabColor rgb="FFFF0000"/>
  </sheetPr>
  <dimension ref="A2:M19"/>
  <sheetViews>
    <sheetView zoomScaleNormal="100" workbookViewId="0">
      <selection activeCell="B4" sqref="B4"/>
    </sheetView>
  </sheetViews>
  <sheetFormatPr baseColWidth="10" defaultRowHeight="15" x14ac:dyDescent="0.25"/>
  <cols>
    <col min="1" max="1" width="21.42578125" style="1" customWidth="1"/>
    <col min="2" max="2" width="13" style="1" bestFit="1" customWidth="1"/>
    <col min="3" max="3" width="12.7109375" style="1" bestFit="1" customWidth="1"/>
    <col min="4" max="5" width="16.85546875" style="1" bestFit="1" customWidth="1"/>
    <col min="6" max="6" width="12.42578125" style="1" bestFit="1" customWidth="1"/>
    <col min="7" max="7" width="12.85546875" style="1" customWidth="1"/>
    <col min="8" max="8" width="13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18" style="1" customWidth="1"/>
    <col min="13" max="16384" width="11.42578125" style="1"/>
  </cols>
  <sheetData>
    <row r="2" spans="1:13" ht="21.75" thickBot="1" x14ac:dyDescent="0.3">
      <c r="A2" s="401" t="s">
        <v>167</v>
      </c>
      <c r="B2" s="402"/>
      <c r="C2" s="402"/>
      <c r="D2" s="402"/>
      <c r="E2" s="402"/>
      <c r="F2" s="402"/>
      <c r="G2" s="402"/>
      <c r="H2" s="402"/>
      <c r="I2" s="35"/>
    </row>
    <row r="3" spans="1:13" ht="21" customHeight="1" thickBot="1" x14ac:dyDescent="0.3">
      <c r="A3" s="36" t="s">
        <v>130</v>
      </c>
      <c r="B3" s="37">
        <v>0.31909999999999999</v>
      </c>
    </row>
    <row r="4" spans="1:13" ht="15.75" thickBot="1" x14ac:dyDescent="0.3"/>
    <row r="5" spans="1:13" ht="30" x14ac:dyDescent="0.25">
      <c r="A5" s="4" t="s">
        <v>44</v>
      </c>
      <c r="B5" s="2" t="s">
        <v>131</v>
      </c>
      <c r="C5" s="2" t="s">
        <v>132</v>
      </c>
      <c r="D5" s="27" t="s">
        <v>111</v>
      </c>
      <c r="E5" s="16" t="s">
        <v>133</v>
      </c>
      <c r="F5" s="16" t="s">
        <v>134</v>
      </c>
      <c r="G5" s="16" t="s">
        <v>135</v>
      </c>
      <c r="H5" s="16" t="s">
        <v>136</v>
      </c>
      <c r="I5" s="3" t="s">
        <v>137</v>
      </c>
    </row>
    <row r="6" spans="1:13" ht="21" customHeight="1" x14ac:dyDescent="0.25">
      <c r="A6" s="18" t="s">
        <v>118</v>
      </c>
      <c r="B6" s="38">
        <f>+'EXPL T1 NC 2022'!D37</f>
        <v>2215.3754862530495</v>
      </c>
      <c r="C6" s="39">
        <f>B6</f>
        <v>2215.3754862530495</v>
      </c>
      <c r="D6" s="40">
        <v>2024.88</v>
      </c>
      <c r="E6" s="38">
        <f>+D6</f>
        <v>2024.88</v>
      </c>
      <c r="F6" s="41">
        <f>ROUND(($B$3/0.6)*((1.6*E6/C6)-1),4)</f>
        <v>0.24590000000000001</v>
      </c>
      <c r="G6" s="39">
        <f>IF(F6&gt;0,F6*C6,0)</f>
        <v>544.76083206962494</v>
      </c>
      <c r="H6" s="219">
        <f>G6</f>
        <v>544.76083206962494</v>
      </c>
      <c r="I6" s="7" t="str">
        <f>IF(F6&gt;$B$3,"ERREUR","")</f>
        <v/>
      </c>
    </row>
    <row r="7" spans="1:13" ht="21" customHeight="1" x14ac:dyDescent="0.25">
      <c r="A7" s="18" t="s">
        <v>119</v>
      </c>
      <c r="B7" s="38">
        <v>1950</v>
      </c>
      <c r="C7" s="39">
        <f>C6+B7</f>
        <v>4165.3754862530495</v>
      </c>
      <c r="D7" s="40">
        <v>1603.12</v>
      </c>
      <c r="E7" s="38">
        <f>D7+E6</f>
        <v>3628</v>
      </c>
      <c r="F7" s="41">
        <f>ROUND(($B$3/0.6)*((1.6*E7/C7)-1),4)</f>
        <v>0.20930000000000001</v>
      </c>
      <c r="G7" s="39">
        <f t="shared" ref="G7:G10" si="0">IF(F7&gt;0,F7*C7,0)</f>
        <v>871.81308927276336</v>
      </c>
      <c r="H7" s="219">
        <f>G7-G6</f>
        <v>327.05225720313842</v>
      </c>
      <c r="I7" s="7" t="str">
        <f>IF(F7&gt;$B$3,"ERREUR","")</f>
        <v/>
      </c>
    </row>
    <row r="8" spans="1:13" ht="21" customHeight="1" x14ac:dyDescent="0.25">
      <c r="A8" s="18" t="s">
        <v>120</v>
      </c>
      <c r="B8" s="38">
        <f>'Modèle 2023'!D37</f>
        <v>0</v>
      </c>
      <c r="C8" s="39">
        <f t="shared" ref="C8:C10" si="1">C7+B8</f>
        <v>4165.3754862530495</v>
      </c>
      <c r="D8" s="227">
        <f>162.67*10.57</f>
        <v>1719.4218999999998</v>
      </c>
      <c r="E8" s="38">
        <f t="shared" ref="E8:E10" si="2">D8+E7</f>
        <v>5347.4218999999994</v>
      </c>
      <c r="F8" s="41">
        <f>ROUND(($B$3/0.6)*((1.6*E8/C8)-1),4)</f>
        <v>0.56059999999999999</v>
      </c>
      <c r="G8" s="39">
        <f t="shared" si="0"/>
        <v>2335.1094975934593</v>
      </c>
      <c r="H8" s="219">
        <f t="shared" ref="H8:H10" si="3">G8-G7</f>
        <v>1463.2964083206959</v>
      </c>
      <c r="I8" s="7" t="str">
        <f>IF(F8&gt;$B$3,"ERREUR","")</f>
        <v>ERREUR</v>
      </c>
    </row>
    <row r="9" spans="1:13" ht="21" customHeight="1" thickBot="1" x14ac:dyDescent="0.3">
      <c r="A9" s="18" t="s">
        <v>121</v>
      </c>
      <c r="B9" s="38">
        <v>1850</v>
      </c>
      <c r="C9" s="39">
        <f t="shared" si="1"/>
        <v>6015.3754862530495</v>
      </c>
      <c r="D9" s="40">
        <v>1603.12</v>
      </c>
      <c r="E9" s="38">
        <f t="shared" si="2"/>
        <v>6950.5418999999993</v>
      </c>
      <c r="F9" s="41">
        <f>ROUND(($B$3/0.6)*((1.6*E9/C9)-1),4)</f>
        <v>0.45140000000000002</v>
      </c>
      <c r="G9" s="39">
        <f t="shared" si="0"/>
        <v>2715.3404944946269</v>
      </c>
      <c r="H9" s="219">
        <f t="shared" si="3"/>
        <v>380.2309969011676</v>
      </c>
      <c r="I9" s="7" t="str">
        <f>IF(F9&gt;$B$3,"ERREUR","")</f>
        <v>ERREUR</v>
      </c>
    </row>
    <row r="10" spans="1:13" ht="21" customHeight="1" thickBot="1" x14ac:dyDescent="0.3">
      <c r="A10" s="18" t="s">
        <v>122</v>
      </c>
      <c r="B10" s="38">
        <f>'Modèle 2023'!D37</f>
        <v>0</v>
      </c>
      <c r="C10" s="39">
        <f t="shared" si="1"/>
        <v>6015.3754862530495</v>
      </c>
      <c r="D10" s="220">
        <f>M10</f>
        <v>1803.9819</v>
      </c>
      <c r="E10" s="38">
        <f t="shared" si="2"/>
        <v>8754.523799999999</v>
      </c>
      <c r="F10" s="41">
        <f>ROUND(($B$3/0.6)*((1.6*E10/C10)-1),4)</f>
        <v>0.70660000000000001</v>
      </c>
      <c r="G10" s="39">
        <f t="shared" si="0"/>
        <v>4250.4643185864052</v>
      </c>
      <c r="H10" s="219">
        <f t="shared" si="3"/>
        <v>1535.1238240917783</v>
      </c>
      <c r="I10" s="7" t="str">
        <f>IF(F10&gt;$B$3,"ERREUR","")</f>
        <v>ERREUR</v>
      </c>
      <c r="K10" s="217" t="s">
        <v>169</v>
      </c>
      <c r="L10" s="8" t="s">
        <v>170</v>
      </c>
      <c r="M10" s="221">
        <f>170.67*10.57</f>
        <v>1803.9819</v>
      </c>
    </row>
    <row r="14" spans="1:13" ht="23.25" x14ac:dyDescent="0.25">
      <c r="A14" s="11" t="s">
        <v>171</v>
      </c>
      <c r="B14" s="12"/>
    </row>
    <row r="15" spans="1:13" ht="15.75" thickBot="1" x14ac:dyDescent="0.3"/>
    <row r="16" spans="1:13" ht="21.75" customHeight="1" x14ac:dyDescent="0.25">
      <c r="A16" s="4"/>
      <c r="B16" s="2" t="s">
        <v>174</v>
      </c>
      <c r="C16" s="2" t="s">
        <v>175</v>
      </c>
      <c r="D16" s="2" t="s">
        <v>176</v>
      </c>
      <c r="E16" s="3" t="s">
        <v>177</v>
      </c>
    </row>
    <row r="17" spans="1:5" ht="21.75" customHeight="1" x14ac:dyDescent="0.25">
      <c r="A17" s="5" t="s">
        <v>172</v>
      </c>
      <c r="B17" s="9">
        <v>45</v>
      </c>
      <c r="C17" s="9">
        <f>B17-35</f>
        <v>10</v>
      </c>
      <c r="D17" s="9">
        <v>8</v>
      </c>
      <c r="E17" s="10">
        <f>C17-D17</f>
        <v>2</v>
      </c>
    </row>
    <row r="18" spans="1:5" ht="21.75" customHeight="1" x14ac:dyDescent="0.25">
      <c r="A18" s="5" t="s">
        <v>173</v>
      </c>
      <c r="B18" s="9">
        <v>44</v>
      </c>
      <c r="C18" s="9">
        <f>B18-35</f>
        <v>9</v>
      </c>
      <c r="D18" s="9">
        <v>8</v>
      </c>
      <c r="E18" s="10">
        <f>C18-D18</f>
        <v>1</v>
      </c>
    </row>
    <row r="19" spans="1:5" ht="21.75" customHeight="1" thickBot="1" x14ac:dyDescent="0.3">
      <c r="A19" s="6" t="s">
        <v>178</v>
      </c>
      <c r="B19" s="222"/>
      <c r="C19" s="223">
        <f>SUM(C17:C18)</f>
        <v>19</v>
      </c>
      <c r="D19" s="223">
        <f>SUM(D17:D18)</f>
        <v>16</v>
      </c>
      <c r="E19" s="224">
        <f>SUM(E17:E18)</f>
        <v>3</v>
      </c>
    </row>
  </sheetData>
  <mergeCells count="1">
    <mergeCell ref="A2:H2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E229-B825-4500-892F-783526B2E016}">
  <sheetPr>
    <tabColor rgb="FFFF0000"/>
  </sheetPr>
  <dimension ref="A1:N84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92.28515625" style="48" customWidth="1"/>
    <col min="2" max="2" width="16.7109375" style="48" customWidth="1"/>
    <col min="3" max="3" width="17.140625" style="48" bestFit="1" customWidth="1"/>
    <col min="4" max="4" width="25.5703125" style="48" bestFit="1" customWidth="1"/>
    <col min="5" max="5" width="18.28515625" style="48" customWidth="1"/>
    <col min="6" max="6" width="27.28515625" style="48" hidden="1" customWidth="1"/>
    <col min="7" max="7" width="49.42578125" style="48" hidden="1" customWidth="1"/>
    <col min="8" max="8" width="11.7109375" style="48" hidden="1" customWidth="1"/>
    <col min="9" max="9" width="12" style="48" hidden="1" customWidth="1"/>
    <col min="10" max="10" width="0" style="48" hidden="1" customWidth="1"/>
    <col min="11" max="11" width="12.140625" style="48" hidden="1" customWidth="1"/>
    <col min="12" max="13" width="12" style="48" hidden="1" customWidth="1"/>
    <col min="14" max="15" width="0" style="48" hidden="1" customWidth="1"/>
    <col min="16" max="16384" width="11.42578125" style="48"/>
  </cols>
  <sheetData>
    <row r="1" spans="1:10" ht="22.5" x14ac:dyDescent="0.25">
      <c r="A1" s="326" t="s">
        <v>45</v>
      </c>
      <c r="B1" s="327"/>
      <c r="C1" s="327"/>
      <c r="D1" s="327"/>
      <c r="E1" s="328"/>
      <c r="G1" s="213" t="s">
        <v>166</v>
      </c>
    </row>
    <row r="2" spans="1:10" ht="15.75" thickBot="1" x14ac:dyDescent="0.3">
      <c r="A2" s="329" t="s">
        <v>46</v>
      </c>
      <c r="B2" s="55"/>
      <c r="C2" s="55"/>
      <c r="D2" s="55" t="s">
        <v>47</v>
      </c>
      <c r="E2" s="330" t="s">
        <v>168</v>
      </c>
    </row>
    <row r="3" spans="1:10" x14ac:dyDescent="0.25">
      <c r="A3" s="205" t="s">
        <v>48</v>
      </c>
      <c r="B3" s="55"/>
      <c r="C3" s="55"/>
      <c r="D3" s="55" t="s">
        <v>48</v>
      </c>
      <c r="E3" s="54"/>
      <c r="G3" s="52" t="s">
        <v>0</v>
      </c>
      <c r="H3" s="51">
        <v>1950</v>
      </c>
    </row>
    <row r="4" spans="1:10" x14ac:dyDescent="0.25">
      <c r="A4" s="205" t="s">
        <v>49</v>
      </c>
      <c r="B4" s="55"/>
      <c r="C4" s="55"/>
      <c r="D4" s="55" t="s">
        <v>50</v>
      </c>
      <c r="E4" s="54"/>
      <c r="G4" s="50" t="s">
        <v>165</v>
      </c>
      <c r="H4" s="54">
        <v>151.66999999999999</v>
      </c>
    </row>
    <row r="5" spans="1:10" x14ac:dyDescent="0.25">
      <c r="A5" s="205" t="s">
        <v>51</v>
      </c>
      <c r="B5" s="55"/>
      <c r="C5" s="55"/>
      <c r="D5" s="55" t="s">
        <v>52</v>
      </c>
      <c r="E5" s="54"/>
      <c r="G5" s="50" t="s">
        <v>164</v>
      </c>
      <c r="H5" s="54"/>
    </row>
    <row r="6" spans="1:10" x14ac:dyDescent="0.25">
      <c r="A6" s="205" t="s">
        <v>51</v>
      </c>
      <c r="B6" s="55"/>
      <c r="C6" s="55"/>
      <c r="D6" s="55" t="s">
        <v>53</v>
      </c>
      <c r="E6" s="54"/>
      <c r="G6" s="193" t="s">
        <v>163</v>
      </c>
      <c r="H6" s="56">
        <v>4</v>
      </c>
    </row>
    <row r="7" spans="1:10" x14ac:dyDescent="0.25">
      <c r="A7" s="205" t="s">
        <v>54</v>
      </c>
      <c r="B7" s="55"/>
      <c r="C7" s="55"/>
      <c r="D7" s="55"/>
      <c r="E7" s="54"/>
      <c r="G7" s="50" t="s">
        <v>162</v>
      </c>
      <c r="H7" s="209">
        <v>4.7199999999999999E-2</v>
      </c>
    </row>
    <row r="8" spans="1:10" x14ac:dyDescent="0.25">
      <c r="A8" s="205" t="s">
        <v>55</v>
      </c>
      <c r="B8" s="55"/>
      <c r="C8" s="55"/>
      <c r="D8" s="55" t="s">
        <v>56</v>
      </c>
      <c r="E8" s="54"/>
      <c r="G8" s="208" t="s">
        <v>161</v>
      </c>
      <c r="H8" s="207">
        <v>0</v>
      </c>
    </row>
    <row r="9" spans="1:10" x14ac:dyDescent="0.25">
      <c r="A9" s="205" t="s">
        <v>57</v>
      </c>
      <c r="B9" s="55"/>
      <c r="C9" s="55"/>
      <c r="D9" s="55" t="s">
        <v>58</v>
      </c>
      <c r="E9" s="54"/>
      <c r="G9" s="50" t="s">
        <v>160</v>
      </c>
      <c r="H9" s="206">
        <v>10.57</v>
      </c>
    </row>
    <row r="10" spans="1:10" x14ac:dyDescent="0.25">
      <c r="A10" s="205" t="s">
        <v>59</v>
      </c>
      <c r="B10" s="55"/>
      <c r="C10" s="55"/>
      <c r="D10" s="55" t="s">
        <v>60</v>
      </c>
      <c r="E10" s="54"/>
      <c r="G10" s="50"/>
      <c r="H10" s="171"/>
    </row>
    <row r="11" spans="1:10" x14ac:dyDescent="0.25">
      <c r="A11" s="205" t="s">
        <v>61</v>
      </c>
      <c r="B11" s="55"/>
      <c r="C11" s="55"/>
      <c r="D11" s="55" t="s">
        <v>62</v>
      </c>
      <c r="E11" s="54"/>
      <c r="G11" s="50" t="s">
        <v>159</v>
      </c>
      <c r="H11" s="54">
        <v>0</v>
      </c>
    </row>
    <row r="12" spans="1:10" x14ac:dyDescent="0.25">
      <c r="A12" s="205" t="s">
        <v>63</v>
      </c>
      <c r="B12" s="55"/>
      <c r="C12" s="55"/>
      <c r="D12" s="55" t="s">
        <v>64</v>
      </c>
      <c r="E12" s="54"/>
      <c r="G12" s="50" t="s">
        <v>77</v>
      </c>
      <c r="H12" s="54">
        <v>11</v>
      </c>
    </row>
    <row r="13" spans="1:10" x14ac:dyDescent="0.25">
      <c r="A13" s="205" t="s">
        <v>65</v>
      </c>
      <c r="B13" s="55"/>
      <c r="C13" s="55"/>
      <c r="D13" s="55" t="s">
        <v>66</v>
      </c>
      <c r="E13" s="54"/>
      <c r="G13" s="50" t="s">
        <v>4</v>
      </c>
      <c r="H13" s="54"/>
    </row>
    <row r="14" spans="1:10" x14ac:dyDescent="0.25">
      <c r="A14" s="205"/>
      <c r="B14" s="55"/>
      <c r="C14" s="55"/>
      <c r="D14" s="55" t="s">
        <v>67</v>
      </c>
      <c r="E14" s="54"/>
      <c r="G14" s="50" t="s">
        <v>153</v>
      </c>
      <c r="H14" s="54"/>
    </row>
    <row r="15" spans="1:10" x14ac:dyDescent="0.25">
      <c r="A15" s="50"/>
      <c r="B15" s="55"/>
      <c r="C15" s="55"/>
      <c r="D15" s="55"/>
      <c r="E15" s="54"/>
      <c r="G15" s="50" t="s">
        <v>152</v>
      </c>
      <c r="H15" s="54"/>
    </row>
    <row r="16" spans="1:10" x14ac:dyDescent="0.25">
      <c r="A16" s="50"/>
      <c r="B16" s="55"/>
      <c r="C16" s="55"/>
      <c r="D16" s="55"/>
      <c r="E16" s="54"/>
      <c r="G16" s="193" t="s">
        <v>158</v>
      </c>
      <c r="H16" s="54"/>
      <c r="J16" s="48" t="s">
        <v>157</v>
      </c>
    </row>
    <row r="17" spans="1:14" x14ac:dyDescent="0.25">
      <c r="A17" s="331" t="s">
        <v>68</v>
      </c>
      <c r="B17" s="403"/>
      <c r="C17" s="404"/>
      <c r="D17" s="332" t="s">
        <v>69</v>
      </c>
      <c r="E17" s="333"/>
      <c r="G17" s="193" t="s">
        <v>75</v>
      </c>
      <c r="H17" s="197">
        <f>+D37</f>
        <v>0</v>
      </c>
    </row>
    <row r="18" spans="1:14" ht="20.25" customHeight="1" x14ac:dyDescent="0.25">
      <c r="A18" s="334" t="s">
        <v>70</v>
      </c>
      <c r="B18" s="335"/>
      <c r="C18" s="335"/>
      <c r="D18" s="335"/>
      <c r="E18" s="336"/>
      <c r="G18" s="193" t="s">
        <v>76</v>
      </c>
      <c r="H18" s="192">
        <v>0</v>
      </c>
    </row>
    <row r="19" spans="1:14" ht="24" customHeight="1" x14ac:dyDescent="0.25">
      <c r="A19" s="337" t="s">
        <v>70</v>
      </c>
      <c r="B19" s="338" t="s">
        <v>71</v>
      </c>
      <c r="C19" s="338" t="s">
        <v>72</v>
      </c>
      <c r="D19" s="338" t="s">
        <v>73</v>
      </c>
      <c r="E19" s="165"/>
      <c r="G19" s="50" t="s">
        <v>156</v>
      </c>
      <c r="H19" s="54">
        <v>0.31950000000000001</v>
      </c>
      <c r="J19" s="48" t="s">
        <v>143</v>
      </c>
    </row>
    <row r="20" spans="1:14" s="170" customFormat="1" x14ac:dyDescent="0.2">
      <c r="A20" s="50" t="s">
        <v>0</v>
      </c>
      <c r="B20" s="339"/>
      <c r="C20" s="340"/>
      <c r="D20" s="159"/>
      <c r="E20" s="341"/>
      <c r="F20" s="48"/>
      <c r="G20" s="183" t="s">
        <v>18</v>
      </c>
      <c r="H20" s="182">
        <v>6.2E-2</v>
      </c>
      <c r="I20" s="48"/>
      <c r="J20" s="48"/>
      <c r="K20" s="48"/>
      <c r="L20" s="48"/>
      <c r="M20" s="48"/>
      <c r="N20" s="48"/>
    </row>
    <row r="21" spans="1:14" s="170" customFormat="1" x14ac:dyDescent="0.25">
      <c r="A21" s="50" t="s">
        <v>188</v>
      </c>
      <c r="B21" s="339"/>
      <c r="C21" s="340"/>
      <c r="D21" s="163"/>
      <c r="E21" s="341"/>
      <c r="G21" s="50" t="s">
        <v>16</v>
      </c>
      <c r="H21" s="178"/>
      <c r="I21" s="48"/>
      <c r="J21" s="48"/>
      <c r="K21" s="48"/>
      <c r="L21" s="48"/>
      <c r="M21" s="48"/>
      <c r="N21" s="48"/>
    </row>
    <row r="22" spans="1:14" s="170" customFormat="1" x14ac:dyDescent="0.25">
      <c r="A22" s="50" t="s">
        <v>3</v>
      </c>
      <c r="B22" s="342"/>
      <c r="C22" s="343"/>
      <c r="D22" s="159"/>
      <c r="E22" s="341"/>
      <c r="G22" s="50" t="s">
        <v>17</v>
      </c>
      <c r="H22" s="178"/>
      <c r="I22" s="48"/>
      <c r="J22" s="48"/>
      <c r="K22" s="48"/>
      <c r="L22" s="48"/>
      <c r="M22" s="48"/>
      <c r="N22" s="48"/>
    </row>
    <row r="23" spans="1:14" s="170" customFormat="1" x14ac:dyDescent="0.25">
      <c r="A23" s="50" t="s">
        <v>187</v>
      </c>
      <c r="B23" s="339"/>
      <c r="C23" s="340"/>
      <c r="D23" s="163"/>
      <c r="E23" s="341"/>
      <c r="G23" s="50" t="s">
        <v>155</v>
      </c>
      <c r="H23" s="171"/>
      <c r="I23" s="48"/>
      <c r="J23" s="48"/>
      <c r="K23" s="48"/>
      <c r="L23" s="48"/>
      <c r="M23" s="48"/>
      <c r="N23" s="48"/>
    </row>
    <row r="24" spans="1:14" ht="15.75" thickBot="1" x14ac:dyDescent="0.3">
      <c r="A24" s="50" t="s">
        <v>77</v>
      </c>
      <c r="B24" s="55"/>
      <c r="C24" s="163"/>
      <c r="D24" s="163"/>
      <c r="E24" s="169"/>
      <c r="G24" s="49" t="s">
        <v>154</v>
      </c>
      <c r="H24" s="168"/>
    </row>
    <row r="25" spans="1:14" x14ac:dyDescent="0.25">
      <c r="A25" s="50" t="s">
        <v>4</v>
      </c>
      <c r="B25" s="55"/>
      <c r="C25" s="163"/>
      <c r="D25" s="163"/>
      <c r="E25" s="165"/>
    </row>
    <row r="26" spans="1:14" x14ac:dyDescent="0.25">
      <c r="A26" s="50" t="s">
        <v>153</v>
      </c>
      <c r="B26" s="55"/>
      <c r="C26" s="163"/>
      <c r="D26" s="163"/>
      <c r="E26" s="165"/>
    </row>
    <row r="27" spans="1:14" x14ac:dyDescent="0.25">
      <c r="A27" s="50" t="s">
        <v>152</v>
      </c>
      <c r="B27" s="55"/>
      <c r="C27" s="163"/>
      <c r="D27" s="163"/>
      <c r="E27" s="165"/>
    </row>
    <row r="28" spans="1:14" x14ac:dyDescent="0.25">
      <c r="A28" s="50" t="s">
        <v>81</v>
      </c>
      <c r="B28" s="167"/>
      <c r="C28" s="160"/>
      <c r="D28" s="159"/>
      <c r="E28" s="165"/>
    </row>
    <row r="29" spans="1:14" ht="27" x14ac:dyDescent="0.25">
      <c r="A29" s="50" t="s">
        <v>142</v>
      </c>
      <c r="B29" s="164"/>
      <c r="C29" s="55"/>
      <c r="D29" s="163"/>
      <c r="E29" s="157"/>
      <c r="G29" s="162"/>
    </row>
    <row r="30" spans="1:14" x14ac:dyDescent="0.25">
      <c r="A30" s="50" t="s">
        <v>151</v>
      </c>
      <c r="B30" s="161"/>
      <c r="C30" s="160"/>
      <c r="D30" s="159"/>
      <c r="E30" s="157"/>
    </row>
    <row r="31" spans="1:14" x14ac:dyDescent="0.25">
      <c r="A31" s="50"/>
      <c r="B31" s="164"/>
      <c r="C31" s="55"/>
      <c r="D31" s="163"/>
      <c r="E31" s="157"/>
    </row>
    <row r="32" spans="1:14" x14ac:dyDescent="0.25">
      <c r="A32" s="50" t="s">
        <v>78</v>
      </c>
      <c r="B32" s="344"/>
      <c r="C32" s="345"/>
      <c r="D32" s="346"/>
      <c r="E32" s="341"/>
    </row>
    <row r="33" spans="1:5" x14ac:dyDescent="0.25">
      <c r="A33" s="347" t="s">
        <v>79</v>
      </c>
      <c r="B33" s="344"/>
      <c r="C33" s="345"/>
      <c r="D33" s="346"/>
      <c r="E33" s="341"/>
    </row>
    <row r="34" spans="1:5" x14ac:dyDescent="0.25">
      <c r="A34" s="50" t="s">
        <v>80</v>
      </c>
      <c r="B34" s="344"/>
      <c r="C34" s="345"/>
      <c r="D34" s="346"/>
      <c r="E34" s="341"/>
    </row>
    <row r="35" spans="1:5" x14ac:dyDescent="0.25">
      <c r="A35" s="347" t="s">
        <v>150</v>
      </c>
      <c r="B35" s="344"/>
      <c r="C35" s="348"/>
      <c r="D35" s="346"/>
      <c r="E35" s="341"/>
    </row>
    <row r="36" spans="1:5" x14ac:dyDescent="0.25">
      <c r="A36" s="347" t="s">
        <v>1</v>
      </c>
      <c r="B36" s="344"/>
      <c r="C36" s="349"/>
      <c r="D36" s="346">
        <f>B36*C36</f>
        <v>0</v>
      </c>
      <c r="E36" s="341"/>
    </row>
    <row r="37" spans="1:5" x14ac:dyDescent="0.25">
      <c r="A37" s="350" t="s">
        <v>5</v>
      </c>
      <c r="B37" s="55"/>
      <c r="C37" s="55"/>
      <c r="D37" s="351">
        <f>SUM(D20:D36)</f>
        <v>0</v>
      </c>
      <c r="E37" s="341"/>
    </row>
    <row r="38" spans="1:5" x14ac:dyDescent="0.25">
      <c r="A38" s="50"/>
      <c r="B38" s="352"/>
      <c r="C38" s="353"/>
      <c r="D38" s="353"/>
      <c r="E38" s="354"/>
    </row>
    <row r="39" spans="1:5" x14ac:dyDescent="0.25">
      <c r="A39" s="355" t="s">
        <v>82</v>
      </c>
      <c r="B39" s="356" t="s">
        <v>15</v>
      </c>
      <c r="C39" s="356" t="s">
        <v>201</v>
      </c>
      <c r="D39" s="356" t="s">
        <v>202</v>
      </c>
      <c r="E39" s="357" t="s">
        <v>190</v>
      </c>
    </row>
    <row r="40" spans="1:5" x14ac:dyDescent="0.25">
      <c r="A40" s="358" t="s">
        <v>6</v>
      </c>
      <c r="B40" s="359"/>
      <c r="C40" s="360"/>
      <c r="D40" s="360"/>
      <c r="E40" s="361"/>
    </row>
    <row r="41" spans="1:5" x14ac:dyDescent="0.25">
      <c r="A41" s="362" t="s">
        <v>83</v>
      </c>
      <c r="B41" s="363"/>
      <c r="C41" s="364"/>
      <c r="D41" s="365"/>
      <c r="E41" s="366"/>
    </row>
    <row r="42" spans="1:5" x14ac:dyDescent="0.25">
      <c r="A42" s="367" t="s">
        <v>199</v>
      </c>
      <c r="B42" s="368"/>
      <c r="C42" s="368"/>
      <c r="D42" s="368"/>
      <c r="E42" s="366"/>
    </row>
    <row r="43" spans="1:5" x14ac:dyDescent="0.25">
      <c r="A43" s="362" t="s">
        <v>84</v>
      </c>
      <c r="B43" s="363"/>
      <c r="C43" s="369"/>
      <c r="D43" s="370"/>
      <c r="E43" s="366"/>
    </row>
    <row r="44" spans="1:5" x14ac:dyDescent="0.25">
      <c r="A44" s="362" t="s">
        <v>85</v>
      </c>
      <c r="B44" s="363"/>
      <c r="C44" s="369"/>
      <c r="D44" s="370"/>
      <c r="E44" s="366"/>
    </row>
    <row r="45" spans="1:5" x14ac:dyDescent="0.25">
      <c r="A45" s="358" t="s">
        <v>7</v>
      </c>
      <c r="B45" s="363"/>
      <c r="C45" s="368"/>
      <c r="D45" s="363"/>
      <c r="E45" s="366"/>
    </row>
    <row r="46" spans="1:5" x14ac:dyDescent="0.25">
      <c r="A46" s="358" t="s">
        <v>8</v>
      </c>
      <c r="B46" s="359"/>
      <c r="C46" s="360"/>
      <c r="D46" s="360"/>
      <c r="E46" s="361"/>
    </row>
    <row r="47" spans="1:5" x14ac:dyDescent="0.25">
      <c r="A47" s="362" t="s">
        <v>20</v>
      </c>
      <c r="B47" s="363"/>
      <c r="C47" s="369">
        <v>6.9000000000000006E-2</v>
      </c>
      <c r="D47" s="370"/>
      <c r="E47" s="366"/>
    </row>
    <row r="48" spans="1:5" x14ac:dyDescent="0.25">
      <c r="A48" s="362" t="s">
        <v>22</v>
      </c>
      <c r="B48" s="363"/>
      <c r="C48" s="369">
        <v>4.0000000000000001E-3</v>
      </c>
      <c r="D48" s="370"/>
      <c r="E48" s="366"/>
    </row>
    <row r="49" spans="1:5" x14ac:dyDescent="0.25">
      <c r="A49" s="362" t="s">
        <v>23</v>
      </c>
      <c r="B49" s="363"/>
      <c r="C49" s="369">
        <v>4.0099999999999997E-2</v>
      </c>
      <c r="D49" s="370"/>
      <c r="E49" s="366"/>
    </row>
    <row r="50" spans="1:5" x14ac:dyDescent="0.25">
      <c r="A50" s="362" t="s">
        <v>149</v>
      </c>
      <c r="B50" s="363"/>
      <c r="C50" s="369">
        <v>9.7199999999999995E-2</v>
      </c>
      <c r="D50" s="370"/>
      <c r="E50" s="366"/>
    </row>
    <row r="51" spans="1:5" x14ac:dyDescent="0.25">
      <c r="A51" s="362" t="s">
        <v>86</v>
      </c>
      <c r="B51" s="363"/>
      <c r="C51" s="369">
        <v>1.4E-3</v>
      </c>
      <c r="D51" s="370"/>
      <c r="E51" s="366"/>
    </row>
    <row r="52" spans="1:5" x14ac:dyDescent="0.25">
      <c r="A52" s="362" t="s">
        <v>87</v>
      </c>
      <c r="B52" s="363"/>
      <c r="C52" s="369"/>
      <c r="D52" s="370"/>
      <c r="E52" s="366"/>
    </row>
    <row r="53" spans="1:5" x14ac:dyDescent="0.25">
      <c r="A53" s="358" t="s">
        <v>88</v>
      </c>
      <c r="B53" s="363"/>
      <c r="C53" s="371"/>
      <c r="D53" s="363"/>
      <c r="E53" s="366"/>
    </row>
    <row r="54" spans="1:5" x14ac:dyDescent="0.25">
      <c r="A54" s="358" t="s">
        <v>21</v>
      </c>
      <c r="B54" s="363"/>
      <c r="C54" s="371"/>
      <c r="D54" s="363"/>
      <c r="E54" s="366"/>
    </row>
    <row r="55" spans="1:5" x14ac:dyDescent="0.25">
      <c r="A55" s="362" t="s">
        <v>89</v>
      </c>
      <c r="B55" s="363">
        <f>IF(H16="cadre",D37,0)</f>
        <v>0</v>
      </c>
      <c r="C55" s="372">
        <v>2.4000000000000001E-4</v>
      </c>
      <c r="D55" s="363"/>
      <c r="E55" s="366"/>
    </row>
    <row r="56" spans="1:5" x14ac:dyDescent="0.25">
      <c r="A56" s="358" t="s">
        <v>19</v>
      </c>
      <c r="B56" s="363"/>
      <c r="C56" s="371"/>
      <c r="D56" s="363"/>
      <c r="E56" s="373"/>
    </row>
    <row r="57" spans="1:5" x14ac:dyDescent="0.25">
      <c r="A57" s="358"/>
      <c r="B57" s="363"/>
      <c r="C57" s="363"/>
      <c r="D57" s="363"/>
      <c r="E57" s="373"/>
    </row>
    <row r="58" spans="1:5" x14ac:dyDescent="0.25">
      <c r="A58" s="374" t="s">
        <v>148</v>
      </c>
      <c r="B58" s="363"/>
      <c r="C58" s="363"/>
      <c r="D58" s="363"/>
      <c r="E58" s="373"/>
    </row>
    <row r="59" spans="1:5" ht="18" customHeight="1" x14ac:dyDescent="0.25">
      <c r="A59" s="362"/>
      <c r="B59" s="363"/>
      <c r="C59" s="372"/>
      <c r="D59" s="363"/>
      <c r="E59" s="366"/>
    </row>
    <row r="60" spans="1:5" ht="18" customHeight="1" x14ac:dyDescent="0.25">
      <c r="A60" s="358" t="s">
        <v>90</v>
      </c>
      <c r="B60" s="363"/>
      <c r="C60" s="369">
        <v>6.8000000000000005E-2</v>
      </c>
      <c r="D60" s="370"/>
      <c r="E60" s="366"/>
    </row>
    <row r="61" spans="1:5" ht="18" customHeight="1" x14ac:dyDescent="0.25">
      <c r="A61" s="350" t="s">
        <v>91</v>
      </c>
      <c r="B61" s="344"/>
      <c r="C61" s="375">
        <v>2.9000000000000001E-2</v>
      </c>
      <c r="D61" s="376"/>
      <c r="E61" s="377"/>
    </row>
    <row r="62" spans="1:5" ht="18" customHeight="1" x14ac:dyDescent="0.25">
      <c r="A62" s="378" t="s">
        <v>92</v>
      </c>
      <c r="B62" s="344"/>
      <c r="C62" s="375">
        <v>9.7000000000000003E-2</v>
      </c>
      <c r="D62" s="376"/>
      <c r="E62" s="377"/>
    </row>
    <row r="63" spans="1:5" ht="18" customHeight="1" x14ac:dyDescent="0.25">
      <c r="A63" s="379" t="s">
        <v>200</v>
      </c>
      <c r="B63" s="55"/>
      <c r="C63" s="55"/>
      <c r="D63" s="55"/>
      <c r="E63" s="54"/>
    </row>
    <row r="64" spans="1:5" ht="18" customHeight="1" x14ac:dyDescent="0.25">
      <c r="A64" s="379"/>
      <c r="B64" s="55"/>
      <c r="C64" s="55"/>
      <c r="D64" s="55"/>
      <c r="E64" s="54"/>
    </row>
    <row r="65" spans="1:5" ht="18" customHeight="1" x14ac:dyDescent="0.25">
      <c r="A65" s="350" t="s">
        <v>9</v>
      </c>
      <c r="B65" s="376"/>
      <c r="C65" s="380"/>
      <c r="D65" s="381"/>
      <c r="E65" s="382"/>
    </row>
    <row r="66" spans="1:5" ht="18" customHeight="1" x14ac:dyDescent="0.25">
      <c r="A66" s="350"/>
      <c r="B66" s="376"/>
      <c r="C66" s="380"/>
      <c r="D66" s="381"/>
      <c r="E66" s="382"/>
    </row>
    <row r="67" spans="1:5" x14ac:dyDescent="0.25">
      <c r="A67" s="383"/>
      <c r="B67" s="376"/>
      <c r="C67" s="380"/>
      <c r="D67" s="381"/>
      <c r="E67" s="382"/>
    </row>
    <row r="68" spans="1:5" x14ac:dyDescent="0.25">
      <c r="A68" s="383"/>
      <c r="B68" s="376"/>
      <c r="C68" s="380"/>
      <c r="D68" s="381"/>
      <c r="E68" s="382"/>
    </row>
    <row r="69" spans="1:5" x14ac:dyDescent="0.25">
      <c r="A69" s="383"/>
      <c r="B69" s="376"/>
      <c r="C69" s="380"/>
      <c r="D69" s="381"/>
      <c r="E69" s="382"/>
    </row>
    <row r="70" spans="1:5" ht="15.75" customHeight="1" x14ac:dyDescent="0.25">
      <c r="A70" s="383"/>
      <c r="B70" s="376"/>
      <c r="C70" s="380"/>
      <c r="D70" s="381"/>
      <c r="E70" s="382"/>
    </row>
    <row r="71" spans="1:5" x14ac:dyDescent="0.25">
      <c r="A71" s="383"/>
      <c r="B71" s="376"/>
      <c r="C71" s="380"/>
      <c r="D71" s="381"/>
      <c r="E71" s="382"/>
    </row>
    <row r="72" spans="1:5" x14ac:dyDescent="0.25">
      <c r="A72" s="383"/>
      <c r="B72" s="376"/>
      <c r="C72" s="380"/>
      <c r="D72" s="381"/>
      <c r="E72" s="382"/>
    </row>
    <row r="73" spans="1:5" x14ac:dyDescent="0.25">
      <c r="A73" s="350"/>
      <c r="B73" s="376"/>
      <c r="C73" s="380"/>
      <c r="D73" s="381"/>
      <c r="E73" s="377"/>
    </row>
    <row r="74" spans="1:5" x14ac:dyDescent="0.25">
      <c r="A74" s="384" t="s">
        <v>10</v>
      </c>
      <c r="B74" s="376"/>
      <c r="C74" s="380"/>
      <c r="D74" s="381"/>
      <c r="E74" s="385"/>
    </row>
    <row r="75" spans="1:5" s="156" customFormat="1" x14ac:dyDescent="0.25">
      <c r="A75" s="350" t="s">
        <v>11</v>
      </c>
      <c r="B75" s="380"/>
      <c r="C75" s="386"/>
      <c r="D75" s="386"/>
      <c r="E75" s="387"/>
    </row>
    <row r="76" spans="1:5" s="156" customFormat="1" x14ac:dyDescent="0.25">
      <c r="A76" s="388" t="s">
        <v>12</v>
      </c>
      <c r="B76" s="389" t="s">
        <v>13</v>
      </c>
      <c r="C76" s="389" t="s">
        <v>2</v>
      </c>
      <c r="D76" s="390" t="s">
        <v>96</v>
      </c>
      <c r="E76" s="391" t="s">
        <v>192</v>
      </c>
    </row>
    <row r="77" spans="1:5" s="156" customFormat="1" x14ac:dyDescent="0.25">
      <c r="A77" s="383" t="s">
        <v>193</v>
      </c>
      <c r="B77" s="392"/>
      <c r="C77" s="380"/>
      <c r="D77" s="393"/>
      <c r="E77" s="394"/>
    </row>
    <row r="78" spans="1:5" s="156" customFormat="1" x14ac:dyDescent="0.25">
      <c r="A78" s="383" t="s">
        <v>194</v>
      </c>
      <c r="B78" s="395"/>
      <c r="C78" s="393"/>
      <c r="D78" s="393"/>
      <c r="E78" s="394"/>
    </row>
    <row r="79" spans="1:5" s="156" customFormat="1" x14ac:dyDescent="0.25">
      <c r="A79" s="383" t="s">
        <v>195</v>
      </c>
      <c r="B79" s="392"/>
      <c r="C79" s="380"/>
      <c r="D79" s="393"/>
      <c r="E79" s="394"/>
    </row>
    <row r="80" spans="1:5" s="156" customFormat="1" x14ac:dyDescent="0.25">
      <c r="A80" s="383"/>
      <c r="B80" s="392"/>
      <c r="C80" s="380"/>
      <c r="D80" s="380"/>
      <c r="E80" s="396"/>
    </row>
    <row r="81" spans="1:5" s="156" customFormat="1" x14ac:dyDescent="0.25">
      <c r="A81" s="384" t="s">
        <v>196</v>
      </c>
      <c r="B81" s="380"/>
      <c r="C81" s="380"/>
      <c r="D81" s="380"/>
      <c r="E81" s="394"/>
    </row>
    <row r="82" spans="1:5" s="156" customFormat="1" x14ac:dyDescent="0.25">
      <c r="A82" s="383" t="s">
        <v>197</v>
      </c>
      <c r="B82" s="380"/>
      <c r="C82" s="380"/>
      <c r="D82" s="380"/>
      <c r="E82" s="394"/>
    </row>
    <row r="83" spans="1:5" s="156" customFormat="1" x14ac:dyDescent="0.25">
      <c r="A83" s="383" t="s">
        <v>198</v>
      </c>
      <c r="B83" s="397"/>
      <c r="C83" s="380"/>
      <c r="D83" s="380"/>
      <c r="E83" s="394"/>
    </row>
    <row r="84" spans="1:5" s="156" customFormat="1" ht="15.75" thickBot="1" x14ac:dyDescent="0.3">
      <c r="A84" s="398" t="s">
        <v>99</v>
      </c>
      <c r="B84" s="399"/>
      <c r="C84" s="399"/>
      <c r="D84" s="399"/>
      <c r="E84" s="400"/>
    </row>
  </sheetData>
  <mergeCells count="1">
    <mergeCell ref="B17:C17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EF24-CEFF-4EC1-B9E5-BC5991ACC952}">
  <sheetPr>
    <tabColor rgb="FFFF0000"/>
  </sheetPr>
  <dimension ref="A1:U119"/>
  <sheetViews>
    <sheetView topLeftCell="A33" zoomScale="75" zoomScaleNormal="75" workbookViewId="0">
      <selection activeCell="S35" sqref="S35"/>
    </sheetView>
  </sheetViews>
  <sheetFormatPr baseColWidth="10" defaultRowHeight="15" x14ac:dyDescent="0.25"/>
  <cols>
    <col min="1" max="1" width="92.28515625" style="48" customWidth="1"/>
    <col min="2" max="2" width="16.7109375" style="48" customWidth="1"/>
    <col min="3" max="3" width="17.140625" style="48" bestFit="1" customWidth="1"/>
    <col min="4" max="4" width="25.5703125" style="48" bestFit="1" customWidth="1"/>
    <col min="5" max="5" width="25.5703125" style="48" customWidth="1"/>
    <col min="6" max="6" width="18.28515625" style="48" customWidth="1"/>
    <col min="7" max="8" width="27.28515625" style="48" hidden="1" customWidth="1"/>
    <col min="9" max="9" width="49.42578125" style="48" hidden="1" customWidth="1"/>
    <col min="10" max="10" width="12.5703125" style="48" hidden="1" customWidth="1"/>
    <col min="11" max="11" width="12" style="48" hidden="1" customWidth="1"/>
    <col min="12" max="12" width="0" style="48" hidden="1" customWidth="1"/>
    <col min="13" max="13" width="12.140625" style="48" hidden="1" customWidth="1"/>
    <col min="14" max="15" width="12" style="48" hidden="1" customWidth="1"/>
    <col min="16" max="16" width="0" style="48" hidden="1" customWidth="1"/>
    <col min="17" max="16384" width="11.42578125" style="48"/>
  </cols>
  <sheetData>
    <row r="1" spans="1:10" ht="23.25" thickBot="1" x14ac:dyDescent="0.3">
      <c r="A1" s="216" t="s">
        <v>45</v>
      </c>
      <c r="B1" s="215"/>
      <c r="C1" s="215"/>
      <c r="D1" s="215"/>
      <c r="E1" s="215"/>
      <c r="F1" s="214"/>
      <c r="I1" s="213" t="s">
        <v>166</v>
      </c>
    </row>
    <row r="2" spans="1:10" ht="15.75" thickBot="1" x14ac:dyDescent="0.3">
      <c r="A2" s="212" t="s">
        <v>46</v>
      </c>
      <c r="B2" s="211"/>
      <c r="C2" s="210"/>
      <c r="D2" s="52" t="s">
        <v>47</v>
      </c>
      <c r="E2" s="274"/>
      <c r="F2" s="226" t="s">
        <v>168</v>
      </c>
    </row>
    <row r="3" spans="1:10" x14ac:dyDescent="0.25">
      <c r="A3" s="205" t="s">
        <v>48</v>
      </c>
      <c r="B3" s="204"/>
      <c r="C3" s="203"/>
      <c r="D3" s="50" t="s">
        <v>48</v>
      </c>
      <c r="E3" s="275"/>
      <c r="F3" s="54"/>
      <c r="I3" s="52" t="s">
        <v>0</v>
      </c>
      <c r="J3" s="51">
        <v>2000</v>
      </c>
    </row>
    <row r="4" spans="1:10" x14ac:dyDescent="0.25">
      <c r="A4" s="205" t="s">
        <v>49</v>
      </c>
      <c r="B4" s="204"/>
      <c r="C4" s="203"/>
      <c r="D4" s="50" t="s">
        <v>50</v>
      </c>
      <c r="E4" s="275"/>
      <c r="F4" s="54"/>
      <c r="I4" s="50" t="s">
        <v>165</v>
      </c>
      <c r="J4" s="54">
        <v>151.66999999999999</v>
      </c>
    </row>
    <row r="5" spans="1:10" x14ac:dyDescent="0.25">
      <c r="A5" s="205" t="s">
        <v>51</v>
      </c>
      <c r="B5" s="204"/>
      <c r="C5" s="203"/>
      <c r="D5" s="50" t="s">
        <v>52</v>
      </c>
      <c r="E5" s="275"/>
      <c r="F5" s="54"/>
      <c r="I5" s="50" t="s">
        <v>164</v>
      </c>
      <c r="J5" s="54"/>
    </row>
    <row r="6" spans="1:10" x14ac:dyDescent="0.25">
      <c r="A6" s="205" t="s">
        <v>51</v>
      </c>
      <c r="B6" s="204"/>
      <c r="C6" s="203"/>
      <c r="D6" s="50" t="s">
        <v>53</v>
      </c>
      <c r="E6" s="275"/>
      <c r="F6" s="54"/>
      <c r="I6" s="193" t="s">
        <v>163</v>
      </c>
      <c r="J6" s="56">
        <v>4</v>
      </c>
    </row>
    <row r="7" spans="1:10" x14ac:dyDescent="0.25">
      <c r="A7" s="205" t="s">
        <v>54</v>
      </c>
      <c r="B7" s="204"/>
      <c r="C7" s="203"/>
      <c r="D7" s="50"/>
      <c r="E7" s="275"/>
      <c r="F7" s="54"/>
      <c r="I7" s="50" t="s">
        <v>162</v>
      </c>
      <c r="J7" s="209">
        <v>4.7199999999999999E-2</v>
      </c>
    </row>
    <row r="8" spans="1:10" x14ac:dyDescent="0.25">
      <c r="A8" s="205" t="s">
        <v>55</v>
      </c>
      <c r="B8" s="204"/>
      <c r="C8" s="203"/>
      <c r="D8" s="50" t="s">
        <v>56</v>
      </c>
      <c r="E8" s="275"/>
      <c r="F8" s="54"/>
      <c r="I8" s="208" t="s">
        <v>161</v>
      </c>
      <c r="J8" s="207">
        <v>0</v>
      </c>
    </row>
    <row r="9" spans="1:10" x14ac:dyDescent="0.25">
      <c r="A9" s="205" t="s">
        <v>57</v>
      </c>
      <c r="B9" s="204"/>
      <c r="C9" s="203"/>
      <c r="D9" s="50" t="s">
        <v>58</v>
      </c>
      <c r="E9" s="275"/>
      <c r="F9" s="54"/>
      <c r="I9" s="50" t="s">
        <v>160</v>
      </c>
      <c r="J9" s="206">
        <v>10.57</v>
      </c>
    </row>
    <row r="10" spans="1:10" x14ac:dyDescent="0.25">
      <c r="A10" s="205" t="s">
        <v>59</v>
      </c>
      <c r="B10" s="204"/>
      <c r="C10" s="203"/>
      <c r="D10" s="50" t="s">
        <v>60</v>
      </c>
      <c r="E10" s="275"/>
      <c r="F10" s="54"/>
      <c r="I10" s="50"/>
      <c r="J10" s="171"/>
    </row>
    <row r="11" spans="1:10" x14ac:dyDescent="0.25">
      <c r="A11" s="205" t="s">
        <v>61</v>
      </c>
      <c r="B11" s="204"/>
      <c r="C11" s="203"/>
      <c r="D11" s="50" t="s">
        <v>62</v>
      </c>
      <c r="E11" s="275"/>
      <c r="F11" s="54"/>
      <c r="I11" s="50" t="s">
        <v>159</v>
      </c>
      <c r="J11" s="54">
        <v>0</v>
      </c>
    </row>
    <row r="12" spans="1:10" x14ac:dyDescent="0.25">
      <c r="A12" s="205" t="s">
        <v>63</v>
      </c>
      <c r="B12" s="204"/>
      <c r="C12" s="203"/>
      <c r="D12" s="50" t="s">
        <v>64</v>
      </c>
      <c r="E12" s="275"/>
      <c r="F12" s="54"/>
      <c r="I12" s="50" t="s">
        <v>77</v>
      </c>
      <c r="J12" s="54">
        <v>0</v>
      </c>
    </row>
    <row r="13" spans="1:10" x14ac:dyDescent="0.25">
      <c r="A13" s="205" t="s">
        <v>65</v>
      </c>
      <c r="B13" s="204"/>
      <c r="C13" s="203"/>
      <c r="D13" s="50" t="s">
        <v>66</v>
      </c>
      <c r="E13" s="275"/>
      <c r="F13" s="54"/>
      <c r="I13" s="50" t="s">
        <v>4</v>
      </c>
      <c r="J13" s="54"/>
    </row>
    <row r="14" spans="1:10" x14ac:dyDescent="0.25">
      <c r="A14" s="205"/>
      <c r="B14" s="204"/>
      <c r="C14" s="203"/>
      <c r="D14" s="50" t="s">
        <v>67</v>
      </c>
      <c r="E14" s="275"/>
      <c r="F14" s="54"/>
      <c r="I14" s="50" t="s">
        <v>153</v>
      </c>
      <c r="J14" s="54"/>
    </row>
    <row r="15" spans="1:10" x14ac:dyDescent="0.25">
      <c r="A15" s="50"/>
      <c r="B15" s="204"/>
      <c r="C15" s="203"/>
      <c r="D15" s="50"/>
      <c r="E15" s="275"/>
      <c r="F15" s="54"/>
      <c r="I15" s="50" t="s">
        <v>152</v>
      </c>
      <c r="J15" s="54"/>
    </row>
    <row r="16" spans="1:10" ht="15.75" thickBot="1" x14ac:dyDescent="0.3">
      <c r="A16" s="49"/>
      <c r="B16" s="202"/>
      <c r="C16" s="201"/>
      <c r="D16" s="49"/>
      <c r="E16" s="276"/>
      <c r="F16" s="200"/>
      <c r="I16" s="193" t="s">
        <v>158</v>
      </c>
      <c r="J16" s="54"/>
    </row>
    <row r="17" spans="1:16" ht="15.75" thickBot="1" x14ac:dyDescent="0.3">
      <c r="A17" s="199" t="s">
        <v>68</v>
      </c>
      <c r="B17" s="408">
        <v>44562</v>
      </c>
      <c r="C17" s="409"/>
      <c r="D17" s="198" t="s">
        <v>69</v>
      </c>
      <c r="E17" s="277"/>
      <c r="F17" s="408">
        <v>44592</v>
      </c>
      <c r="G17" s="409"/>
      <c r="I17" s="193" t="s">
        <v>75</v>
      </c>
      <c r="J17" s="197">
        <f>D37</f>
        <v>2215.3754862530495</v>
      </c>
    </row>
    <row r="18" spans="1:16" ht="20.25" customHeight="1" thickBot="1" x14ac:dyDescent="0.3">
      <c r="A18" s="196" t="s">
        <v>70</v>
      </c>
      <c r="B18" s="195"/>
      <c r="C18" s="195"/>
      <c r="D18" s="195"/>
      <c r="E18" s="278"/>
      <c r="F18" s="194"/>
      <c r="I18" s="193" t="s">
        <v>76</v>
      </c>
      <c r="J18" s="192">
        <v>0</v>
      </c>
    </row>
    <row r="19" spans="1:16" ht="24" customHeight="1" thickBot="1" x14ac:dyDescent="0.3">
      <c r="A19" s="191" t="s">
        <v>70</v>
      </c>
      <c r="B19" s="190" t="s">
        <v>71</v>
      </c>
      <c r="C19" s="190" t="s">
        <v>72</v>
      </c>
      <c r="D19" s="189" t="s">
        <v>73</v>
      </c>
      <c r="E19" s="279"/>
      <c r="F19" s="301"/>
      <c r="I19" s="50" t="s">
        <v>156</v>
      </c>
      <c r="J19" s="54">
        <v>0.31950000000000001</v>
      </c>
    </row>
    <row r="20" spans="1:16" s="170" customFormat="1" x14ac:dyDescent="0.2">
      <c r="A20" s="52" t="s">
        <v>0</v>
      </c>
      <c r="B20" s="187"/>
      <c r="C20" s="186"/>
      <c r="D20" s="272">
        <v>1800</v>
      </c>
      <c r="E20" s="280"/>
      <c r="F20" s="184"/>
      <c r="G20" s="48"/>
      <c r="H20" s="48"/>
      <c r="I20" s="183" t="s">
        <v>18</v>
      </c>
      <c r="J20" s="271">
        <v>6.2E-2</v>
      </c>
      <c r="K20" s="48"/>
      <c r="L20" s="48"/>
      <c r="M20" s="48"/>
      <c r="N20" s="48"/>
      <c r="O20" s="48"/>
      <c r="P20" s="48"/>
    </row>
    <row r="21" spans="1:16" s="170" customFormat="1" x14ac:dyDescent="0.25">
      <c r="A21" s="177" t="s">
        <v>188</v>
      </c>
      <c r="B21" s="176"/>
      <c r="C21" s="175"/>
      <c r="D21" s="174"/>
      <c r="E21" s="281"/>
      <c r="F21" s="172"/>
      <c r="I21" s="50" t="s">
        <v>16</v>
      </c>
      <c r="J21" s="178"/>
      <c r="K21" s="48"/>
      <c r="L21" s="48"/>
      <c r="M21" s="48"/>
      <c r="N21" s="48"/>
      <c r="O21" s="48"/>
      <c r="P21" s="48"/>
    </row>
    <row r="22" spans="1:16" s="170" customFormat="1" x14ac:dyDescent="0.25">
      <c r="A22" s="177" t="s">
        <v>3</v>
      </c>
      <c r="B22" s="181"/>
      <c r="C22" s="180"/>
      <c r="D22" s="179"/>
      <c r="E22" s="282"/>
      <c r="F22" s="172"/>
      <c r="I22" s="50" t="s">
        <v>17</v>
      </c>
      <c r="J22" s="178">
        <v>0.02</v>
      </c>
      <c r="K22" s="48"/>
      <c r="L22" s="48"/>
      <c r="M22" s="48"/>
      <c r="N22" s="48"/>
      <c r="O22" s="48"/>
      <c r="P22" s="48"/>
    </row>
    <row r="23" spans="1:16" s="170" customFormat="1" x14ac:dyDescent="0.25">
      <c r="A23" s="177" t="s">
        <v>187</v>
      </c>
      <c r="B23" s="176"/>
      <c r="C23" s="175"/>
      <c r="D23" s="174"/>
      <c r="E23" s="281"/>
      <c r="F23" s="172"/>
      <c r="I23" s="50" t="s">
        <v>155</v>
      </c>
      <c r="J23" s="171"/>
      <c r="K23" s="48"/>
      <c r="L23" s="48"/>
      <c r="M23" s="48"/>
      <c r="N23" s="48"/>
      <c r="O23" s="48"/>
      <c r="P23" s="48"/>
    </row>
    <row r="24" spans="1:16" ht="15.75" thickBot="1" x14ac:dyDescent="0.3">
      <c r="A24" s="50" t="s">
        <v>77</v>
      </c>
      <c r="B24" s="55">
        <v>28</v>
      </c>
      <c r="C24" s="163">
        <f>+D20/151.67*1.25</f>
        <v>14.834838794751766</v>
      </c>
      <c r="D24" s="163">
        <f>+C24*B24</f>
        <v>415.37548625304947</v>
      </c>
      <c r="E24" s="283"/>
      <c r="F24" s="169"/>
      <c r="I24" s="49" t="s">
        <v>154</v>
      </c>
      <c r="J24" s="168"/>
    </row>
    <row r="25" spans="1:16" x14ac:dyDescent="0.25">
      <c r="A25" s="50" t="s">
        <v>4</v>
      </c>
      <c r="B25" s="55"/>
      <c r="C25" s="163"/>
      <c r="D25" s="163"/>
      <c r="E25" s="283"/>
      <c r="F25" s="165"/>
    </row>
    <row r="26" spans="1:16" x14ac:dyDescent="0.25">
      <c r="A26" s="50" t="s">
        <v>153</v>
      </c>
      <c r="B26" s="55"/>
      <c r="C26" s="163"/>
      <c r="D26" s="163"/>
      <c r="E26" s="283"/>
      <c r="F26" s="165"/>
    </row>
    <row r="27" spans="1:16" x14ac:dyDescent="0.25">
      <c r="A27" s="50" t="s">
        <v>152</v>
      </c>
      <c r="B27" s="55"/>
      <c r="C27" s="163"/>
      <c r="D27" s="163"/>
      <c r="E27" s="283"/>
      <c r="F27" s="165"/>
    </row>
    <row r="28" spans="1:16" x14ac:dyDescent="0.25">
      <c r="A28" s="50" t="s">
        <v>81</v>
      </c>
      <c r="B28" s="167"/>
      <c r="C28" s="160"/>
      <c r="D28" s="159"/>
      <c r="E28" s="284"/>
      <c r="F28" s="165"/>
    </row>
    <row r="29" spans="1:16" ht="27" x14ac:dyDescent="0.25">
      <c r="A29" s="50" t="s">
        <v>142</v>
      </c>
      <c r="B29" s="164"/>
      <c r="C29" s="55"/>
      <c r="D29" s="163"/>
      <c r="E29" s="283"/>
      <c r="F29" s="157"/>
      <c r="I29" s="162"/>
    </row>
    <row r="30" spans="1:16" x14ac:dyDescent="0.25">
      <c r="A30" s="50" t="s">
        <v>151</v>
      </c>
      <c r="B30" s="161"/>
      <c r="C30" s="160"/>
      <c r="D30" s="159"/>
      <c r="E30" s="284"/>
      <c r="F30" s="157"/>
    </row>
    <row r="31" spans="1:16" x14ac:dyDescent="0.25">
      <c r="A31" s="50"/>
      <c r="B31" s="156"/>
      <c r="C31" s="57"/>
      <c r="D31" s="155"/>
      <c r="E31" s="285"/>
      <c r="F31" s="153"/>
    </row>
    <row r="32" spans="1:16" ht="15.75" thickBot="1" x14ac:dyDescent="0.3">
      <c r="A32" s="48" t="s">
        <v>78</v>
      </c>
      <c r="B32" s="152"/>
      <c r="C32" s="151"/>
      <c r="D32" s="150"/>
      <c r="E32" s="286"/>
      <c r="F32" s="148"/>
    </row>
    <row r="33" spans="1:8" x14ac:dyDescent="0.25">
      <c r="A33" s="146" t="s">
        <v>79</v>
      </c>
      <c r="B33" s="126"/>
      <c r="C33" s="147"/>
      <c r="D33" s="66"/>
      <c r="E33" s="287"/>
      <c r="F33" s="137"/>
    </row>
    <row r="34" spans="1:8" x14ac:dyDescent="0.25">
      <c r="A34" s="48" t="s">
        <v>80</v>
      </c>
      <c r="B34" s="126"/>
      <c r="C34" s="147"/>
      <c r="D34" s="66"/>
      <c r="E34" s="287"/>
      <c r="F34" s="137"/>
    </row>
    <row r="35" spans="1:8" x14ac:dyDescent="0.25">
      <c r="A35" s="146" t="s">
        <v>150</v>
      </c>
      <c r="B35" s="126"/>
      <c r="C35" s="145"/>
      <c r="D35" s="66"/>
      <c r="E35" s="287"/>
      <c r="F35" s="137"/>
    </row>
    <row r="36" spans="1:8" ht="15.75" thickBot="1" x14ac:dyDescent="0.3">
      <c r="A36" s="144" t="s">
        <v>1</v>
      </c>
      <c r="B36" s="126"/>
      <c r="C36" s="143"/>
      <c r="D36" s="142">
        <f>B36*C36</f>
        <v>0</v>
      </c>
      <c r="E36" s="287"/>
      <c r="F36" s="137"/>
    </row>
    <row r="37" spans="1:8" ht="16.5" thickTop="1" thickBot="1" x14ac:dyDescent="0.3">
      <c r="A37" s="141" t="s">
        <v>5</v>
      </c>
      <c r="B37" s="59"/>
      <c r="C37" s="140"/>
      <c r="D37" s="139">
        <f>SUM(D20:D36)</f>
        <v>2215.3754862530495</v>
      </c>
      <c r="E37" s="288"/>
      <c r="F37" s="137"/>
    </row>
    <row r="38" spans="1:8" x14ac:dyDescent="0.25">
      <c r="A38" s="136"/>
      <c r="B38" s="135"/>
      <c r="C38" s="134"/>
      <c r="D38" s="133"/>
      <c r="E38" s="289"/>
      <c r="F38" s="302"/>
    </row>
    <row r="39" spans="1:8" x14ac:dyDescent="0.25">
      <c r="A39" s="130" t="s">
        <v>82</v>
      </c>
      <c r="B39" s="129" t="s">
        <v>15</v>
      </c>
      <c r="C39" s="129" t="s">
        <v>201</v>
      </c>
      <c r="D39" s="129" t="s">
        <v>202</v>
      </c>
      <c r="E39" s="290"/>
      <c r="F39" s="303" t="s">
        <v>190</v>
      </c>
    </row>
    <row r="40" spans="1:8" x14ac:dyDescent="0.25">
      <c r="A40" s="248" t="s">
        <v>6</v>
      </c>
      <c r="B40" s="249"/>
      <c r="C40" s="250"/>
      <c r="D40" s="250"/>
      <c r="E40" s="251"/>
      <c r="F40" s="304"/>
    </row>
    <row r="41" spans="1:8" x14ac:dyDescent="0.25">
      <c r="A41" s="253" t="s">
        <v>83</v>
      </c>
      <c r="B41" s="254">
        <f>D37</f>
        <v>2215.3754862530495</v>
      </c>
      <c r="C41" s="255"/>
      <c r="D41" s="256"/>
      <c r="E41" s="291"/>
      <c r="F41" s="305">
        <f>B41*7/100</f>
        <v>155.07628403771346</v>
      </c>
      <c r="G41" s="273">
        <v>4.7199999999999999E-2</v>
      </c>
      <c r="H41" s="273"/>
    </row>
    <row r="42" spans="1:8" x14ac:dyDescent="0.25">
      <c r="A42" s="259" t="s">
        <v>199</v>
      </c>
      <c r="B42" s="254">
        <f>$D$37</f>
        <v>2215.3754862530495</v>
      </c>
      <c r="C42" s="259"/>
      <c r="D42" s="259"/>
      <c r="E42" s="259"/>
      <c r="F42" s="305">
        <v>81</v>
      </c>
      <c r="G42" s="273"/>
      <c r="H42" s="273"/>
    </row>
    <row r="43" spans="1:8" x14ac:dyDescent="0.25">
      <c r="A43" s="253" t="s">
        <v>84</v>
      </c>
      <c r="B43" s="254">
        <f>+D37</f>
        <v>2215.3754862530495</v>
      </c>
      <c r="C43" s="260"/>
      <c r="D43" s="261"/>
      <c r="E43" s="299">
        <v>5.0000000000000001E-3</v>
      </c>
      <c r="F43" s="305">
        <f>+E43*B43</f>
        <v>11.076877431265247</v>
      </c>
      <c r="G43" s="273">
        <v>8.5500000000000007E-2</v>
      </c>
      <c r="H43" s="273"/>
    </row>
    <row r="44" spans="1:8" x14ac:dyDescent="0.25">
      <c r="A44" s="253" t="s">
        <v>85</v>
      </c>
      <c r="B44" s="254"/>
      <c r="C44" s="260"/>
      <c r="D44" s="261"/>
      <c r="E44" s="292"/>
      <c r="F44" s="305"/>
      <c r="G44" s="273">
        <v>1.9E-2</v>
      </c>
      <c r="H44" s="273"/>
    </row>
    <row r="45" spans="1:8" x14ac:dyDescent="0.25">
      <c r="A45" s="248" t="s">
        <v>7</v>
      </c>
      <c r="B45" s="254">
        <f>D37</f>
        <v>2215.3754862530495</v>
      </c>
      <c r="C45" s="259"/>
      <c r="D45" s="254"/>
      <c r="E45" s="300">
        <v>1.2999999999999999E-2</v>
      </c>
      <c r="F45" s="305">
        <f>E45*B45</f>
        <v>28.799881321289643</v>
      </c>
      <c r="G45" s="273">
        <v>6.0100000000000001E-2</v>
      </c>
      <c r="H45" s="273"/>
    </row>
    <row r="46" spans="1:8" x14ac:dyDescent="0.25">
      <c r="A46" s="248" t="s">
        <v>8</v>
      </c>
      <c r="B46" s="249"/>
      <c r="C46" s="250"/>
      <c r="D46" s="250"/>
      <c r="E46" s="251"/>
      <c r="F46" s="304"/>
      <c r="G46" s="273">
        <v>0.1457</v>
      </c>
      <c r="H46" s="273"/>
    </row>
    <row r="47" spans="1:8" x14ac:dyDescent="0.25">
      <c r="A47" s="253" t="s">
        <v>20</v>
      </c>
      <c r="B47" s="254">
        <f>J17</f>
        <v>2215.3754862530495</v>
      </c>
      <c r="C47" s="260">
        <v>6.9000000000000006E-2</v>
      </c>
      <c r="D47" s="261">
        <f t="shared" ref="D47:D50" si="0">C47*B47</f>
        <v>152.86090855146043</v>
      </c>
      <c r="E47" s="299">
        <f>G43</f>
        <v>8.5500000000000007E-2</v>
      </c>
      <c r="F47" s="305">
        <f t="shared" ref="F47:F55" si="1">E47*B47</f>
        <v>189.41460407463575</v>
      </c>
      <c r="G47" s="273">
        <v>2.0999999999999999E-3</v>
      </c>
      <c r="H47" s="273"/>
    </row>
    <row r="48" spans="1:8" x14ac:dyDescent="0.25">
      <c r="A48" s="253" t="s">
        <v>22</v>
      </c>
      <c r="B48" s="254">
        <f>D37</f>
        <v>2215.3754862530495</v>
      </c>
      <c r="C48" s="260">
        <v>4.0000000000000001E-3</v>
      </c>
      <c r="D48" s="261">
        <f t="shared" si="0"/>
        <v>8.8615019450121988</v>
      </c>
      <c r="E48" s="299">
        <f t="shared" ref="E48:E51" si="2">G44</f>
        <v>1.9E-2</v>
      </c>
      <c r="F48" s="305">
        <f t="shared" si="1"/>
        <v>42.092134238807937</v>
      </c>
      <c r="G48" s="273"/>
      <c r="H48" s="273"/>
    </row>
    <row r="49" spans="1:21" x14ac:dyDescent="0.25">
      <c r="A49" s="253" t="s">
        <v>23</v>
      </c>
      <c r="B49" s="254">
        <f>B47</f>
        <v>2215.3754862530495</v>
      </c>
      <c r="C49" s="260">
        <v>4.0099999999999997E-2</v>
      </c>
      <c r="D49" s="261">
        <f t="shared" si="0"/>
        <v>88.836556998747284</v>
      </c>
      <c r="E49" s="299">
        <f t="shared" si="2"/>
        <v>6.0100000000000001E-2</v>
      </c>
      <c r="F49" s="305">
        <f t="shared" si="1"/>
        <v>133.14406672380827</v>
      </c>
      <c r="G49" s="273" t="e">
        <v>#REF!</v>
      </c>
      <c r="H49" s="273"/>
    </row>
    <row r="50" spans="1:21" x14ac:dyDescent="0.25">
      <c r="A50" s="253" t="s">
        <v>149</v>
      </c>
      <c r="B50" s="254">
        <f>J18</f>
        <v>0</v>
      </c>
      <c r="C50" s="260">
        <v>9.7199999999999995E-2</v>
      </c>
      <c r="D50" s="261">
        <f t="shared" si="0"/>
        <v>0</v>
      </c>
      <c r="E50" s="299">
        <f t="shared" si="2"/>
        <v>0.1457</v>
      </c>
      <c r="F50" s="305">
        <f t="shared" si="1"/>
        <v>0</v>
      </c>
      <c r="G50" s="273">
        <v>4.2000000000000003E-2</v>
      </c>
      <c r="H50" s="273"/>
    </row>
    <row r="51" spans="1:21" x14ac:dyDescent="0.25">
      <c r="A51" s="253" t="s">
        <v>86</v>
      </c>
      <c r="B51" s="254"/>
      <c r="C51" s="260">
        <v>1.4E-3</v>
      </c>
      <c r="D51" s="261"/>
      <c r="E51" s="299">
        <f t="shared" si="2"/>
        <v>2.0999999999999999E-3</v>
      </c>
      <c r="F51" s="305">
        <f t="shared" si="1"/>
        <v>0</v>
      </c>
      <c r="G51" s="273">
        <v>3.6000000000000002E-4</v>
      </c>
      <c r="H51" s="273"/>
    </row>
    <row r="52" spans="1:21" x14ac:dyDescent="0.25">
      <c r="A52" s="253" t="s">
        <v>87</v>
      </c>
      <c r="B52" s="254"/>
      <c r="C52" s="260"/>
      <c r="D52" s="261"/>
      <c r="E52" s="292"/>
      <c r="F52" s="305">
        <f t="shared" si="1"/>
        <v>0</v>
      </c>
      <c r="G52" s="273"/>
      <c r="H52" s="273"/>
      <c r="R52" s="48" t="s">
        <v>205</v>
      </c>
      <c r="S52" s="48">
        <f>151.67+28</f>
        <v>179.67</v>
      </c>
      <c r="T52" s="48">
        <v>11.27</v>
      </c>
      <c r="U52" s="48">
        <f>T52*S52</f>
        <v>2024.8808999999999</v>
      </c>
    </row>
    <row r="53" spans="1:21" x14ac:dyDescent="0.25">
      <c r="A53" s="248" t="s">
        <v>88</v>
      </c>
      <c r="B53" s="254"/>
      <c r="C53" s="264"/>
      <c r="D53" s="254"/>
      <c r="E53" s="293"/>
      <c r="F53" s="305">
        <f t="shared" si="1"/>
        <v>0</v>
      </c>
      <c r="G53" s="273"/>
      <c r="H53" s="273"/>
    </row>
    <row r="54" spans="1:21" x14ac:dyDescent="0.25">
      <c r="A54" s="248" t="s">
        <v>21</v>
      </c>
      <c r="B54" s="254">
        <f>D37</f>
        <v>2215.3754862530495</v>
      </c>
      <c r="C54" s="264"/>
      <c r="D54" s="254"/>
      <c r="E54" s="300">
        <v>4.2000000000000003E-2</v>
      </c>
      <c r="F54" s="305">
        <f t="shared" si="1"/>
        <v>93.045770422628081</v>
      </c>
      <c r="G54" s="273"/>
      <c r="H54" s="273"/>
    </row>
    <row r="55" spans="1:21" x14ac:dyDescent="0.25">
      <c r="A55" s="253" t="s">
        <v>89</v>
      </c>
      <c r="B55" s="254">
        <f>IF(J16="cadre",D37,0)</f>
        <v>0</v>
      </c>
      <c r="C55" s="266">
        <v>2.4000000000000001E-4</v>
      </c>
      <c r="D55" s="254"/>
      <c r="E55" s="265">
        <v>3.6000000000000002E-4</v>
      </c>
      <c r="F55" s="305">
        <f t="shared" si="1"/>
        <v>0</v>
      </c>
      <c r="G55" s="273"/>
      <c r="H55" s="273"/>
    </row>
    <row r="56" spans="1:21" x14ac:dyDescent="0.25">
      <c r="A56" s="248" t="s">
        <v>19</v>
      </c>
      <c r="B56" s="254"/>
      <c r="C56" s="264"/>
      <c r="D56" s="254"/>
      <c r="E56" s="293"/>
      <c r="F56" s="305">
        <f>D100</f>
        <v>34.471242566097452</v>
      </c>
      <c r="G56" s="273"/>
      <c r="H56" s="273"/>
    </row>
    <row r="57" spans="1:21" x14ac:dyDescent="0.25">
      <c r="A57" s="248"/>
      <c r="B57" s="254"/>
      <c r="C57" s="254"/>
      <c r="D57" s="254"/>
      <c r="E57" s="293"/>
      <c r="F57" s="306"/>
      <c r="G57" s="273"/>
      <c r="H57" s="273"/>
    </row>
    <row r="58" spans="1:21" x14ac:dyDescent="0.25">
      <c r="A58" s="268" t="s">
        <v>148</v>
      </c>
      <c r="B58" s="254"/>
      <c r="C58" s="254"/>
      <c r="D58" s="254"/>
      <c r="E58" s="293"/>
      <c r="F58" s="306"/>
      <c r="G58" s="273"/>
      <c r="H58" s="273"/>
    </row>
    <row r="59" spans="1:21" ht="18" customHeight="1" x14ac:dyDescent="0.25">
      <c r="A59" s="253"/>
      <c r="B59" s="254"/>
      <c r="C59" s="266"/>
      <c r="D59" s="254"/>
      <c r="E59" s="293"/>
      <c r="F59" s="305"/>
      <c r="G59" s="273"/>
      <c r="H59" s="273"/>
    </row>
    <row r="60" spans="1:21" ht="18" customHeight="1" x14ac:dyDescent="0.25">
      <c r="A60" s="248" t="s">
        <v>90</v>
      </c>
      <c r="B60" s="254">
        <f>(D20*0.9825)+F42+F43</f>
        <v>1860.5768774312653</v>
      </c>
      <c r="C60" s="260">
        <v>6.8000000000000005E-2</v>
      </c>
      <c r="D60" s="261">
        <f t="shared" ref="D60:D62" si="3">C60*B60</f>
        <v>126.51922766532606</v>
      </c>
      <c r="E60" s="292"/>
      <c r="F60" s="305"/>
    </row>
    <row r="61" spans="1:21" ht="18" customHeight="1" x14ac:dyDescent="0.25">
      <c r="A61" s="81" t="s">
        <v>91</v>
      </c>
      <c r="B61" s="126">
        <f>B60</f>
        <v>1860.5768774312653</v>
      </c>
      <c r="C61" s="124">
        <v>2.9000000000000001E-2</v>
      </c>
      <c r="D61" s="261">
        <f t="shared" si="3"/>
        <v>53.956729445506696</v>
      </c>
      <c r="E61" s="292"/>
      <c r="F61" s="307"/>
    </row>
    <row r="62" spans="1:21" ht="18" customHeight="1" x14ac:dyDescent="0.25">
      <c r="A62" s="125" t="s">
        <v>92</v>
      </c>
      <c r="B62" s="126">
        <f>+D24*0.9825</f>
        <v>408.10641524362114</v>
      </c>
      <c r="C62" s="124">
        <v>9.7000000000000003E-2</v>
      </c>
      <c r="D62" s="261">
        <f t="shared" si="3"/>
        <v>39.586322278631251</v>
      </c>
      <c r="E62" s="122"/>
      <c r="F62" s="307"/>
    </row>
    <row r="63" spans="1:21" ht="18" customHeight="1" x14ac:dyDescent="0.25">
      <c r="A63" s="246" t="s">
        <v>200</v>
      </c>
      <c r="B63" s="324">
        <f>+D24</f>
        <v>415.37548625304947</v>
      </c>
      <c r="C63" s="247">
        <f>+-0.1131</f>
        <v>-0.11310000000000001</v>
      </c>
      <c r="D63" s="118">
        <f>+C63*B63</f>
        <v>-46.978967495219898</v>
      </c>
      <c r="E63" s="247"/>
      <c r="F63" s="321">
        <f>-'OUTILS S1'!H6</f>
        <v>-544.76083206962494</v>
      </c>
      <c r="R63" s="48">
        <f>0.3191/0.6</f>
        <v>0.53183333333333338</v>
      </c>
    </row>
    <row r="64" spans="1:21" ht="18" customHeight="1" x14ac:dyDescent="0.25">
      <c r="A64" s="246" t="s">
        <v>200</v>
      </c>
      <c r="B64" s="247"/>
      <c r="C64" s="247"/>
      <c r="D64" s="247"/>
      <c r="E64" s="247"/>
      <c r="F64" s="308">
        <f>1.5*-B24</f>
        <v>-42</v>
      </c>
      <c r="R64" s="48">
        <f>(1.6*U52/D37)-1</f>
        <v>0.46242000965697039</v>
      </c>
    </row>
    <row r="65" spans="1:18" ht="18" customHeight="1" x14ac:dyDescent="0.25">
      <c r="A65" s="81" t="s">
        <v>9</v>
      </c>
      <c r="B65" s="118"/>
      <c r="C65" s="117"/>
      <c r="D65" s="116">
        <f>SUM(D41:D63)</f>
        <v>423.64227938946408</v>
      </c>
      <c r="E65" s="116"/>
      <c r="F65" s="309">
        <f>SUM(F41:F64)</f>
        <v>181.36002874662086</v>
      </c>
      <c r="R65" s="48">
        <f>R64*R63</f>
        <v>0.24593037513589877</v>
      </c>
    </row>
    <row r="66" spans="1:18" ht="18" customHeight="1" x14ac:dyDescent="0.25">
      <c r="A66" s="81"/>
      <c r="B66" s="118"/>
      <c r="C66" s="117"/>
      <c r="D66" s="116"/>
      <c r="E66" s="269"/>
      <c r="F66" s="310"/>
      <c r="R66" s="325">
        <f>R65*D37</f>
        <v>544.8281244010866</v>
      </c>
    </row>
    <row r="67" spans="1:18" x14ac:dyDescent="0.25">
      <c r="A67" s="103" t="s">
        <v>93</v>
      </c>
      <c r="B67" s="118"/>
      <c r="C67" s="117"/>
      <c r="D67" s="116">
        <v>-300</v>
      </c>
      <c r="E67" s="269"/>
      <c r="F67" s="310"/>
    </row>
    <row r="68" spans="1:18" x14ac:dyDescent="0.25">
      <c r="A68" s="103" t="s">
        <v>74</v>
      </c>
      <c r="B68" s="118"/>
      <c r="C68" s="117"/>
      <c r="D68" s="116"/>
      <c r="E68" s="269"/>
      <c r="F68" s="310"/>
    </row>
    <row r="69" spans="1:18" x14ac:dyDescent="0.25">
      <c r="A69" s="103" t="s">
        <v>94</v>
      </c>
      <c r="B69" s="118"/>
      <c r="C69" s="117"/>
      <c r="D69" s="116">
        <v>-222</v>
      </c>
      <c r="E69" s="269"/>
      <c r="F69" s="310"/>
      <c r="J69" s="48">
        <v>460.53</v>
      </c>
    </row>
    <row r="70" spans="1:18" ht="15.75" customHeight="1" x14ac:dyDescent="0.25">
      <c r="A70" s="103" t="s">
        <v>95</v>
      </c>
      <c r="B70" s="323">
        <v>18</v>
      </c>
      <c r="C70" s="117">
        <v>3.6</v>
      </c>
      <c r="D70" s="116">
        <f>-C70*B70</f>
        <v>-64.8</v>
      </c>
      <c r="E70" s="269"/>
      <c r="F70" s="310"/>
      <c r="J70" s="48">
        <f>1700*6%</f>
        <v>102</v>
      </c>
    </row>
    <row r="71" spans="1:18" x14ac:dyDescent="0.25">
      <c r="A71" s="103" t="s">
        <v>203</v>
      </c>
      <c r="B71" s="118"/>
      <c r="C71" s="117"/>
      <c r="D71" s="116">
        <v>630</v>
      </c>
      <c r="E71" s="269"/>
      <c r="F71" s="310"/>
      <c r="J71" s="48">
        <f>1700*1.8/100</f>
        <v>30.6</v>
      </c>
    </row>
    <row r="72" spans="1:18" x14ac:dyDescent="0.25">
      <c r="A72" s="103"/>
      <c r="B72" s="118"/>
      <c r="C72" s="117"/>
      <c r="D72" s="116"/>
      <c r="E72" s="269"/>
      <c r="F72" s="310"/>
      <c r="J72" s="48">
        <f>SUM(J69:J71)</f>
        <v>593.13</v>
      </c>
    </row>
    <row r="73" spans="1:18" ht="15.75" thickBot="1" x14ac:dyDescent="0.3">
      <c r="A73" s="81"/>
      <c r="B73" s="118"/>
      <c r="C73" s="117"/>
      <c r="D73" s="116"/>
      <c r="E73" s="269"/>
      <c r="F73" s="311"/>
    </row>
    <row r="74" spans="1:18" ht="15.75" thickBot="1" x14ac:dyDescent="0.3">
      <c r="A74" s="104" t="s">
        <v>10</v>
      </c>
      <c r="B74" s="118"/>
      <c r="C74" s="117"/>
      <c r="D74" s="116"/>
      <c r="E74" s="294"/>
      <c r="F74" s="312">
        <f>D37-D65+SUM(D67:D73)</f>
        <v>1834.9332068635856</v>
      </c>
    </row>
    <row r="75" spans="1:18" s="156" customFormat="1" x14ac:dyDescent="0.25">
      <c r="A75" s="81" t="s">
        <v>11</v>
      </c>
      <c r="B75" s="117"/>
      <c r="C75" s="230"/>
      <c r="D75" s="230"/>
      <c r="E75" s="295"/>
      <c r="F75" s="313">
        <f>D107</f>
        <v>38.15452090063954</v>
      </c>
    </row>
    <row r="76" spans="1:18" s="156" customFormat="1" x14ac:dyDescent="0.25">
      <c r="A76" s="244" t="s">
        <v>12</v>
      </c>
      <c r="B76" s="244" t="s">
        <v>13</v>
      </c>
      <c r="C76" s="244" t="s">
        <v>2</v>
      </c>
      <c r="D76" s="245" t="s">
        <v>96</v>
      </c>
      <c r="E76" s="245"/>
      <c r="F76" s="314" t="s">
        <v>192</v>
      </c>
    </row>
    <row r="77" spans="1:18" s="156" customFormat="1" x14ac:dyDescent="0.25">
      <c r="A77" s="103" t="s">
        <v>193</v>
      </c>
      <c r="B77" s="127"/>
      <c r="C77" s="117"/>
      <c r="D77" s="318">
        <f>D37+F42+D61-D65</f>
        <v>1926.6899363090924</v>
      </c>
      <c r="E77" s="296"/>
      <c r="F77" s="315">
        <f>D77</f>
        <v>1926.6899363090924</v>
      </c>
    </row>
    <row r="78" spans="1:18" s="156" customFormat="1" x14ac:dyDescent="0.25">
      <c r="A78" s="103" t="s">
        <v>194</v>
      </c>
      <c r="B78" s="319">
        <f>D77</f>
        <v>1926.6899363090924</v>
      </c>
      <c r="C78" s="320">
        <f>J20</f>
        <v>6.2E-2</v>
      </c>
      <c r="D78" s="318">
        <f>C78*B78</f>
        <v>119.45477605116373</v>
      </c>
      <c r="E78" s="296"/>
      <c r="F78" s="315">
        <f>D78</f>
        <v>119.45477605116373</v>
      </c>
    </row>
    <row r="79" spans="1:18" s="156" customFormat="1" x14ac:dyDescent="0.25">
      <c r="A79" s="103" t="s">
        <v>195</v>
      </c>
      <c r="B79" s="127"/>
      <c r="C79" s="117"/>
      <c r="D79" s="112"/>
      <c r="E79" s="296"/>
      <c r="F79" s="315"/>
    </row>
    <row r="80" spans="1:18" s="156" customFormat="1" x14ac:dyDescent="0.25">
      <c r="A80" s="103"/>
      <c r="B80" s="127"/>
      <c r="C80" s="117"/>
      <c r="D80" s="117"/>
      <c r="E80" s="297"/>
      <c r="F80" s="316"/>
    </row>
    <row r="81" spans="1:6" s="156" customFormat="1" x14ac:dyDescent="0.25">
      <c r="A81" s="104" t="s">
        <v>196</v>
      </c>
      <c r="B81" s="117"/>
      <c r="C81" s="117"/>
      <c r="D81" s="117"/>
      <c r="E81" s="297"/>
      <c r="F81" s="315">
        <f>F74-D78</f>
        <v>1715.4784308124219</v>
      </c>
    </row>
    <row r="82" spans="1:6" s="156" customFormat="1" x14ac:dyDescent="0.25">
      <c r="A82" s="103" t="s">
        <v>197</v>
      </c>
      <c r="B82" s="117"/>
      <c r="C82" s="117"/>
      <c r="D82" s="117"/>
      <c r="E82" s="297"/>
      <c r="F82" s="315">
        <f>D115</f>
        <v>1329.7197428627944</v>
      </c>
    </row>
    <row r="83" spans="1:6" s="156" customFormat="1" x14ac:dyDescent="0.25">
      <c r="A83" s="103" t="s">
        <v>198</v>
      </c>
      <c r="B83" s="240"/>
      <c r="C83" s="117"/>
      <c r="D83" s="117"/>
      <c r="E83" s="297"/>
      <c r="F83" s="315">
        <f>D37+F65</f>
        <v>2396.7355149996702</v>
      </c>
    </row>
    <row r="84" spans="1:6" s="156" customFormat="1" ht="15.75" thickBot="1" x14ac:dyDescent="0.3">
      <c r="A84" s="270" t="s">
        <v>99</v>
      </c>
      <c r="B84" s="102"/>
      <c r="C84" s="102"/>
      <c r="D84" s="102"/>
      <c r="E84" s="298"/>
      <c r="F84" s="317"/>
    </row>
    <row r="86" spans="1:6" hidden="1" x14ac:dyDescent="0.25"/>
    <row r="87" spans="1:6" ht="15.75" hidden="1" thickBot="1" x14ac:dyDescent="0.3">
      <c r="A87" s="410" t="s">
        <v>19</v>
      </c>
      <c r="B87" s="411"/>
    </row>
    <row r="88" spans="1:6" hidden="1" x14ac:dyDescent="0.25">
      <c r="A88" s="101"/>
      <c r="B88" s="100"/>
      <c r="C88" s="412">
        <f>D37</f>
        <v>2215.3754862530495</v>
      </c>
      <c r="D88" s="99"/>
    </row>
    <row r="89" spans="1:6" hidden="1" x14ac:dyDescent="0.25">
      <c r="A89" s="98" t="s">
        <v>147</v>
      </c>
      <c r="B89" s="97">
        <f>IF(I2&gt;=11,I4,0)</f>
        <v>0</v>
      </c>
      <c r="C89" s="413"/>
      <c r="D89" s="96">
        <f>$C$88*B89</f>
        <v>0</v>
      </c>
    </row>
    <row r="90" spans="1:6" hidden="1" x14ac:dyDescent="0.25">
      <c r="A90" s="98" t="s">
        <v>146</v>
      </c>
      <c r="B90" s="97">
        <f>IF(I2&lt;50,0%,0.5%)</f>
        <v>0</v>
      </c>
      <c r="C90" s="413"/>
      <c r="D90" s="96">
        <f t="shared" ref="D90:D95" si="4">$C$88*B90</f>
        <v>0</v>
      </c>
    </row>
    <row r="91" spans="1:6" hidden="1" x14ac:dyDescent="0.25">
      <c r="A91" s="98" t="s">
        <v>24</v>
      </c>
      <c r="B91" s="97">
        <v>1.6000000000000001E-4</v>
      </c>
      <c r="C91" s="413"/>
      <c r="D91" s="96">
        <f t="shared" si="4"/>
        <v>0.35446007780048794</v>
      </c>
    </row>
    <row r="92" spans="1:6" hidden="1" x14ac:dyDescent="0.25">
      <c r="A92" s="98" t="s">
        <v>25</v>
      </c>
      <c r="B92" s="97">
        <v>3.0000000000000001E-3</v>
      </c>
      <c r="C92" s="413"/>
      <c r="D92" s="96">
        <f t="shared" si="4"/>
        <v>6.6461264587591486</v>
      </c>
    </row>
    <row r="93" spans="1:6" hidden="1" x14ac:dyDescent="0.25">
      <c r="A93" s="98" t="s">
        <v>26</v>
      </c>
      <c r="B93" s="97">
        <v>5.8999999999999999E-3</v>
      </c>
      <c r="C93" s="413"/>
      <c r="D93" s="96">
        <f t="shared" si="4"/>
        <v>13.070715368892992</v>
      </c>
    </row>
    <row r="94" spans="1:6" hidden="1" x14ac:dyDescent="0.25">
      <c r="A94" s="98" t="s">
        <v>204</v>
      </c>
      <c r="B94" s="97">
        <f>IF(I2&lt;11,0.55%,1%)</f>
        <v>5.5000000000000005E-3</v>
      </c>
      <c r="C94" s="413"/>
      <c r="D94" s="96">
        <f t="shared" si="4"/>
        <v>12.184565174391773</v>
      </c>
    </row>
    <row r="95" spans="1:6" hidden="1" x14ac:dyDescent="0.25">
      <c r="A95" s="98" t="s">
        <v>100</v>
      </c>
      <c r="B95" s="97">
        <f>IF(I2&lt;=50,0,0.45%)</f>
        <v>0</v>
      </c>
      <c r="C95" s="413"/>
      <c r="D95" s="96">
        <f t="shared" si="4"/>
        <v>0</v>
      </c>
    </row>
    <row r="96" spans="1:6" hidden="1" x14ac:dyDescent="0.25">
      <c r="A96" s="50"/>
      <c r="B96" s="55"/>
      <c r="C96" s="55"/>
      <c r="D96" s="54"/>
    </row>
    <row r="97" spans="1:4" hidden="1" x14ac:dyDescent="0.25">
      <c r="A97" s="50" t="s">
        <v>145</v>
      </c>
      <c r="B97" s="95">
        <f>IF(I2&gt;=11,+F38+F39+F40,0)</f>
        <v>0</v>
      </c>
      <c r="C97" s="94">
        <v>0.08</v>
      </c>
      <c r="D97" s="93">
        <f>C97*B97</f>
        <v>0</v>
      </c>
    </row>
    <row r="98" spans="1:4" ht="15.75" hidden="1" thickBot="1" x14ac:dyDescent="0.3">
      <c r="A98" s="49" t="s">
        <v>144</v>
      </c>
      <c r="B98" s="92">
        <f>D37</f>
        <v>2215.3754862530495</v>
      </c>
      <c r="C98" s="91">
        <v>1E-3</v>
      </c>
      <c r="D98" s="90">
        <f>C98*B98</f>
        <v>2.2153754862530497</v>
      </c>
    </row>
    <row r="99" spans="1:4" ht="15.75" hidden="1" thickBot="1" x14ac:dyDescent="0.3"/>
    <row r="100" spans="1:4" ht="15.75" hidden="1" thickBot="1" x14ac:dyDescent="0.3">
      <c r="A100" s="89" t="s">
        <v>27</v>
      </c>
      <c r="B100" s="88"/>
      <c r="C100" s="88"/>
      <c r="D100" s="87">
        <f>SUM(D89:D98)</f>
        <v>34.471242566097452</v>
      </c>
    </row>
    <row r="101" spans="1:4" ht="15.75" hidden="1" thickBot="1" x14ac:dyDescent="0.3"/>
    <row r="102" spans="1:4" ht="15.75" hidden="1" thickBot="1" x14ac:dyDescent="0.3">
      <c r="A102" s="405" t="s">
        <v>28</v>
      </c>
      <c r="B102" s="406"/>
      <c r="C102" s="406"/>
      <c r="D102" s="407"/>
    </row>
    <row r="103" spans="1:4" hidden="1" x14ac:dyDescent="0.25">
      <c r="A103" s="86" t="s">
        <v>29</v>
      </c>
      <c r="B103" s="83">
        <f>D37</f>
        <v>2215.3754862530495</v>
      </c>
      <c r="C103" s="85">
        <v>2.4E-2</v>
      </c>
      <c r="D103" s="84">
        <f>C103*B103</f>
        <v>53.169011670073189</v>
      </c>
    </row>
    <row r="104" spans="1:4" hidden="1" x14ac:dyDescent="0.25">
      <c r="A104" s="58" t="s">
        <v>30</v>
      </c>
      <c r="B104" s="83">
        <f>B103</f>
        <v>2215.3754862530495</v>
      </c>
      <c r="C104" s="67">
        <v>7.4999999999999997E-3</v>
      </c>
      <c r="D104" s="82">
        <f>C104*B104</f>
        <v>16.615316146897872</v>
      </c>
    </row>
    <row r="105" spans="1:4" hidden="1" x14ac:dyDescent="0.25">
      <c r="A105" s="58" t="s">
        <v>31</v>
      </c>
      <c r="B105" s="83">
        <f>B60</f>
        <v>1860.5768774312653</v>
      </c>
      <c r="C105" s="67">
        <v>-1.7000000000000001E-2</v>
      </c>
      <c r="D105" s="82">
        <f>C105*B105</f>
        <v>-31.629806916331514</v>
      </c>
    </row>
    <row r="106" spans="1:4" hidden="1" x14ac:dyDescent="0.25">
      <c r="A106" s="81"/>
      <c r="B106" s="80"/>
      <c r="C106" s="79"/>
      <c r="D106" s="78"/>
    </row>
    <row r="107" spans="1:4" ht="15.75" hidden="1" thickBot="1" x14ac:dyDescent="0.3">
      <c r="A107" s="77" t="s">
        <v>32</v>
      </c>
      <c r="B107" s="76"/>
      <c r="C107" s="75"/>
      <c r="D107" s="74">
        <f>SUM(D103:D106)</f>
        <v>38.15452090063954</v>
      </c>
    </row>
    <row r="108" spans="1:4" hidden="1" x14ac:dyDescent="0.25">
      <c r="A108" s="62"/>
      <c r="B108" s="62"/>
      <c r="C108" s="62"/>
      <c r="D108" s="62"/>
    </row>
    <row r="109" spans="1:4" ht="15.75" hidden="1" thickBot="1" x14ac:dyDescent="0.3">
      <c r="A109" s="62"/>
      <c r="B109" s="62"/>
      <c r="C109" s="62"/>
      <c r="D109" s="62"/>
    </row>
    <row r="110" spans="1:4" ht="15.75" hidden="1" thickBot="1" x14ac:dyDescent="0.3">
      <c r="A110" s="405" t="s">
        <v>38</v>
      </c>
      <c r="B110" s="406"/>
      <c r="C110" s="406"/>
      <c r="D110" s="407"/>
    </row>
    <row r="111" spans="1:4" hidden="1" x14ac:dyDescent="0.25">
      <c r="A111" s="73" t="s">
        <v>33</v>
      </c>
      <c r="B111" s="72"/>
      <c r="C111" s="72"/>
      <c r="D111" s="225">
        <f>-F63</f>
        <v>544.76083206962494</v>
      </c>
    </row>
    <row r="112" spans="1:4" hidden="1" x14ac:dyDescent="0.25">
      <c r="A112" s="69" t="s">
        <v>34</v>
      </c>
      <c r="B112" s="71">
        <f>B62</f>
        <v>408.10641524362114</v>
      </c>
      <c r="C112" s="70">
        <v>1.5</v>
      </c>
      <c r="D112" s="66">
        <f>C112*B112</f>
        <v>612.15962286543174</v>
      </c>
    </row>
    <row r="113" spans="1:4" hidden="1" x14ac:dyDescent="0.25">
      <c r="A113" s="69" t="s">
        <v>35</v>
      </c>
      <c r="B113" s="68">
        <f>D37</f>
        <v>2215.3754862530495</v>
      </c>
      <c r="C113" s="67">
        <v>1.7999999999999999E-2</v>
      </c>
      <c r="D113" s="66">
        <f>C113*B113</f>
        <v>39.876758752554892</v>
      </c>
    </row>
    <row r="114" spans="1:4" hidden="1" x14ac:dyDescent="0.25">
      <c r="A114" s="69" t="s">
        <v>36</v>
      </c>
      <c r="B114" s="68">
        <f>B113</f>
        <v>2215.3754862530495</v>
      </c>
      <c r="C114" s="67">
        <v>0.06</v>
      </c>
      <c r="D114" s="66">
        <f>C114*B114</f>
        <v>132.92252917518297</v>
      </c>
    </row>
    <row r="115" spans="1:4" ht="15.75" hidden="1" thickBot="1" x14ac:dyDescent="0.3">
      <c r="A115" s="65" t="s">
        <v>37</v>
      </c>
      <c r="B115" s="64"/>
      <c r="C115" s="64"/>
      <c r="D115" s="63">
        <f>D111+D112+D113+D114</f>
        <v>1329.7197428627944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</sheetData>
  <mergeCells count="6">
    <mergeCell ref="A110:D110"/>
    <mergeCell ref="B17:C17"/>
    <mergeCell ref="F17:G17"/>
    <mergeCell ref="A87:B87"/>
    <mergeCell ref="C88:C95"/>
    <mergeCell ref="A102:D10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9A46-591B-49D0-A34C-3DAE88F527FC}">
  <sheetPr>
    <tabColor rgb="FFFF0000"/>
  </sheetPr>
  <dimension ref="A1:P115"/>
  <sheetViews>
    <sheetView topLeftCell="A58" zoomScale="75" zoomScaleNormal="75" workbookViewId="0">
      <selection activeCell="B71" sqref="B71"/>
    </sheetView>
  </sheetViews>
  <sheetFormatPr baseColWidth="10" defaultRowHeight="15" x14ac:dyDescent="0.25"/>
  <cols>
    <col min="1" max="1" width="92.28515625" style="48" customWidth="1"/>
    <col min="2" max="2" width="16.7109375" style="48" customWidth="1"/>
    <col min="3" max="3" width="17.140625" style="48" bestFit="1" customWidth="1"/>
    <col min="4" max="4" width="25.5703125" style="48" bestFit="1" customWidth="1"/>
    <col min="5" max="5" width="25.5703125" style="48" customWidth="1"/>
    <col min="6" max="6" width="18.28515625" style="48" customWidth="1"/>
    <col min="7" max="7" width="27.28515625" style="48" hidden="1" customWidth="1"/>
    <col min="8" max="8" width="27.28515625" style="48" customWidth="1"/>
    <col min="9" max="9" width="49.42578125" style="48" bestFit="1" customWidth="1"/>
    <col min="10" max="10" width="12.5703125" style="48" bestFit="1" customWidth="1"/>
    <col min="11" max="11" width="12" style="48" bestFit="1" customWidth="1"/>
    <col min="12" max="12" width="11.42578125" style="48"/>
    <col min="13" max="13" width="12.140625" style="48" bestFit="1" customWidth="1"/>
    <col min="14" max="15" width="12" style="48" bestFit="1" customWidth="1"/>
    <col min="16" max="16384" width="11.42578125" style="48"/>
  </cols>
  <sheetData>
    <row r="1" spans="1:10" ht="23.25" thickBot="1" x14ac:dyDescent="0.3">
      <c r="A1" s="216" t="s">
        <v>45</v>
      </c>
      <c r="B1" s="215"/>
      <c r="C1" s="215"/>
      <c r="D1" s="215"/>
      <c r="E1" s="215"/>
      <c r="F1" s="214"/>
      <c r="I1" s="213" t="s">
        <v>166</v>
      </c>
    </row>
    <row r="2" spans="1:10" ht="15.75" thickBot="1" x14ac:dyDescent="0.3">
      <c r="A2" s="212" t="s">
        <v>46</v>
      </c>
      <c r="B2" s="211"/>
      <c r="C2" s="210"/>
      <c r="D2" s="52" t="s">
        <v>47</v>
      </c>
      <c r="E2" s="274"/>
      <c r="F2" s="226" t="s">
        <v>168</v>
      </c>
    </row>
    <row r="3" spans="1:10" x14ac:dyDescent="0.25">
      <c r="A3" s="205" t="s">
        <v>48</v>
      </c>
      <c r="B3" s="204"/>
      <c r="C3" s="203"/>
      <c r="D3" s="50" t="s">
        <v>48</v>
      </c>
      <c r="E3" s="275"/>
      <c r="F3" s="54"/>
      <c r="I3" s="52" t="s">
        <v>0</v>
      </c>
      <c r="J3" s="51">
        <v>4200</v>
      </c>
    </row>
    <row r="4" spans="1:10" x14ac:dyDescent="0.25">
      <c r="A4" s="205" t="s">
        <v>49</v>
      </c>
      <c r="B4" s="204"/>
      <c r="C4" s="203"/>
      <c r="D4" s="50" t="s">
        <v>50</v>
      </c>
      <c r="E4" s="275"/>
      <c r="F4" s="54"/>
      <c r="I4" s="50" t="s">
        <v>165</v>
      </c>
      <c r="J4" s="54">
        <v>151.66999999999999</v>
      </c>
    </row>
    <row r="5" spans="1:10" x14ac:dyDescent="0.25">
      <c r="A5" s="205" t="s">
        <v>51</v>
      </c>
      <c r="B5" s="204"/>
      <c r="C5" s="203"/>
      <c r="D5" s="50" t="s">
        <v>52</v>
      </c>
      <c r="E5" s="275"/>
      <c r="F5" s="54"/>
      <c r="I5" s="50" t="s">
        <v>164</v>
      </c>
      <c r="J5" s="54"/>
    </row>
    <row r="6" spans="1:10" x14ac:dyDescent="0.25">
      <c r="A6" s="205" t="s">
        <v>51</v>
      </c>
      <c r="B6" s="204"/>
      <c r="C6" s="203"/>
      <c r="D6" s="50" t="s">
        <v>53</v>
      </c>
      <c r="E6" s="275"/>
      <c r="F6" s="54"/>
      <c r="I6" s="193" t="s">
        <v>163</v>
      </c>
      <c r="J6" s="56">
        <v>4</v>
      </c>
    </row>
    <row r="7" spans="1:10" x14ac:dyDescent="0.25">
      <c r="A7" s="205" t="s">
        <v>54</v>
      </c>
      <c r="B7" s="204"/>
      <c r="C7" s="203"/>
      <c r="D7" s="50"/>
      <c r="E7" s="275"/>
      <c r="F7" s="54"/>
      <c r="I7" s="50" t="s">
        <v>162</v>
      </c>
      <c r="J7" s="209">
        <v>4.7199999999999999E-2</v>
      </c>
    </row>
    <row r="8" spans="1:10" x14ac:dyDescent="0.25">
      <c r="A8" s="205" t="s">
        <v>55</v>
      </c>
      <c r="B8" s="204"/>
      <c r="C8" s="203"/>
      <c r="D8" s="50" t="s">
        <v>56</v>
      </c>
      <c r="E8" s="275"/>
      <c r="F8" s="54"/>
      <c r="I8" s="208" t="s">
        <v>161</v>
      </c>
      <c r="J8" s="207">
        <v>0</v>
      </c>
    </row>
    <row r="9" spans="1:10" x14ac:dyDescent="0.25">
      <c r="A9" s="205" t="s">
        <v>57</v>
      </c>
      <c r="B9" s="204"/>
      <c r="C9" s="203"/>
      <c r="D9" s="50" t="s">
        <v>58</v>
      </c>
      <c r="E9" s="275"/>
      <c r="F9" s="54"/>
      <c r="I9" s="50" t="s">
        <v>160</v>
      </c>
      <c r="J9" s="206">
        <v>10.57</v>
      </c>
    </row>
    <row r="10" spans="1:10" x14ac:dyDescent="0.25">
      <c r="A10" s="205" t="s">
        <v>59</v>
      </c>
      <c r="B10" s="204"/>
      <c r="C10" s="203"/>
      <c r="D10" s="50" t="s">
        <v>60</v>
      </c>
      <c r="E10" s="275"/>
      <c r="F10" s="54"/>
      <c r="I10" s="50"/>
      <c r="J10" s="171"/>
    </row>
    <row r="11" spans="1:10" x14ac:dyDescent="0.25">
      <c r="A11" s="205" t="s">
        <v>61</v>
      </c>
      <c r="B11" s="204"/>
      <c r="C11" s="203"/>
      <c r="D11" s="50" t="s">
        <v>62</v>
      </c>
      <c r="E11" s="275"/>
      <c r="F11" s="54"/>
      <c r="I11" s="50" t="s">
        <v>159</v>
      </c>
      <c r="J11" s="54">
        <v>0</v>
      </c>
    </row>
    <row r="12" spans="1:10" x14ac:dyDescent="0.25">
      <c r="A12" s="205" t="s">
        <v>63</v>
      </c>
      <c r="B12" s="204"/>
      <c r="C12" s="203"/>
      <c r="D12" s="50" t="s">
        <v>64</v>
      </c>
      <c r="E12" s="275"/>
      <c r="F12" s="54"/>
      <c r="I12" s="50" t="s">
        <v>77</v>
      </c>
      <c r="J12" s="54">
        <v>0</v>
      </c>
    </row>
    <row r="13" spans="1:10" x14ac:dyDescent="0.25">
      <c r="A13" s="205" t="s">
        <v>65</v>
      </c>
      <c r="B13" s="204"/>
      <c r="C13" s="203"/>
      <c r="D13" s="50" t="s">
        <v>66</v>
      </c>
      <c r="E13" s="275"/>
      <c r="F13" s="54"/>
      <c r="I13" s="50" t="s">
        <v>4</v>
      </c>
      <c r="J13" s="54"/>
    </row>
    <row r="14" spans="1:10" x14ac:dyDescent="0.25">
      <c r="A14" s="205"/>
      <c r="B14" s="204"/>
      <c r="C14" s="203"/>
      <c r="D14" s="50" t="s">
        <v>67</v>
      </c>
      <c r="E14" s="275"/>
      <c r="F14" s="54"/>
      <c r="I14" s="50" t="s">
        <v>153</v>
      </c>
      <c r="J14" s="54"/>
    </row>
    <row r="15" spans="1:10" x14ac:dyDescent="0.25">
      <c r="A15" s="50"/>
      <c r="B15" s="204"/>
      <c r="C15" s="203"/>
      <c r="D15" s="50"/>
      <c r="E15" s="275"/>
      <c r="F15" s="54"/>
      <c r="I15" s="50" t="s">
        <v>152</v>
      </c>
      <c r="J15" s="54"/>
    </row>
    <row r="16" spans="1:10" ht="15.75" thickBot="1" x14ac:dyDescent="0.3">
      <c r="A16" s="49"/>
      <c r="B16" s="202"/>
      <c r="C16" s="201"/>
      <c r="D16" s="49"/>
      <c r="E16" s="276"/>
      <c r="F16" s="200"/>
      <c r="I16" s="193" t="s">
        <v>158</v>
      </c>
      <c r="J16" s="54"/>
    </row>
    <row r="17" spans="1:16" ht="15.75" thickBot="1" x14ac:dyDescent="0.3">
      <c r="A17" s="199" t="s">
        <v>68</v>
      </c>
      <c r="B17" s="408">
        <v>44562</v>
      </c>
      <c r="C17" s="409"/>
      <c r="D17" s="198" t="s">
        <v>69</v>
      </c>
      <c r="E17" s="277"/>
      <c r="F17" s="408">
        <v>44592</v>
      </c>
      <c r="G17" s="409"/>
      <c r="I17" s="193" t="s">
        <v>75</v>
      </c>
      <c r="J17" s="197">
        <v>3428</v>
      </c>
    </row>
    <row r="18" spans="1:16" ht="20.25" customHeight="1" thickBot="1" x14ac:dyDescent="0.3">
      <c r="A18" s="196" t="s">
        <v>70</v>
      </c>
      <c r="B18" s="195"/>
      <c r="C18" s="195"/>
      <c r="D18" s="195"/>
      <c r="E18" s="278"/>
      <c r="F18" s="194"/>
      <c r="I18" s="193" t="s">
        <v>76</v>
      </c>
      <c r="J18" s="192">
        <f>D37-J17</f>
        <v>772</v>
      </c>
    </row>
    <row r="19" spans="1:16" ht="24" customHeight="1" thickBot="1" x14ac:dyDescent="0.3">
      <c r="A19" s="191" t="s">
        <v>70</v>
      </c>
      <c r="B19" s="190" t="s">
        <v>71</v>
      </c>
      <c r="C19" s="190" t="s">
        <v>72</v>
      </c>
      <c r="D19" s="189" t="s">
        <v>73</v>
      </c>
      <c r="E19" s="279"/>
      <c r="F19" s="301"/>
      <c r="I19" s="50" t="s">
        <v>156</v>
      </c>
      <c r="J19" s="54">
        <v>0.31950000000000001</v>
      </c>
    </row>
    <row r="20" spans="1:16" s="170" customFormat="1" x14ac:dyDescent="0.2">
      <c r="A20" s="52" t="s">
        <v>0</v>
      </c>
      <c r="B20" s="187"/>
      <c r="C20" s="186"/>
      <c r="D20" s="272">
        <f>J3</f>
        <v>4200</v>
      </c>
      <c r="E20" s="280"/>
      <c r="F20" s="184"/>
      <c r="G20" s="48"/>
      <c r="H20" s="48"/>
      <c r="I20" s="183" t="s">
        <v>18</v>
      </c>
      <c r="J20" s="271">
        <v>6.2E-2</v>
      </c>
      <c r="K20" s="48"/>
      <c r="L20" s="48"/>
      <c r="M20" s="48"/>
      <c r="N20" s="48"/>
      <c r="O20" s="48"/>
      <c r="P20" s="48"/>
    </row>
    <row r="21" spans="1:16" s="170" customFormat="1" x14ac:dyDescent="0.25">
      <c r="A21" s="177" t="s">
        <v>188</v>
      </c>
      <c r="B21" s="176"/>
      <c r="C21" s="175"/>
      <c r="D21" s="174"/>
      <c r="E21" s="281"/>
      <c r="F21" s="172"/>
      <c r="I21" s="50" t="s">
        <v>16</v>
      </c>
      <c r="J21" s="178"/>
      <c r="K21" s="48"/>
      <c r="L21" s="48"/>
      <c r="M21" s="48"/>
      <c r="N21" s="48"/>
      <c r="O21" s="48"/>
      <c r="P21" s="48"/>
    </row>
    <row r="22" spans="1:16" s="170" customFormat="1" x14ac:dyDescent="0.25">
      <c r="A22" s="177" t="s">
        <v>3</v>
      </c>
      <c r="B22" s="181"/>
      <c r="C22" s="180"/>
      <c r="D22" s="179"/>
      <c r="E22" s="282"/>
      <c r="F22" s="172"/>
      <c r="I22" s="50" t="s">
        <v>17</v>
      </c>
      <c r="J22" s="178">
        <v>0.02</v>
      </c>
      <c r="K22" s="48"/>
      <c r="L22" s="48"/>
      <c r="M22" s="48"/>
      <c r="N22" s="48"/>
      <c r="O22" s="48"/>
      <c r="P22" s="48"/>
    </row>
    <row r="23" spans="1:16" s="170" customFormat="1" x14ac:dyDescent="0.25">
      <c r="A23" s="177" t="s">
        <v>187</v>
      </c>
      <c r="B23" s="176"/>
      <c r="C23" s="175"/>
      <c r="D23" s="174"/>
      <c r="E23" s="281"/>
      <c r="F23" s="172"/>
      <c r="I23" s="50" t="s">
        <v>155</v>
      </c>
      <c r="J23" s="171"/>
      <c r="K23" s="48"/>
      <c r="L23" s="48"/>
      <c r="M23" s="48"/>
      <c r="N23" s="48"/>
      <c r="O23" s="48"/>
      <c r="P23" s="48"/>
    </row>
    <row r="24" spans="1:16" ht="15.75" thickBot="1" x14ac:dyDescent="0.3">
      <c r="A24" s="50" t="s">
        <v>77</v>
      </c>
      <c r="B24" s="55"/>
      <c r="C24" s="163"/>
      <c r="D24" s="163"/>
      <c r="E24" s="283"/>
      <c r="F24" s="169"/>
      <c r="I24" s="49" t="s">
        <v>154</v>
      </c>
      <c r="J24" s="168"/>
    </row>
    <row r="25" spans="1:16" x14ac:dyDescent="0.25">
      <c r="A25" s="50" t="s">
        <v>4</v>
      </c>
      <c r="B25" s="55"/>
      <c r="C25" s="163"/>
      <c r="D25" s="163"/>
      <c r="E25" s="283"/>
      <c r="F25" s="165"/>
    </row>
    <row r="26" spans="1:16" x14ac:dyDescent="0.25">
      <c r="A26" s="50" t="s">
        <v>153</v>
      </c>
      <c r="B26" s="55"/>
      <c r="C26" s="163"/>
      <c r="D26" s="163"/>
      <c r="E26" s="283"/>
      <c r="F26" s="165"/>
    </row>
    <row r="27" spans="1:16" x14ac:dyDescent="0.25">
      <c r="A27" s="50" t="s">
        <v>152</v>
      </c>
      <c r="B27" s="55"/>
      <c r="C27" s="163"/>
      <c r="D27" s="163"/>
      <c r="E27" s="283"/>
      <c r="F27" s="165"/>
    </row>
    <row r="28" spans="1:16" x14ac:dyDescent="0.25">
      <c r="A28" s="50" t="s">
        <v>81</v>
      </c>
      <c r="B28" s="167"/>
      <c r="C28" s="160"/>
      <c r="D28" s="159"/>
      <c r="E28" s="284"/>
      <c r="F28" s="165"/>
    </row>
    <row r="29" spans="1:16" ht="27" x14ac:dyDescent="0.25">
      <c r="A29" s="50" t="s">
        <v>142</v>
      </c>
      <c r="B29" s="164"/>
      <c r="C29" s="55"/>
      <c r="D29" s="163"/>
      <c r="E29" s="283"/>
      <c r="F29" s="157"/>
      <c r="I29" s="162"/>
    </row>
    <row r="30" spans="1:16" x14ac:dyDescent="0.25">
      <c r="A30" s="50" t="s">
        <v>151</v>
      </c>
      <c r="B30" s="161"/>
      <c r="C30" s="160"/>
      <c r="D30" s="159"/>
      <c r="E30" s="284"/>
      <c r="F30" s="157"/>
    </row>
    <row r="31" spans="1:16" x14ac:dyDescent="0.25">
      <c r="A31" s="50"/>
      <c r="B31" s="156"/>
      <c r="C31" s="57"/>
      <c r="D31" s="155"/>
      <c r="E31" s="285"/>
      <c r="F31" s="153"/>
    </row>
    <row r="32" spans="1:16" ht="15.75" thickBot="1" x14ac:dyDescent="0.3">
      <c r="A32" s="48" t="s">
        <v>78</v>
      </c>
      <c r="B32" s="152"/>
      <c r="C32" s="151"/>
      <c r="D32" s="150"/>
      <c r="E32" s="286"/>
      <c r="F32" s="148"/>
    </row>
    <row r="33" spans="1:8" x14ac:dyDescent="0.25">
      <c r="A33" s="146" t="s">
        <v>79</v>
      </c>
      <c r="B33" s="126"/>
      <c r="C33" s="147"/>
      <c r="D33" s="66"/>
      <c r="E33" s="287"/>
      <c r="F33" s="137"/>
    </row>
    <row r="34" spans="1:8" x14ac:dyDescent="0.25">
      <c r="A34" s="48" t="s">
        <v>80</v>
      </c>
      <c r="B34" s="126"/>
      <c r="C34" s="147"/>
      <c r="D34" s="66"/>
      <c r="E34" s="287"/>
      <c r="F34" s="137"/>
    </row>
    <row r="35" spans="1:8" x14ac:dyDescent="0.25">
      <c r="A35" s="146" t="s">
        <v>150</v>
      </c>
      <c r="B35" s="126"/>
      <c r="C35" s="145"/>
      <c r="D35" s="66"/>
      <c r="E35" s="287"/>
      <c r="F35" s="137"/>
    </row>
    <row r="36" spans="1:8" ht="15.75" thickBot="1" x14ac:dyDescent="0.3">
      <c r="A36" s="144" t="s">
        <v>1</v>
      </c>
      <c r="B36" s="126"/>
      <c r="C36" s="143"/>
      <c r="D36" s="142">
        <f>B36*C36</f>
        <v>0</v>
      </c>
      <c r="E36" s="287"/>
      <c r="F36" s="137"/>
    </row>
    <row r="37" spans="1:8" ht="16.5" thickTop="1" thickBot="1" x14ac:dyDescent="0.3">
      <c r="A37" s="141" t="s">
        <v>5</v>
      </c>
      <c r="B37" s="59"/>
      <c r="C37" s="140"/>
      <c r="D37" s="139">
        <f>SUM(D20:D36)</f>
        <v>4200</v>
      </c>
      <c r="E37" s="288"/>
      <c r="F37" s="137"/>
    </row>
    <row r="38" spans="1:8" x14ac:dyDescent="0.25">
      <c r="A38" s="136"/>
      <c r="B38" s="135"/>
      <c r="C38" s="134"/>
      <c r="D38" s="133"/>
      <c r="E38" s="289"/>
      <c r="F38" s="302"/>
    </row>
    <row r="39" spans="1:8" x14ac:dyDescent="0.25">
      <c r="A39" s="130" t="s">
        <v>82</v>
      </c>
      <c r="B39" s="129" t="s">
        <v>15</v>
      </c>
      <c r="C39" s="129" t="s">
        <v>201</v>
      </c>
      <c r="D39" s="129" t="s">
        <v>202</v>
      </c>
      <c r="E39" s="290"/>
      <c r="F39" s="303" t="s">
        <v>190</v>
      </c>
    </row>
    <row r="40" spans="1:8" x14ac:dyDescent="0.25">
      <c r="A40" s="248" t="s">
        <v>6</v>
      </c>
      <c r="B40" s="249"/>
      <c r="C40" s="250"/>
      <c r="D40" s="250"/>
      <c r="E40" s="251"/>
      <c r="F40" s="304"/>
    </row>
    <row r="41" spans="1:8" x14ac:dyDescent="0.25">
      <c r="A41" s="253" t="s">
        <v>83</v>
      </c>
      <c r="B41" s="254">
        <f>D37</f>
        <v>4200</v>
      </c>
      <c r="C41" s="255"/>
      <c r="D41" s="256"/>
      <c r="E41" s="322">
        <v>0.13</v>
      </c>
      <c r="F41" s="305">
        <f>E41*B41</f>
        <v>546</v>
      </c>
      <c r="G41" s="273">
        <v>4.7199999999999999E-2</v>
      </c>
      <c r="H41" s="273"/>
    </row>
    <row r="42" spans="1:8" x14ac:dyDescent="0.25">
      <c r="A42" s="259" t="s">
        <v>199</v>
      </c>
      <c r="B42" s="254">
        <f>$D$37</f>
        <v>4200</v>
      </c>
      <c r="C42" s="259"/>
      <c r="D42" s="259"/>
      <c r="E42" s="259"/>
      <c r="F42" s="305">
        <f>B42*J22</f>
        <v>84</v>
      </c>
      <c r="G42" s="273"/>
      <c r="H42" s="273"/>
    </row>
    <row r="43" spans="1:8" x14ac:dyDescent="0.25">
      <c r="A43" s="253" t="s">
        <v>84</v>
      </c>
      <c r="B43" s="254"/>
      <c r="C43" s="260"/>
      <c r="D43" s="261"/>
      <c r="E43" s="292"/>
      <c r="F43" s="305"/>
      <c r="G43" s="273">
        <v>8.5500000000000007E-2</v>
      </c>
      <c r="H43" s="273"/>
    </row>
    <row r="44" spans="1:8" x14ac:dyDescent="0.25">
      <c r="A44" s="253" t="s">
        <v>85</v>
      </c>
      <c r="B44" s="254"/>
      <c r="C44" s="260"/>
      <c r="D44" s="261"/>
      <c r="E44" s="292"/>
      <c r="F44" s="305"/>
      <c r="G44" s="273">
        <v>1.9E-2</v>
      </c>
      <c r="H44" s="273"/>
    </row>
    <row r="45" spans="1:8" x14ac:dyDescent="0.25">
      <c r="A45" s="248" t="s">
        <v>7</v>
      </c>
      <c r="B45" s="254">
        <f>D37</f>
        <v>4200</v>
      </c>
      <c r="C45" s="259"/>
      <c r="D45" s="254"/>
      <c r="E45" s="300">
        <v>4.4999999999999998E-2</v>
      </c>
      <c r="F45" s="305">
        <f>E45*B45</f>
        <v>189</v>
      </c>
      <c r="G45" s="273">
        <v>6.0100000000000001E-2</v>
      </c>
      <c r="H45" s="273"/>
    </row>
    <row r="46" spans="1:8" x14ac:dyDescent="0.25">
      <c r="A46" s="248" t="s">
        <v>8</v>
      </c>
      <c r="B46" s="249"/>
      <c r="C46" s="250"/>
      <c r="D46" s="250"/>
      <c r="E46" s="251"/>
      <c r="F46" s="304"/>
      <c r="G46" s="273">
        <v>0.1457</v>
      </c>
      <c r="H46" s="273"/>
    </row>
    <row r="47" spans="1:8" x14ac:dyDescent="0.25">
      <c r="A47" s="253" t="s">
        <v>20</v>
      </c>
      <c r="B47" s="254">
        <f>J17</f>
        <v>3428</v>
      </c>
      <c r="C47" s="260">
        <v>6.9000000000000006E-2</v>
      </c>
      <c r="D47" s="261">
        <f t="shared" ref="D47:D51" si="0">C47*B47</f>
        <v>236.53200000000001</v>
      </c>
      <c r="E47" s="299">
        <f>G43</f>
        <v>8.5500000000000007E-2</v>
      </c>
      <c r="F47" s="305">
        <f t="shared" ref="F47:F55" si="1">E47*B47</f>
        <v>293.09399999999999</v>
      </c>
      <c r="G47" s="273">
        <v>2.0999999999999999E-3</v>
      </c>
      <c r="H47" s="273"/>
    </row>
    <row r="48" spans="1:8" x14ac:dyDescent="0.25">
      <c r="A48" s="253" t="s">
        <v>22</v>
      </c>
      <c r="B48" s="254">
        <f>D37</f>
        <v>4200</v>
      </c>
      <c r="C48" s="260">
        <v>4.0000000000000001E-3</v>
      </c>
      <c r="D48" s="261">
        <f t="shared" si="0"/>
        <v>16.8</v>
      </c>
      <c r="E48" s="299">
        <f t="shared" ref="E48:E51" si="2">G44</f>
        <v>1.9E-2</v>
      </c>
      <c r="F48" s="305">
        <f t="shared" si="1"/>
        <v>79.8</v>
      </c>
      <c r="G48" s="273"/>
      <c r="H48" s="273"/>
    </row>
    <row r="49" spans="1:8" x14ac:dyDescent="0.25">
      <c r="A49" s="253" t="s">
        <v>23</v>
      </c>
      <c r="B49" s="254">
        <f>B47</f>
        <v>3428</v>
      </c>
      <c r="C49" s="260">
        <v>4.0099999999999997E-2</v>
      </c>
      <c r="D49" s="261">
        <f t="shared" si="0"/>
        <v>137.46279999999999</v>
      </c>
      <c r="E49" s="299">
        <f t="shared" si="2"/>
        <v>6.0100000000000001E-2</v>
      </c>
      <c r="F49" s="305">
        <f t="shared" si="1"/>
        <v>206.02279999999999</v>
      </c>
      <c r="G49" s="273" t="e">
        <v>#REF!</v>
      </c>
      <c r="H49" s="273"/>
    </row>
    <row r="50" spans="1:8" x14ac:dyDescent="0.25">
      <c r="A50" s="253" t="s">
        <v>149</v>
      </c>
      <c r="B50" s="254">
        <f>J18</f>
        <v>772</v>
      </c>
      <c r="C50" s="260">
        <v>9.7199999999999995E-2</v>
      </c>
      <c r="D50" s="261">
        <f t="shared" si="0"/>
        <v>75.038399999999996</v>
      </c>
      <c r="E50" s="299">
        <f t="shared" si="2"/>
        <v>0.1457</v>
      </c>
      <c r="F50" s="305">
        <f t="shared" si="1"/>
        <v>112.4804</v>
      </c>
      <c r="G50" s="273">
        <v>4.2000000000000003E-2</v>
      </c>
      <c r="H50" s="273"/>
    </row>
    <row r="51" spans="1:8" x14ac:dyDescent="0.25">
      <c r="A51" s="253" t="s">
        <v>86</v>
      </c>
      <c r="B51" s="254">
        <f>D37</f>
        <v>4200</v>
      </c>
      <c r="C51" s="260">
        <v>1.4E-3</v>
      </c>
      <c r="D51" s="261">
        <f t="shared" si="0"/>
        <v>5.88</v>
      </c>
      <c r="E51" s="299">
        <f t="shared" si="2"/>
        <v>2.0999999999999999E-3</v>
      </c>
      <c r="F51" s="305">
        <f t="shared" si="1"/>
        <v>8.82</v>
      </c>
      <c r="G51" s="273">
        <v>3.6000000000000002E-4</v>
      </c>
      <c r="H51" s="273"/>
    </row>
    <row r="52" spans="1:8" x14ac:dyDescent="0.25">
      <c r="A52" s="253" t="s">
        <v>87</v>
      </c>
      <c r="B52" s="254"/>
      <c r="C52" s="260"/>
      <c r="D52" s="261"/>
      <c r="E52" s="292"/>
      <c r="F52" s="305">
        <f t="shared" si="1"/>
        <v>0</v>
      </c>
      <c r="G52" s="273"/>
      <c r="H52" s="273"/>
    </row>
    <row r="53" spans="1:8" x14ac:dyDescent="0.25">
      <c r="A53" s="248" t="s">
        <v>88</v>
      </c>
      <c r="B53" s="254"/>
      <c r="C53" s="264"/>
      <c r="D53" s="254"/>
      <c r="E53" s="293"/>
      <c r="F53" s="305">
        <f t="shared" si="1"/>
        <v>0</v>
      </c>
      <c r="G53" s="273"/>
      <c r="H53" s="273"/>
    </row>
    <row r="54" spans="1:8" x14ac:dyDescent="0.25">
      <c r="A54" s="248" t="s">
        <v>21</v>
      </c>
      <c r="B54" s="254">
        <f>D37</f>
        <v>4200</v>
      </c>
      <c r="C54" s="264"/>
      <c r="D54" s="254"/>
      <c r="E54" s="300">
        <v>4.2000000000000003E-2</v>
      </c>
      <c r="F54" s="305">
        <f t="shared" si="1"/>
        <v>176.4</v>
      </c>
      <c r="G54" s="273"/>
      <c r="H54" s="273"/>
    </row>
    <row r="55" spans="1:8" x14ac:dyDescent="0.25">
      <c r="A55" s="253" t="s">
        <v>89</v>
      </c>
      <c r="B55" s="254">
        <f>D37</f>
        <v>4200</v>
      </c>
      <c r="C55" s="266">
        <v>2.4000000000000001E-4</v>
      </c>
      <c r="D55" s="254">
        <f>C55*B55</f>
        <v>1.008</v>
      </c>
      <c r="E55" s="265">
        <v>3.6000000000000002E-4</v>
      </c>
      <c r="F55" s="305">
        <f t="shared" si="1"/>
        <v>1.512</v>
      </c>
      <c r="G55" s="273"/>
      <c r="H55" s="273"/>
    </row>
    <row r="56" spans="1:8" x14ac:dyDescent="0.25">
      <c r="A56" s="248" t="s">
        <v>19</v>
      </c>
      <c r="B56" s="254"/>
      <c r="C56" s="264"/>
      <c r="D56" s="254"/>
      <c r="E56" s="293"/>
      <c r="F56" s="305">
        <f>D100</f>
        <v>68.36</v>
      </c>
      <c r="G56" s="273"/>
      <c r="H56" s="273"/>
    </row>
    <row r="57" spans="1:8" x14ac:dyDescent="0.25">
      <c r="A57" s="248"/>
      <c r="B57" s="254"/>
      <c r="C57" s="254"/>
      <c r="D57" s="254"/>
      <c r="E57" s="293"/>
      <c r="F57" s="306"/>
      <c r="G57" s="273"/>
      <c r="H57" s="273"/>
    </row>
    <row r="58" spans="1:8" x14ac:dyDescent="0.25">
      <c r="A58" s="268" t="s">
        <v>148</v>
      </c>
      <c r="B58" s="254"/>
      <c r="C58" s="254"/>
      <c r="D58" s="254"/>
      <c r="E58" s="293"/>
      <c r="F58" s="306"/>
      <c r="G58" s="273"/>
      <c r="H58" s="273"/>
    </row>
    <row r="59" spans="1:8" ht="18" customHeight="1" x14ac:dyDescent="0.25">
      <c r="A59" s="253"/>
      <c r="B59" s="254"/>
      <c r="C59" s="266"/>
      <c r="D59" s="254"/>
      <c r="E59" s="293"/>
      <c r="F59" s="305"/>
      <c r="G59" s="273"/>
      <c r="H59" s="273"/>
    </row>
    <row r="60" spans="1:8" ht="18" customHeight="1" x14ac:dyDescent="0.25">
      <c r="A60" s="248" t="s">
        <v>90</v>
      </c>
      <c r="B60" s="254">
        <f>(D37*0.9825)+F42</f>
        <v>4210.5</v>
      </c>
      <c r="C60" s="260">
        <v>6.8000000000000005E-2</v>
      </c>
      <c r="D60" s="261">
        <f t="shared" ref="D60:D61" si="3">C60*B60</f>
        <v>286.31400000000002</v>
      </c>
      <c r="E60" s="292"/>
      <c r="F60" s="305"/>
    </row>
    <row r="61" spans="1:8" ht="18" customHeight="1" x14ac:dyDescent="0.25">
      <c r="A61" s="81" t="s">
        <v>91</v>
      </c>
      <c r="B61" s="126">
        <f>B60</f>
        <v>4210.5</v>
      </c>
      <c r="C61" s="124">
        <v>2.9000000000000001E-2</v>
      </c>
      <c r="D61" s="261">
        <f t="shared" si="3"/>
        <v>122.1045</v>
      </c>
      <c r="E61" s="292"/>
      <c r="F61" s="307"/>
    </row>
    <row r="62" spans="1:8" ht="18" customHeight="1" x14ac:dyDescent="0.25">
      <c r="A62" s="125" t="s">
        <v>92</v>
      </c>
      <c r="B62" s="126"/>
      <c r="C62" s="124">
        <v>9.7000000000000003E-2</v>
      </c>
      <c r="D62" s="118"/>
      <c r="E62" s="122"/>
      <c r="F62" s="307"/>
    </row>
    <row r="63" spans="1:8" ht="18" customHeight="1" x14ac:dyDescent="0.25">
      <c r="A63" s="246" t="s">
        <v>200</v>
      </c>
      <c r="B63" s="247"/>
      <c r="C63" s="247"/>
      <c r="D63" s="118"/>
      <c r="E63" s="247"/>
      <c r="F63" s="321"/>
    </row>
    <row r="64" spans="1:8" ht="18" customHeight="1" x14ac:dyDescent="0.25">
      <c r="A64" s="246"/>
      <c r="B64" s="247"/>
      <c r="C64" s="247"/>
      <c r="D64" s="247"/>
      <c r="E64" s="247"/>
      <c r="F64" s="308"/>
    </row>
    <row r="65" spans="1:6" ht="18" customHeight="1" x14ac:dyDescent="0.25">
      <c r="A65" s="81" t="s">
        <v>9</v>
      </c>
      <c r="B65" s="118"/>
      <c r="C65" s="117"/>
      <c r="D65" s="116">
        <f>SUM(D41:D63)</f>
        <v>881.13970000000006</v>
      </c>
      <c r="E65" s="116"/>
      <c r="F65" s="309">
        <f>SUM(F41:F63)</f>
        <v>1765.4891999999998</v>
      </c>
    </row>
    <row r="66" spans="1:6" ht="18" customHeight="1" x14ac:dyDescent="0.25">
      <c r="A66" s="81"/>
      <c r="B66" s="118"/>
      <c r="C66" s="117"/>
      <c r="D66" s="116"/>
      <c r="E66" s="269"/>
      <c r="F66" s="310"/>
    </row>
    <row r="67" spans="1:6" x14ac:dyDescent="0.25">
      <c r="A67" s="103" t="s">
        <v>93</v>
      </c>
      <c r="B67" s="118"/>
      <c r="C67" s="117"/>
      <c r="D67" s="116">
        <v>-300</v>
      </c>
      <c r="E67" s="269"/>
      <c r="F67" s="310"/>
    </row>
    <row r="68" spans="1:6" x14ac:dyDescent="0.25">
      <c r="A68" s="103" t="s">
        <v>74</v>
      </c>
      <c r="B68" s="118"/>
      <c r="C68" s="117"/>
      <c r="D68" s="116"/>
      <c r="E68" s="269"/>
      <c r="F68" s="310"/>
    </row>
    <row r="69" spans="1:6" x14ac:dyDescent="0.25">
      <c r="A69" s="103" t="s">
        <v>94</v>
      </c>
      <c r="B69" s="118"/>
      <c r="C69" s="117"/>
      <c r="D69" s="116">
        <v>-222</v>
      </c>
      <c r="E69" s="269"/>
      <c r="F69" s="310"/>
    </row>
    <row r="70" spans="1:6" ht="15.75" customHeight="1" x14ac:dyDescent="0.25">
      <c r="A70" s="103" t="s">
        <v>95</v>
      </c>
      <c r="B70" s="323">
        <v>18</v>
      </c>
      <c r="C70" s="117">
        <v>3.6</v>
      </c>
      <c r="D70" s="116">
        <f>-C70*B70</f>
        <v>-64.8</v>
      </c>
      <c r="E70" s="269"/>
      <c r="F70" s="310"/>
    </row>
    <row r="71" spans="1:6" x14ac:dyDescent="0.25">
      <c r="A71" s="103" t="s">
        <v>203</v>
      </c>
      <c r="B71" s="118"/>
      <c r="C71" s="117"/>
      <c r="D71" s="116">
        <v>630</v>
      </c>
      <c r="E71" s="269"/>
      <c r="F71" s="310"/>
    </row>
    <row r="72" spans="1:6" x14ac:dyDescent="0.25">
      <c r="A72" s="103"/>
      <c r="B72" s="118"/>
      <c r="C72" s="117"/>
      <c r="D72" s="116"/>
      <c r="E72" s="269"/>
      <c r="F72" s="310"/>
    </row>
    <row r="73" spans="1:6" ht="15.75" thickBot="1" x14ac:dyDescent="0.3">
      <c r="A73" s="81"/>
      <c r="B73" s="118"/>
      <c r="C73" s="117"/>
      <c r="D73" s="116"/>
      <c r="E73" s="269"/>
      <c r="F73" s="311"/>
    </row>
    <row r="74" spans="1:6" ht="15.75" thickBot="1" x14ac:dyDescent="0.3">
      <c r="A74" s="104" t="s">
        <v>10</v>
      </c>
      <c r="B74" s="118"/>
      <c r="C74" s="117"/>
      <c r="D74" s="116"/>
      <c r="E74" s="294"/>
      <c r="F74" s="312">
        <f>D37-D65+SUM(D67:D73)</f>
        <v>3362.0603000000001</v>
      </c>
    </row>
    <row r="75" spans="1:6" s="156" customFormat="1" x14ac:dyDescent="0.25">
      <c r="A75" s="81" t="s">
        <v>11</v>
      </c>
      <c r="B75" s="117"/>
      <c r="C75" s="230"/>
      <c r="D75" s="230"/>
      <c r="E75" s="295"/>
      <c r="F75" s="313">
        <f>D107</f>
        <v>60.721500000000006</v>
      </c>
    </row>
    <row r="76" spans="1:6" s="156" customFormat="1" x14ac:dyDescent="0.25">
      <c r="A76" s="244" t="s">
        <v>12</v>
      </c>
      <c r="B76" s="244" t="s">
        <v>13</v>
      </c>
      <c r="C76" s="244" t="s">
        <v>2</v>
      </c>
      <c r="D76" s="245" t="s">
        <v>96</v>
      </c>
      <c r="E76" s="245"/>
      <c r="F76" s="314" t="s">
        <v>192</v>
      </c>
    </row>
    <row r="77" spans="1:6" s="156" customFormat="1" x14ac:dyDescent="0.25">
      <c r="A77" s="103" t="s">
        <v>193</v>
      </c>
      <c r="B77" s="127"/>
      <c r="C77" s="117"/>
      <c r="D77" s="318">
        <f>D37+F42+D61-D65</f>
        <v>3524.9648000000002</v>
      </c>
      <c r="E77" s="296"/>
      <c r="F77" s="315">
        <f>D77</f>
        <v>3524.9648000000002</v>
      </c>
    </row>
    <row r="78" spans="1:6" s="156" customFormat="1" x14ac:dyDescent="0.25">
      <c r="A78" s="103" t="s">
        <v>194</v>
      </c>
      <c r="B78" s="319">
        <f>D77</f>
        <v>3524.9648000000002</v>
      </c>
      <c r="C78" s="320">
        <f>J20</f>
        <v>6.2E-2</v>
      </c>
      <c r="D78" s="318">
        <f>C78*B78</f>
        <v>218.5478176</v>
      </c>
      <c r="E78" s="296"/>
      <c r="F78" s="315">
        <f>D78</f>
        <v>218.5478176</v>
      </c>
    </row>
    <row r="79" spans="1:6" s="156" customFormat="1" x14ac:dyDescent="0.25">
      <c r="A79" s="103" t="s">
        <v>195</v>
      </c>
      <c r="B79" s="127"/>
      <c r="C79" s="117"/>
      <c r="D79" s="112"/>
      <c r="E79" s="296"/>
      <c r="F79" s="315"/>
    </row>
    <row r="80" spans="1:6" s="156" customFormat="1" x14ac:dyDescent="0.25">
      <c r="A80" s="103"/>
      <c r="B80" s="127"/>
      <c r="C80" s="117"/>
      <c r="D80" s="117"/>
      <c r="E80" s="297"/>
      <c r="F80" s="316"/>
    </row>
    <row r="81" spans="1:6" s="156" customFormat="1" x14ac:dyDescent="0.25">
      <c r="A81" s="104" t="s">
        <v>196</v>
      </c>
      <c r="B81" s="117"/>
      <c r="C81" s="117"/>
      <c r="D81" s="117"/>
      <c r="E81" s="297"/>
      <c r="F81" s="315">
        <f>F74-D78</f>
        <v>3143.5124824</v>
      </c>
    </row>
    <row r="82" spans="1:6" s="156" customFormat="1" x14ac:dyDescent="0.25">
      <c r="A82" s="103" t="s">
        <v>197</v>
      </c>
      <c r="B82" s="117"/>
      <c r="C82" s="117"/>
      <c r="D82" s="117"/>
      <c r="E82" s="297"/>
      <c r="F82" s="315">
        <f>D115</f>
        <v>75.599999999999994</v>
      </c>
    </row>
    <row r="83" spans="1:6" s="156" customFormat="1" x14ac:dyDescent="0.25">
      <c r="A83" s="103" t="s">
        <v>198</v>
      </c>
      <c r="B83" s="240"/>
      <c r="C83" s="117"/>
      <c r="D83" s="117"/>
      <c r="E83" s="297"/>
      <c r="F83" s="315">
        <f>D37+F65</f>
        <v>5965.4892</v>
      </c>
    </row>
    <row r="84" spans="1:6" s="156" customFormat="1" ht="15.75" thickBot="1" x14ac:dyDescent="0.3">
      <c r="A84" s="270" t="s">
        <v>99</v>
      </c>
      <c r="B84" s="102"/>
      <c r="C84" s="102"/>
      <c r="D84" s="102"/>
      <c r="E84" s="298"/>
      <c r="F84" s="317"/>
    </row>
    <row r="87" spans="1:6" ht="15.75" thickBot="1" x14ac:dyDescent="0.3">
      <c r="A87" s="410" t="s">
        <v>19</v>
      </c>
      <c r="B87" s="411"/>
    </row>
    <row r="88" spans="1:6" x14ac:dyDescent="0.25">
      <c r="A88" s="101"/>
      <c r="B88" s="100"/>
      <c r="C88" s="412">
        <f>D37</f>
        <v>4200</v>
      </c>
      <c r="D88" s="99"/>
    </row>
    <row r="89" spans="1:6" x14ac:dyDescent="0.25">
      <c r="A89" s="98" t="s">
        <v>147</v>
      </c>
      <c r="B89" s="97">
        <f>IF(I2&gt;=11,I4,0)</f>
        <v>0</v>
      </c>
      <c r="C89" s="413"/>
      <c r="D89" s="96">
        <f>$C$88*B89</f>
        <v>0</v>
      </c>
    </row>
    <row r="90" spans="1:6" x14ac:dyDescent="0.25">
      <c r="A90" s="98" t="s">
        <v>146</v>
      </c>
      <c r="B90" s="97">
        <f>IF(I2&lt;50,0%,0.5%)</f>
        <v>0</v>
      </c>
      <c r="C90" s="413"/>
      <c r="D90" s="96">
        <f t="shared" ref="D90:D95" si="4">$C$88*B90</f>
        <v>0</v>
      </c>
    </row>
    <row r="91" spans="1:6" x14ac:dyDescent="0.25">
      <c r="A91" s="98" t="s">
        <v>24</v>
      </c>
      <c r="B91" s="97">
        <v>1.6000000000000001E-4</v>
      </c>
      <c r="C91" s="413"/>
      <c r="D91" s="96">
        <f t="shared" si="4"/>
        <v>0.67200000000000004</v>
      </c>
    </row>
    <row r="92" spans="1:6" x14ac:dyDescent="0.25">
      <c r="A92" s="98" t="s">
        <v>25</v>
      </c>
      <c r="B92" s="97">
        <v>3.0000000000000001E-3</v>
      </c>
      <c r="C92" s="413"/>
      <c r="D92" s="96">
        <f t="shared" si="4"/>
        <v>12.6</v>
      </c>
    </row>
    <row r="93" spans="1:6" x14ac:dyDescent="0.25">
      <c r="A93" s="98" t="s">
        <v>26</v>
      </c>
      <c r="B93" s="97">
        <v>6.7999999999999996E-3</v>
      </c>
      <c r="C93" s="413"/>
      <c r="D93" s="96">
        <f t="shared" si="4"/>
        <v>28.56</v>
      </c>
    </row>
    <row r="94" spans="1:6" x14ac:dyDescent="0.25">
      <c r="A94" s="98" t="s">
        <v>204</v>
      </c>
      <c r="B94" s="97">
        <f>IF(I2&lt;11,0.55%,1%)</f>
        <v>5.5000000000000005E-3</v>
      </c>
      <c r="C94" s="413"/>
      <c r="D94" s="96">
        <f t="shared" si="4"/>
        <v>23.1</v>
      </c>
    </row>
    <row r="95" spans="1:6" x14ac:dyDescent="0.25">
      <c r="A95" s="98" t="s">
        <v>100</v>
      </c>
      <c r="B95" s="97">
        <f>IF(I2&lt;=50,0,0.45%)</f>
        <v>0</v>
      </c>
      <c r="C95" s="413"/>
      <c r="D95" s="96">
        <f t="shared" si="4"/>
        <v>0</v>
      </c>
    </row>
    <row r="96" spans="1:6" x14ac:dyDescent="0.25">
      <c r="A96" s="50"/>
      <c r="B96" s="55"/>
      <c r="C96" s="55"/>
      <c r="D96" s="54"/>
    </row>
    <row r="97" spans="1:4" x14ac:dyDescent="0.25">
      <c r="A97" s="50" t="s">
        <v>145</v>
      </c>
      <c r="B97" s="95">
        <f>IF(I2&gt;=11,+F38+F39+F40,0)</f>
        <v>0</v>
      </c>
      <c r="C97" s="94">
        <v>0.08</v>
      </c>
      <c r="D97" s="93">
        <f>C97*B97</f>
        <v>0</v>
      </c>
    </row>
    <row r="98" spans="1:4" ht="15.75" thickBot="1" x14ac:dyDescent="0.3">
      <c r="A98" s="49" t="s">
        <v>144</v>
      </c>
      <c r="B98" s="92">
        <f>J17</f>
        <v>3428</v>
      </c>
      <c r="C98" s="91">
        <v>1E-3</v>
      </c>
      <c r="D98" s="90">
        <f>C98*B98</f>
        <v>3.4279999999999999</v>
      </c>
    </row>
    <row r="99" spans="1:4" ht="15.75" thickBot="1" x14ac:dyDescent="0.3"/>
    <row r="100" spans="1:4" ht="15.75" thickBot="1" x14ac:dyDescent="0.3">
      <c r="A100" s="89" t="s">
        <v>27</v>
      </c>
      <c r="B100" s="88"/>
      <c r="C100" s="88"/>
      <c r="D100" s="87">
        <f>SUM(D89:D98)</f>
        <v>68.36</v>
      </c>
    </row>
    <row r="101" spans="1:4" ht="15.75" thickBot="1" x14ac:dyDescent="0.3"/>
    <row r="102" spans="1:4" ht="15.75" thickBot="1" x14ac:dyDescent="0.3">
      <c r="A102" s="405" t="s">
        <v>28</v>
      </c>
      <c r="B102" s="406"/>
      <c r="C102" s="406"/>
      <c r="D102" s="407"/>
    </row>
    <row r="103" spans="1:4" x14ac:dyDescent="0.25">
      <c r="A103" s="86" t="s">
        <v>29</v>
      </c>
      <c r="B103" s="83">
        <f>D37</f>
        <v>4200</v>
      </c>
      <c r="C103" s="85">
        <v>2.4E-2</v>
      </c>
      <c r="D103" s="84">
        <f>C103*B103</f>
        <v>100.8</v>
      </c>
    </row>
    <row r="104" spans="1:4" x14ac:dyDescent="0.25">
      <c r="A104" s="58" t="s">
        <v>30</v>
      </c>
      <c r="B104" s="83">
        <f>B103</f>
        <v>4200</v>
      </c>
      <c r="C104" s="67">
        <v>7.4999999999999997E-3</v>
      </c>
      <c r="D104" s="82">
        <f>C104*B104</f>
        <v>31.5</v>
      </c>
    </row>
    <row r="105" spans="1:4" x14ac:dyDescent="0.25">
      <c r="A105" s="58" t="s">
        <v>31</v>
      </c>
      <c r="B105" s="83">
        <f>B60</f>
        <v>4210.5</v>
      </c>
      <c r="C105" s="67">
        <v>-1.7000000000000001E-2</v>
      </c>
      <c r="D105" s="82">
        <f>C105*B105</f>
        <v>-71.578500000000005</v>
      </c>
    </row>
    <row r="106" spans="1:4" x14ac:dyDescent="0.25">
      <c r="A106" s="81"/>
      <c r="B106" s="80"/>
      <c r="C106" s="79"/>
      <c r="D106" s="78"/>
    </row>
    <row r="107" spans="1:4" ht="15.75" thickBot="1" x14ac:dyDescent="0.3">
      <c r="A107" s="77" t="s">
        <v>32</v>
      </c>
      <c r="B107" s="76"/>
      <c r="C107" s="75"/>
      <c r="D107" s="74">
        <f>SUM(D103:D106)</f>
        <v>60.721500000000006</v>
      </c>
    </row>
    <row r="108" spans="1:4" x14ac:dyDescent="0.25">
      <c r="A108" s="62"/>
      <c r="B108" s="62"/>
      <c r="C108" s="62"/>
      <c r="D108" s="62"/>
    </row>
    <row r="109" spans="1:4" ht="15.75" thickBot="1" x14ac:dyDescent="0.3">
      <c r="A109" s="62"/>
      <c r="B109" s="62"/>
      <c r="C109" s="62"/>
      <c r="D109" s="62"/>
    </row>
    <row r="110" spans="1:4" ht="15.75" thickBot="1" x14ac:dyDescent="0.3">
      <c r="A110" s="405" t="s">
        <v>38</v>
      </c>
      <c r="B110" s="406"/>
      <c r="C110" s="406"/>
      <c r="D110" s="407"/>
    </row>
    <row r="111" spans="1:4" x14ac:dyDescent="0.25">
      <c r="A111" s="73" t="s">
        <v>33</v>
      </c>
      <c r="B111" s="72"/>
      <c r="C111" s="72"/>
      <c r="D111" s="225">
        <f>-F63</f>
        <v>0</v>
      </c>
    </row>
    <row r="112" spans="1:4" x14ac:dyDescent="0.25">
      <c r="A112" s="69" t="s">
        <v>34</v>
      </c>
      <c r="B112" s="71">
        <f>B62</f>
        <v>0</v>
      </c>
      <c r="C112" s="70">
        <v>1.5</v>
      </c>
      <c r="D112" s="66">
        <f>C112*B112</f>
        <v>0</v>
      </c>
    </row>
    <row r="113" spans="1:4" x14ac:dyDescent="0.25">
      <c r="A113" s="69" t="s">
        <v>35</v>
      </c>
      <c r="B113" s="68">
        <f>D37</f>
        <v>4200</v>
      </c>
      <c r="C113" s="67">
        <v>1.7999999999999999E-2</v>
      </c>
      <c r="D113" s="66">
        <f>C113*B113</f>
        <v>75.599999999999994</v>
      </c>
    </row>
    <row r="114" spans="1:4" x14ac:dyDescent="0.25">
      <c r="A114" s="69" t="s">
        <v>36</v>
      </c>
      <c r="B114" s="68"/>
      <c r="C114" s="67">
        <v>0.06</v>
      </c>
      <c r="D114" s="66">
        <f>C114*B114</f>
        <v>0</v>
      </c>
    </row>
    <row r="115" spans="1:4" ht="15.75" thickBot="1" x14ac:dyDescent="0.3">
      <c r="A115" s="65" t="s">
        <v>37</v>
      </c>
      <c r="B115" s="64"/>
      <c r="C115" s="64"/>
      <c r="D115" s="63">
        <f>D111+D112+D113+D114</f>
        <v>75.599999999999994</v>
      </c>
    </row>
  </sheetData>
  <mergeCells count="6">
    <mergeCell ref="A110:D110"/>
    <mergeCell ref="B17:C17"/>
    <mergeCell ref="F17:G17"/>
    <mergeCell ref="A87:B87"/>
    <mergeCell ref="C88:C95"/>
    <mergeCell ref="A102:D10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1748D-C157-4BEE-B588-40BA2CF8AF68}">
  <sheetPr>
    <tabColor rgb="FFFF0000"/>
  </sheetPr>
  <dimension ref="A1:O94"/>
  <sheetViews>
    <sheetView zoomScaleNormal="100" workbookViewId="0">
      <selection activeCell="A8" sqref="A8"/>
    </sheetView>
  </sheetViews>
  <sheetFormatPr baseColWidth="10" defaultRowHeight="15" x14ac:dyDescent="0.25"/>
  <cols>
    <col min="1" max="1" width="92.28515625" style="48" customWidth="1"/>
    <col min="2" max="2" width="16.7109375" style="48" customWidth="1"/>
    <col min="3" max="3" width="17.140625" style="48" bestFit="1" customWidth="1"/>
    <col min="4" max="4" width="25.5703125" style="48" bestFit="1" customWidth="1"/>
    <col min="5" max="5" width="12.5703125" style="48" customWidth="1"/>
    <col min="6" max="6" width="18.28515625" style="48" customWidth="1"/>
    <col min="7" max="7" width="27.28515625" style="48" bestFit="1" customWidth="1"/>
    <col min="8" max="8" width="49.42578125" style="48" bestFit="1" customWidth="1"/>
    <col min="9" max="9" width="11.7109375" style="48" customWidth="1"/>
    <col min="10" max="10" width="12" style="48" bestFit="1" customWidth="1"/>
    <col min="11" max="11" width="11.42578125" style="48"/>
    <col min="12" max="12" width="12.140625" style="48" bestFit="1" customWidth="1"/>
    <col min="13" max="14" width="12" style="48" bestFit="1" customWidth="1"/>
    <col min="15" max="16384" width="11.42578125" style="48"/>
  </cols>
  <sheetData>
    <row r="1" spans="1:11" ht="23.25" thickBot="1" x14ac:dyDescent="0.3">
      <c r="A1" s="216" t="s">
        <v>45</v>
      </c>
      <c r="B1" s="215"/>
      <c r="C1" s="215"/>
      <c r="D1" s="215"/>
      <c r="E1" s="215"/>
      <c r="F1" s="214"/>
      <c r="H1" s="213" t="s">
        <v>166</v>
      </c>
    </row>
    <row r="2" spans="1:11" ht="15.75" thickBot="1" x14ac:dyDescent="0.3">
      <c r="A2" s="212" t="s">
        <v>46</v>
      </c>
      <c r="B2" s="211"/>
      <c r="C2" s="210"/>
      <c r="D2" s="52" t="s">
        <v>47</v>
      </c>
      <c r="E2" s="211"/>
      <c r="F2" s="226" t="s">
        <v>168</v>
      </c>
    </row>
    <row r="3" spans="1:11" x14ac:dyDescent="0.25">
      <c r="A3" s="205" t="s">
        <v>48</v>
      </c>
      <c r="B3" s="204"/>
      <c r="C3" s="203"/>
      <c r="D3" s="50" t="s">
        <v>48</v>
      </c>
      <c r="E3" s="55"/>
      <c r="F3" s="54"/>
      <c r="H3" s="52" t="s">
        <v>0</v>
      </c>
      <c r="I3" s="51">
        <v>1950</v>
      </c>
    </row>
    <row r="4" spans="1:11" x14ac:dyDescent="0.25">
      <c r="A4" s="205" t="s">
        <v>49</v>
      </c>
      <c r="B4" s="204"/>
      <c r="C4" s="203"/>
      <c r="D4" s="50" t="s">
        <v>50</v>
      </c>
      <c r="E4" s="55"/>
      <c r="F4" s="54"/>
      <c r="H4" s="50" t="s">
        <v>165</v>
      </c>
      <c r="I4" s="54">
        <v>151.66999999999999</v>
      </c>
    </row>
    <row r="5" spans="1:11" x14ac:dyDescent="0.25">
      <c r="A5" s="205" t="s">
        <v>51</v>
      </c>
      <c r="B5" s="204"/>
      <c r="C5" s="203"/>
      <c r="D5" s="50" t="s">
        <v>52</v>
      </c>
      <c r="E5" s="55"/>
      <c r="F5" s="54"/>
      <c r="H5" s="50" t="s">
        <v>164</v>
      </c>
      <c r="I5" s="54"/>
    </row>
    <row r="6" spans="1:11" x14ac:dyDescent="0.25">
      <c r="A6" s="205" t="s">
        <v>51</v>
      </c>
      <c r="B6" s="204"/>
      <c r="C6" s="203"/>
      <c r="D6" s="50" t="s">
        <v>53</v>
      </c>
      <c r="E6" s="55"/>
      <c r="F6" s="54"/>
      <c r="H6" s="193" t="s">
        <v>163</v>
      </c>
      <c r="I6" s="56">
        <v>4</v>
      </c>
    </row>
    <row r="7" spans="1:11" x14ac:dyDescent="0.25">
      <c r="A7" s="205" t="s">
        <v>54</v>
      </c>
      <c r="B7" s="204"/>
      <c r="C7" s="203"/>
      <c r="D7" s="50"/>
      <c r="E7" s="55"/>
      <c r="F7" s="54"/>
      <c r="H7" s="50" t="s">
        <v>162</v>
      </c>
      <c r="I7" s="209">
        <v>4.7199999999999999E-2</v>
      </c>
    </row>
    <row r="8" spans="1:11" x14ac:dyDescent="0.25">
      <c r="A8" s="205" t="s">
        <v>55</v>
      </c>
      <c r="B8" s="204"/>
      <c r="C8" s="203"/>
      <c r="D8" s="50" t="s">
        <v>56</v>
      </c>
      <c r="E8" s="55"/>
      <c r="F8" s="54"/>
      <c r="H8" s="208" t="s">
        <v>161</v>
      </c>
      <c r="I8" s="207">
        <v>0</v>
      </c>
    </row>
    <row r="9" spans="1:11" x14ac:dyDescent="0.25">
      <c r="A9" s="205" t="s">
        <v>57</v>
      </c>
      <c r="B9" s="204"/>
      <c r="C9" s="203"/>
      <c r="D9" s="50" t="s">
        <v>58</v>
      </c>
      <c r="E9" s="55"/>
      <c r="F9" s="54"/>
      <c r="H9" s="50" t="s">
        <v>160</v>
      </c>
      <c r="I9" s="206">
        <v>10.57</v>
      </c>
    </row>
    <row r="10" spans="1:11" x14ac:dyDescent="0.25">
      <c r="A10" s="205" t="s">
        <v>59</v>
      </c>
      <c r="B10" s="204"/>
      <c r="C10" s="203"/>
      <c r="D10" s="50" t="s">
        <v>60</v>
      </c>
      <c r="E10" s="55"/>
      <c r="F10" s="54"/>
      <c r="H10" s="50"/>
      <c r="I10" s="171"/>
    </row>
    <row r="11" spans="1:11" x14ac:dyDescent="0.25">
      <c r="A11" s="205" t="s">
        <v>61</v>
      </c>
      <c r="B11" s="204"/>
      <c r="C11" s="203"/>
      <c r="D11" s="50" t="s">
        <v>62</v>
      </c>
      <c r="E11" s="55"/>
      <c r="F11" s="54"/>
      <c r="H11" s="50" t="s">
        <v>159</v>
      </c>
      <c r="I11" s="54">
        <v>0</v>
      </c>
    </row>
    <row r="12" spans="1:11" x14ac:dyDescent="0.25">
      <c r="A12" s="205" t="s">
        <v>63</v>
      </c>
      <c r="B12" s="204"/>
      <c r="C12" s="203"/>
      <c r="D12" s="50" t="s">
        <v>64</v>
      </c>
      <c r="E12" s="55"/>
      <c r="F12" s="54"/>
      <c r="H12" s="50" t="s">
        <v>77</v>
      </c>
      <c r="I12" s="54">
        <v>11</v>
      </c>
    </row>
    <row r="13" spans="1:11" x14ac:dyDescent="0.25">
      <c r="A13" s="205" t="s">
        <v>65</v>
      </c>
      <c r="B13" s="204"/>
      <c r="C13" s="203"/>
      <c r="D13" s="50" t="s">
        <v>66</v>
      </c>
      <c r="E13" s="55"/>
      <c r="F13" s="54"/>
      <c r="H13" s="50" t="s">
        <v>4</v>
      </c>
      <c r="I13" s="54"/>
    </row>
    <row r="14" spans="1:11" x14ac:dyDescent="0.25">
      <c r="A14" s="205"/>
      <c r="B14" s="204"/>
      <c r="C14" s="203"/>
      <c r="D14" s="50" t="s">
        <v>67</v>
      </c>
      <c r="E14" s="55"/>
      <c r="F14" s="54"/>
      <c r="H14" s="50" t="s">
        <v>153</v>
      </c>
      <c r="I14" s="54"/>
    </row>
    <row r="15" spans="1:11" x14ac:dyDescent="0.25">
      <c r="A15" s="50"/>
      <c r="B15" s="204"/>
      <c r="C15" s="203"/>
      <c r="D15" s="50"/>
      <c r="E15" s="55"/>
      <c r="F15" s="54"/>
      <c r="H15" s="50" t="s">
        <v>152</v>
      </c>
      <c r="I15" s="54"/>
    </row>
    <row r="16" spans="1:11" ht="15.75" thickBot="1" x14ac:dyDescent="0.3">
      <c r="A16" s="49"/>
      <c r="B16" s="202"/>
      <c r="C16" s="201"/>
      <c r="D16" s="49"/>
      <c r="E16" s="53"/>
      <c r="F16" s="200"/>
      <c r="H16" s="193" t="s">
        <v>158</v>
      </c>
      <c r="I16" s="54"/>
      <c r="K16" s="48" t="s">
        <v>157</v>
      </c>
    </row>
    <row r="17" spans="1:15" ht="15.75" thickBot="1" x14ac:dyDescent="0.3">
      <c r="A17" s="199" t="s">
        <v>68</v>
      </c>
      <c r="B17" s="408"/>
      <c r="C17" s="409"/>
      <c r="D17" s="198" t="s">
        <v>69</v>
      </c>
      <c r="E17" s="408"/>
      <c r="F17" s="416"/>
      <c r="H17" s="193" t="s">
        <v>75</v>
      </c>
      <c r="I17" s="197" t="e">
        <f>+D37</f>
        <v>#REF!</v>
      </c>
    </row>
    <row r="18" spans="1:15" ht="20.25" customHeight="1" thickBot="1" x14ac:dyDescent="0.3">
      <c r="A18" s="196" t="s">
        <v>70</v>
      </c>
      <c r="B18" s="195"/>
      <c r="C18" s="195"/>
      <c r="D18" s="195"/>
      <c r="E18" s="195"/>
      <c r="F18" s="194"/>
      <c r="H18" s="193" t="s">
        <v>76</v>
      </c>
      <c r="I18" s="192">
        <v>0</v>
      </c>
    </row>
    <row r="19" spans="1:15" ht="24" customHeight="1" thickBot="1" x14ac:dyDescent="0.3">
      <c r="A19" s="191" t="s">
        <v>70</v>
      </c>
      <c r="B19" s="190" t="s">
        <v>71</v>
      </c>
      <c r="C19" s="190" t="s">
        <v>72</v>
      </c>
      <c r="D19" s="189" t="s">
        <v>73</v>
      </c>
      <c r="E19" s="188"/>
      <c r="F19" s="188"/>
      <c r="H19" s="50" t="s">
        <v>156</v>
      </c>
      <c r="I19" s="54">
        <v>0.31950000000000001</v>
      </c>
      <c r="K19" s="48" t="s">
        <v>143</v>
      </c>
    </row>
    <row r="20" spans="1:15" s="170" customFormat="1" x14ac:dyDescent="0.2">
      <c r="A20" s="52" t="s">
        <v>0</v>
      </c>
      <c r="B20" s="187"/>
      <c r="C20" s="186"/>
      <c r="D20" s="179">
        <f>I3</f>
        <v>1950</v>
      </c>
      <c r="E20" s="185"/>
      <c r="F20" s="184"/>
      <c r="G20" s="48"/>
      <c r="H20" s="183" t="s">
        <v>18</v>
      </c>
      <c r="I20" s="182">
        <v>6.2E-2</v>
      </c>
      <c r="J20" s="48"/>
      <c r="K20" s="48"/>
      <c r="L20" s="48"/>
      <c r="M20" s="48"/>
      <c r="N20" s="48"/>
      <c r="O20" s="48"/>
    </row>
    <row r="21" spans="1:15" s="170" customFormat="1" x14ac:dyDescent="0.25">
      <c r="A21" s="177" t="s">
        <v>188</v>
      </c>
      <c r="B21" s="176"/>
      <c r="C21" s="175"/>
      <c r="D21" s="174">
        <v>130</v>
      </c>
      <c r="E21" s="173"/>
      <c r="F21" s="172"/>
      <c r="H21" s="50" t="s">
        <v>16</v>
      </c>
      <c r="I21" s="178"/>
      <c r="J21" s="48"/>
      <c r="K21" s="48"/>
      <c r="L21" s="48"/>
      <c r="M21" s="48"/>
      <c r="N21" s="48"/>
      <c r="O21" s="48"/>
    </row>
    <row r="22" spans="1:15" s="170" customFormat="1" x14ac:dyDescent="0.25">
      <c r="A22" s="177" t="s">
        <v>3</v>
      </c>
      <c r="B22" s="181"/>
      <c r="C22" s="180">
        <f>D20/105</f>
        <v>18.571428571428573</v>
      </c>
      <c r="D22" s="179">
        <f>-C22*B22</f>
        <v>0</v>
      </c>
      <c r="E22" s="173"/>
      <c r="F22" s="172"/>
      <c r="H22" s="50" t="s">
        <v>17</v>
      </c>
      <c r="I22" s="178"/>
      <c r="J22" s="48"/>
      <c r="K22" s="48"/>
      <c r="L22" s="48"/>
      <c r="M22" s="48"/>
      <c r="N22" s="48"/>
      <c r="O22" s="48"/>
    </row>
    <row r="23" spans="1:15" s="170" customFormat="1" x14ac:dyDescent="0.25">
      <c r="A23" s="177" t="s">
        <v>187</v>
      </c>
      <c r="B23" s="176">
        <v>3</v>
      </c>
      <c r="C23" s="175">
        <f>D20/151.67*0.15</f>
        <v>1.9285290433177296</v>
      </c>
      <c r="D23" s="174">
        <f>C23*B23</f>
        <v>5.7855871299531891</v>
      </c>
      <c r="E23" s="173"/>
      <c r="F23" s="172"/>
      <c r="H23" s="50" t="s">
        <v>155</v>
      </c>
      <c r="I23" s="171"/>
      <c r="J23" s="48"/>
      <c r="K23" s="48"/>
      <c r="L23" s="48"/>
      <c r="M23" s="48"/>
      <c r="N23" s="48"/>
      <c r="O23" s="48"/>
    </row>
    <row r="24" spans="1:15" ht="15.75" thickBot="1" x14ac:dyDescent="0.3">
      <c r="A24" s="50" t="s">
        <v>77</v>
      </c>
      <c r="B24" s="55">
        <v>11</v>
      </c>
      <c r="C24" s="163">
        <f>(D20+D21+D23)/151.67*1.25</f>
        <v>17.190162747494174</v>
      </c>
      <c r="D24" s="163">
        <f>C24*B24</f>
        <v>189.09179022243592</v>
      </c>
      <c r="E24" s="166"/>
      <c r="F24" s="169"/>
      <c r="H24" s="49" t="s">
        <v>154</v>
      </c>
      <c r="I24" s="168"/>
    </row>
    <row r="25" spans="1:15" x14ac:dyDescent="0.25">
      <c r="A25" s="50" t="s">
        <v>4</v>
      </c>
      <c r="B25" s="55"/>
      <c r="C25" s="163">
        <f>IF($I$4&gt;=151.67,$I$3/151.67*1.5,0)</f>
        <v>19.285290433177295</v>
      </c>
      <c r="D25" s="163">
        <f>C25*B25</f>
        <v>0</v>
      </c>
      <c r="E25" s="166"/>
      <c r="F25" s="165"/>
    </row>
    <row r="26" spans="1:15" x14ac:dyDescent="0.25">
      <c r="A26" s="50" t="s">
        <v>153</v>
      </c>
      <c r="B26" s="55">
        <f>I14</f>
        <v>0</v>
      </c>
      <c r="C26" s="163">
        <f>C20*1.1</f>
        <v>0</v>
      </c>
      <c r="D26" s="163">
        <f>C26*B26</f>
        <v>0</v>
      </c>
      <c r="E26" s="166"/>
      <c r="F26" s="165"/>
    </row>
    <row r="27" spans="1:15" x14ac:dyDescent="0.25">
      <c r="A27" s="50" t="s">
        <v>152</v>
      </c>
      <c r="B27" s="55">
        <f>I15</f>
        <v>0</v>
      </c>
      <c r="C27" s="163">
        <f>IF($I$4&lt;151.67,$D$20/151.67*1.1,0)</f>
        <v>0</v>
      </c>
      <c r="D27" s="163">
        <f>C27*B27</f>
        <v>0</v>
      </c>
      <c r="E27" s="166"/>
      <c r="F27" s="165"/>
    </row>
    <row r="28" spans="1:15" x14ac:dyDescent="0.25">
      <c r="A28" s="50" t="s">
        <v>81</v>
      </c>
      <c r="B28" s="167"/>
      <c r="C28" s="160"/>
      <c r="D28" s="159">
        <f>B28*C28</f>
        <v>0</v>
      </c>
      <c r="E28" s="166"/>
      <c r="F28" s="165"/>
    </row>
    <row r="29" spans="1:15" ht="27" x14ac:dyDescent="0.25">
      <c r="A29" s="50" t="s">
        <v>142</v>
      </c>
      <c r="B29" s="164"/>
      <c r="C29" s="55"/>
      <c r="D29" s="163" t="e">
        <f>-#REF!</f>
        <v>#REF!</v>
      </c>
      <c r="E29" s="158"/>
      <c r="F29" s="157"/>
      <c r="H29" s="162"/>
    </row>
    <row r="30" spans="1:15" x14ac:dyDescent="0.25">
      <c r="A30" s="50" t="s">
        <v>151</v>
      </c>
      <c r="B30" s="161"/>
      <c r="C30" s="160"/>
      <c r="D30" s="159" t="e">
        <f>#REF!</f>
        <v>#REF!</v>
      </c>
      <c r="E30" s="158"/>
      <c r="F30" s="157"/>
    </row>
    <row r="31" spans="1:15" x14ac:dyDescent="0.25">
      <c r="A31" s="50"/>
      <c r="B31" s="156"/>
      <c r="C31" s="57"/>
      <c r="D31" s="155"/>
      <c r="E31" s="154"/>
      <c r="F31" s="153"/>
    </row>
    <row r="32" spans="1:15" ht="15.75" thickBot="1" x14ac:dyDescent="0.3">
      <c r="A32" s="48" t="s">
        <v>78</v>
      </c>
      <c r="B32" s="152"/>
      <c r="C32" s="151"/>
      <c r="D32" s="150"/>
      <c r="E32" s="149"/>
      <c r="F32" s="148"/>
    </row>
    <row r="33" spans="1:6" x14ac:dyDescent="0.25">
      <c r="A33" s="146" t="s">
        <v>79</v>
      </c>
      <c r="B33" s="126"/>
      <c r="C33" s="147"/>
      <c r="D33" s="66"/>
      <c r="E33" s="138"/>
      <c r="F33" s="137"/>
    </row>
    <row r="34" spans="1:6" x14ac:dyDescent="0.25">
      <c r="A34" s="48" t="s">
        <v>80</v>
      </c>
      <c r="B34" s="126"/>
      <c r="C34" s="147"/>
      <c r="D34" s="66"/>
      <c r="E34" s="138"/>
      <c r="F34" s="137"/>
    </row>
    <row r="35" spans="1:6" x14ac:dyDescent="0.25">
      <c r="A35" s="146" t="s">
        <v>150</v>
      </c>
      <c r="B35" s="126"/>
      <c r="C35" s="145"/>
      <c r="D35" s="66"/>
      <c r="E35" s="138"/>
      <c r="F35" s="137"/>
    </row>
    <row r="36" spans="1:6" ht="15.75" thickBot="1" x14ac:dyDescent="0.3">
      <c r="A36" s="144" t="s">
        <v>1</v>
      </c>
      <c r="B36" s="126"/>
      <c r="C36" s="143"/>
      <c r="D36" s="142">
        <f>B36*C36</f>
        <v>0</v>
      </c>
      <c r="E36" s="138"/>
      <c r="F36" s="137"/>
    </row>
    <row r="37" spans="1:6" ht="16.5" thickTop="1" thickBot="1" x14ac:dyDescent="0.3">
      <c r="A37" s="141" t="s">
        <v>5</v>
      </c>
      <c r="B37" s="59"/>
      <c r="C37" s="140"/>
      <c r="D37" s="139" t="e">
        <f>SUM(D20:D36)</f>
        <v>#REF!</v>
      </c>
      <c r="E37" s="138"/>
      <c r="F37" s="137"/>
    </row>
    <row r="38" spans="1:6" x14ac:dyDescent="0.25">
      <c r="A38" s="136"/>
      <c r="B38" s="135"/>
      <c r="C38" s="134"/>
      <c r="D38" s="133"/>
      <c r="E38" s="132"/>
      <c r="F38" s="131"/>
    </row>
    <row r="39" spans="1:6" x14ac:dyDescent="0.25">
      <c r="A39" s="130" t="s">
        <v>82</v>
      </c>
      <c r="B39" s="129" t="s">
        <v>15</v>
      </c>
      <c r="C39" s="129" t="s">
        <v>201</v>
      </c>
      <c r="D39" s="129" t="s">
        <v>202</v>
      </c>
      <c r="E39" s="129" t="s">
        <v>2</v>
      </c>
      <c r="F39" s="128" t="s">
        <v>190</v>
      </c>
    </row>
    <row r="40" spans="1:6" x14ac:dyDescent="0.25">
      <c r="A40" s="248" t="s">
        <v>6</v>
      </c>
      <c r="B40" s="249"/>
      <c r="C40" s="250"/>
      <c r="D40" s="250"/>
      <c r="E40" s="251"/>
      <c r="F40" s="252"/>
    </row>
    <row r="41" spans="1:6" x14ac:dyDescent="0.25">
      <c r="A41" s="253" t="s">
        <v>83</v>
      </c>
      <c r="B41" s="254" t="e">
        <f>$D$37</f>
        <v>#REF!</v>
      </c>
      <c r="C41" s="255"/>
      <c r="D41" s="256"/>
      <c r="E41" s="257" t="e">
        <f>IF(D37&lt;=2.5*I9*151.6667,7%,13%)</f>
        <v>#REF!</v>
      </c>
      <c r="F41" s="258" t="e">
        <f>E41*B41</f>
        <v>#REF!</v>
      </c>
    </row>
    <row r="42" spans="1:6" x14ac:dyDescent="0.25">
      <c r="A42" s="259" t="s">
        <v>199</v>
      </c>
      <c r="B42" s="259"/>
      <c r="C42" s="259"/>
      <c r="D42" s="259"/>
      <c r="E42" s="259"/>
      <c r="F42" s="258"/>
    </row>
    <row r="43" spans="1:6" x14ac:dyDescent="0.25">
      <c r="A43" s="253" t="s">
        <v>84</v>
      </c>
      <c r="B43" s="254" t="e">
        <f>+I17</f>
        <v>#REF!</v>
      </c>
      <c r="C43" s="260"/>
      <c r="D43" s="261"/>
      <c r="E43" s="262">
        <f>I24</f>
        <v>0</v>
      </c>
      <c r="F43" s="258" t="e">
        <f>E43*B43</f>
        <v>#REF!</v>
      </c>
    </row>
    <row r="44" spans="1:6" x14ac:dyDescent="0.25">
      <c r="A44" s="253" t="s">
        <v>85</v>
      </c>
      <c r="B44" s="254">
        <f>$I$18</f>
        <v>0</v>
      </c>
      <c r="C44" s="260"/>
      <c r="D44" s="261"/>
      <c r="E44" s="262"/>
      <c r="F44" s="258">
        <f>E44*B44</f>
        <v>0</v>
      </c>
    </row>
    <row r="45" spans="1:6" x14ac:dyDescent="0.25">
      <c r="A45" s="248" t="s">
        <v>7</v>
      </c>
      <c r="B45" s="254" t="e">
        <f>D37</f>
        <v>#REF!</v>
      </c>
      <c r="C45" s="259"/>
      <c r="D45" s="254"/>
      <c r="E45" s="263">
        <f>I7</f>
        <v>4.7199999999999999E-2</v>
      </c>
      <c r="F45" s="258" t="e">
        <f>E45*B45</f>
        <v>#REF!</v>
      </c>
    </row>
    <row r="46" spans="1:6" x14ac:dyDescent="0.25">
      <c r="A46" s="248" t="s">
        <v>8</v>
      </c>
      <c r="B46" s="249"/>
      <c r="C46" s="250"/>
      <c r="D46" s="250"/>
      <c r="E46" s="251"/>
      <c r="F46" s="252"/>
    </row>
    <row r="47" spans="1:6" x14ac:dyDescent="0.25">
      <c r="A47" s="253" t="s">
        <v>20</v>
      </c>
      <c r="B47" s="254" t="e">
        <f>+I17</f>
        <v>#REF!</v>
      </c>
      <c r="C47" s="260">
        <v>6.9000000000000006E-2</v>
      </c>
      <c r="D47" s="261" t="e">
        <f>C47*B47</f>
        <v>#REF!</v>
      </c>
      <c r="E47" s="262">
        <v>8.5500000000000007E-2</v>
      </c>
      <c r="F47" s="258" t="e">
        <f>E47*B47</f>
        <v>#REF!</v>
      </c>
    </row>
    <row r="48" spans="1:6" x14ac:dyDescent="0.25">
      <c r="A48" s="253" t="s">
        <v>22</v>
      </c>
      <c r="B48" s="254" t="e">
        <f>$D$37</f>
        <v>#REF!</v>
      </c>
      <c r="C48" s="260">
        <v>4.0000000000000001E-3</v>
      </c>
      <c r="D48" s="261" t="e">
        <f>C48*B48</f>
        <v>#REF!</v>
      </c>
      <c r="E48" s="262">
        <v>1.9E-2</v>
      </c>
      <c r="F48" s="258" t="e">
        <f>E48*B48</f>
        <v>#REF!</v>
      </c>
    </row>
    <row r="49" spans="1:6" x14ac:dyDescent="0.25">
      <c r="A49" s="253" t="s">
        <v>23</v>
      </c>
      <c r="B49" s="254" t="e">
        <f>+I17</f>
        <v>#REF!</v>
      </c>
      <c r="C49" s="260">
        <v>4.0099999999999997E-2</v>
      </c>
      <c r="D49" s="261" t="e">
        <f>C49*B49</f>
        <v>#REF!</v>
      </c>
      <c r="E49" s="262">
        <v>6.0100000000000001E-2</v>
      </c>
      <c r="F49" s="258" t="e">
        <f>E49*B49</f>
        <v>#REF!</v>
      </c>
    </row>
    <row r="50" spans="1:6" x14ac:dyDescent="0.25">
      <c r="A50" s="253" t="s">
        <v>149</v>
      </c>
      <c r="B50" s="254" t="e">
        <f>IF(D37&lt;3428,0,D37-3428)</f>
        <v>#REF!</v>
      </c>
      <c r="C50" s="260">
        <v>9.7199999999999995E-2</v>
      </c>
      <c r="D50" s="261" t="e">
        <f>C50*B50</f>
        <v>#REF!</v>
      </c>
      <c r="E50" s="262">
        <v>0.1457</v>
      </c>
      <c r="F50" s="258" t="e">
        <f>E50*B50</f>
        <v>#REF!</v>
      </c>
    </row>
    <row r="51" spans="1:6" x14ac:dyDescent="0.25">
      <c r="A51" s="253" t="s">
        <v>86</v>
      </c>
      <c r="B51" s="254" t="e">
        <f>IF(D37&gt;3428,D37,0)</f>
        <v>#REF!</v>
      </c>
      <c r="C51" s="260">
        <v>1.4E-3</v>
      </c>
      <c r="D51" s="261" t="e">
        <f>C51*B51</f>
        <v>#REF!</v>
      </c>
      <c r="E51" s="262">
        <v>2.0999999999999999E-3</v>
      </c>
      <c r="F51" s="258" t="e">
        <f>E51*B51</f>
        <v>#REF!</v>
      </c>
    </row>
    <row r="52" spans="1:6" x14ac:dyDescent="0.25">
      <c r="A52" s="253" t="s">
        <v>87</v>
      </c>
      <c r="B52" s="254"/>
      <c r="C52" s="260"/>
      <c r="D52" s="261"/>
      <c r="E52" s="262"/>
      <c r="F52" s="258"/>
    </row>
    <row r="53" spans="1:6" x14ac:dyDescent="0.25">
      <c r="A53" s="248" t="s">
        <v>88</v>
      </c>
      <c r="B53" s="254" t="e">
        <f>$D$37</f>
        <v>#REF!</v>
      </c>
      <c r="C53" s="264"/>
      <c r="D53" s="254"/>
      <c r="E53" s="257" t="e">
        <f>IF(D37&lt;=3.5*I9*151.6667,3.45%,5.25%)</f>
        <v>#REF!</v>
      </c>
      <c r="F53" s="258" t="e">
        <f>E53*B53</f>
        <v>#REF!</v>
      </c>
    </row>
    <row r="54" spans="1:6" x14ac:dyDescent="0.25">
      <c r="A54" s="248" t="s">
        <v>21</v>
      </c>
      <c r="B54" s="254" t="e">
        <f>$D$37</f>
        <v>#REF!</v>
      </c>
      <c r="C54" s="264"/>
      <c r="D54" s="254"/>
      <c r="E54" s="265">
        <v>4.2000000000000003E-2</v>
      </c>
      <c r="F54" s="258" t="e">
        <f>E54*B54</f>
        <v>#REF!</v>
      </c>
    </row>
    <row r="55" spans="1:6" x14ac:dyDescent="0.25">
      <c r="A55" s="253" t="s">
        <v>89</v>
      </c>
      <c r="B55" s="254">
        <f>IF(I16="cadre",D37,0)</f>
        <v>0</v>
      </c>
      <c r="C55" s="266">
        <v>2.4000000000000001E-4</v>
      </c>
      <c r="D55" s="254">
        <f>C55*B55</f>
        <v>0</v>
      </c>
      <c r="E55" s="265">
        <v>3.6000000000000002E-4</v>
      </c>
      <c r="F55" s="258">
        <f>B55*E55</f>
        <v>0</v>
      </c>
    </row>
    <row r="56" spans="1:6" x14ac:dyDescent="0.25">
      <c r="A56" s="248" t="s">
        <v>19</v>
      </c>
      <c r="B56" s="254"/>
      <c r="C56" s="264"/>
      <c r="D56" s="254"/>
      <c r="E56" s="265"/>
      <c r="F56" s="267" t="e">
        <f>#REF!</f>
        <v>#REF!</v>
      </c>
    </row>
    <row r="57" spans="1:6" x14ac:dyDescent="0.25">
      <c r="A57" s="248"/>
      <c r="B57" s="254"/>
      <c r="C57" s="254"/>
      <c r="D57" s="254"/>
      <c r="E57" s="254"/>
      <c r="F57" s="267"/>
    </row>
    <row r="58" spans="1:6" x14ac:dyDescent="0.25">
      <c r="A58" s="268" t="s">
        <v>148</v>
      </c>
      <c r="B58" s="254"/>
      <c r="C58" s="254"/>
      <c r="D58" s="254"/>
      <c r="E58" s="254"/>
      <c r="F58" s="267"/>
    </row>
    <row r="59" spans="1:6" ht="18" customHeight="1" x14ac:dyDescent="0.25">
      <c r="A59" s="253"/>
      <c r="B59" s="254"/>
      <c r="C59" s="266"/>
      <c r="D59" s="254"/>
      <c r="E59" s="263"/>
      <c r="F59" s="258"/>
    </row>
    <row r="60" spans="1:6" ht="18" customHeight="1" x14ac:dyDescent="0.25">
      <c r="A60" s="248" t="s">
        <v>90</v>
      </c>
      <c r="B60" s="254" t="e">
        <f>(D37-D24-D25-D26-D27)*0.9825+F43+F44+#REF!</f>
        <v>#REF!</v>
      </c>
      <c r="C60" s="260">
        <v>6.8000000000000005E-2</v>
      </c>
      <c r="D60" s="261" t="e">
        <f>C60*B60</f>
        <v>#REF!</v>
      </c>
      <c r="E60" s="262"/>
      <c r="F60" s="258"/>
    </row>
    <row r="61" spans="1:6" ht="18" customHeight="1" x14ac:dyDescent="0.25">
      <c r="A61" s="81" t="s">
        <v>91</v>
      </c>
      <c r="B61" s="126" t="e">
        <f>B60</f>
        <v>#REF!</v>
      </c>
      <c r="C61" s="124">
        <v>2.9000000000000001E-2</v>
      </c>
      <c r="D61" s="118" t="e">
        <f>C61*B61</f>
        <v>#REF!</v>
      </c>
      <c r="E61" s="123"/>
      <c r="F61" s="121"/>
    </row>
    <row r="62" spans="1:6" ht="18" customHeight="1" x14ac:dyDescent="0.25">
      <c r="A62" s="125" t="s">
        <v>92</v>
      </c>
      <c r="B62" s="126">
        <f>(D24+D25+D26+D27)*0.9825</f>
        <v>185.78268389354329</v>
      </c>
      <c r="C62" s="124">
        <v>9.7000000000000003E-2</v>
      </c>
      <c r="D62" s="118">
        <f>C62*B62</f>
        <v>18.020920337673701</v>
      </c>
      <c r="E62" s="123"/>
      <c r="F62" s="121"/>
    </row>
    <row r="63" spans="1:6" ht="18" customHeight="1" x14ac:dyDescent="0.25">
      <c r="A63" s="246" t="s">
        <v>200</v>
      </c>
      <c r="B63" s="247"/>
      <c r="C63" s="247"/>
      <c r="D63" s="247"/>
      <c r="E63" s="247"/>
      <c r="F63" s="247"/>
    </row>
    <row r="64" spans="1:6" ht="18" customHeight="1" x14ac:dyDescent="0.25">
      <c r="A64" s="81" t="s">
        <v>9</v>
      </c>
      <c r="B64" s="118"/>
      <c r="C64" s="117"/>
      <c r="D64" s="116" t="e">
        <f>SUM(D41:D63)</f>
        <v>#REF!</v>
      </c>
      <c r="E64" s="115"/>
      <c r="F64" s="116" t="e">
        <f>SUM(F41:F63)</f>
        <v>#REF!</v>
      </c>
    </row>
    <row r="65" spans="1:6" x14ac:dyDescent="0.25">
      <c r="A65" s="103" t="s">
        <v>93</v>
      </c>
      <c r="B65" s="118"/>
      <c r="C65" s="117"/>
      <c r="D65" s="116"/>
      <c r="E65" s="115"/>
      <c r="F65" s="120"/>
    </row>
    <row r="66" spans="1:6" x14ac:dyDescent="0.25">
      <c r="A66" s="103" t="s">
        <v>74</v>
      </c>
      <c r="B66" s="118"/>
      <c r="C66" s="117"/>
      <c r="D66" s="116"/>
      <c r="E66" s="115"/>
      <c r="F66" s="120"/>
    </row>
    <row r="67" spans="1:6" x14ac:dyDescent="0.25">
      <c r="A67" s="103" t="s">
        <v>94</v>
      </c>
      <c r="B67" s="118"/>
      <c r="C67" s="117"/>
      <c r="D67" s="116"/>
      <c r="E67" s="115"/>
      <c r="F67" s="120"/>
    </row>
    <row r="68" spans="1:6" ht="15.75" customHeight="1" x14ac:dyDescent="0.25">
      <c r="A68" s="103" t="s">
        <v>95</v>
      </c>
      <c r="B68" s="118"/>
      <c r="C68" s="117"/>
      <c r="D68" s="116"/>
      <c r="E68" s="115"/>
      <c r="F68" s="120"/>
    </row>
    <row r="69" spans="1:6" x14ac:dyDescent="0.25">
      <c r="A69" s="103"/>
      <c r="B69" s="118"/>
      <c r="C69" s="117"/>
      <c r="D69" s="116"/>
      <c r="E69" s="115"/>
      <c r="F69" s="120"/>
    </row>
    <row r="70" spans="1:6" x14ac:dyDescent="0.25">
      <c r="A70" s="103"/>
      <c r="B70" s="118"/>
      <c r="C70" s="117"/>
      <c r="D70" s="116"/>
      <c r="E70" s="115"/>
      <c r="F70" s="120"/>
    </row>
    <row r="71" spans="1:6" ht="15.75" thickBot="1" x14ac:dyDescent="0.3">
      <c r="A71" s="81"/>
      <c r="B71" s="118"/>
      <c r="C71" s="117"/>
      <c r="D71" s="116"/>
      <c r="E71" s="115"/>
      <c r="F71" s="119"/>
    </row>
    <row r="72" spans="1:6" ht="15.75" thickBot="1" x14ac:dyDescent="0.3">
      <c r="A72" s="104" t="s">
        <v>10</v>
      </c>
      <c r="B72" s="118"/>
      <c r="C72" s="117"/>
      <c r="D72" s="116"/>
      <c r="E72" s="115"/>
      <c r="F72" s="114" t="e">
        <f>D37-D64+D65+D66-D67-D68+D69+D70+D71</f>
        <v>#REF!</v>
      </c>
    </row>
    <row r="73" spans="1:6" x14ac:dyDescent="0.25">
      <c r="A73" s="81" t="s">
        <v>11</v>
      </c>
      <c r="B73" s="113"/>
      <c r="C73" s="112"/>
      <c r="D73" s="111"/>
      <c r="E73" s="110"/>
      <c r="F73" s="109" t="e">
        <f>#REF!</f>
        <v>#REF!</v>
      </c>
    </row>
    <row r="74" spans="1:6" x14ac:dyDescent="0.25">
      <c r="A74" s="417" t="s">
        <v>12</v>
      </c>
      <c r="B74" s="419" t="s">
        <v>13</v>
      </c>
      <c r="C74" s="108" t="s">
        <v>2</v>
      </c>
      <c r="D74" s="421"/>
      <c r="E74" s="107"/>
      <c r="F74" s="423" t="s">
        <v>96</v>
      </c>
    </row>
    <row r="75" spans="1:6" x14ac:dyDescent="0.25">
      <c r="A75" s="418"/>
      <c r="B75" s="420"/>
      <c r="C75" s="106" t="s">
        <v>14</v>
      </c>
      <c r="D75" s="422"/>
      <c r="E75" s="105"/>
      <c r="F75" s="424"/>
    </row>
    <row r="76" spans="1:6" ht="15.75" thickBot="1" x14ac:dyDescent="0.3"/>
    <row r="77" spans="1:6" s="156" customFormat="1" x14ac:dyDescent="0.25">
      <c r="A77" s="228"/>
      <c r="B77" s="229"/>
      <c r="C77" s="229"/>
      <c r="D77" s="61" t="s">
        <v>189</v>
      </c>
      <c r="F77" s="60" t="s">
        <v>190</v>
      </c>
    </row>
    <row r="78" spans="1:6" s="156" customFormat="1" x14ac:dyDescent="0.25">
      <c r="B78" s="117"/>
      <c r="C78" s="230"/>
      <c r="D78" s="231"/>
      <c r="F78" s="232"/>
    </row>
    <row r="79" spans="1:6" s="156" customFormat="1" x14ac:dyDescent="0.25">
      <c r="A79" s="233" t="s">
        <v>191</v>
      </c>
      <c r="B79" s="234"/>
      <c r="C79" s="234"/>
      <c r="D79" s="231"/>
      <c r="F79" s="232"/>
    </row>
    <row r="80" spans="1:6" s="156" customFormat="1" x14ac:dyDescent="0.25">
      <c r="A80" s="233"/>
      <c r="B80" s="234"/>
      <c r="C80" s="234"/>
      <c r="D80" s="234"/>
      <c r="F80" s="235"/>
    </row>
    <row r="81" spans="1:6" s="156" customFormat="1" x14ac:dyDescent="0.25">
      <c r="A81" s="104" t="s">
        <v>10</v>
      </c>
      <c r="B81" s="117"/>
      <c r="C81" s="230"/>
      <c r="D81" s="230"/>
      <c r="F81" s="236"/>
    </row>
    <row r="82" spans="1:6" s="156" customFormat="1" x14ac:dyDescent="0.25">
      <c r="A82" s="81" t="s">
        <v>11</v>
      </c>
      <c r="B82" s="117"/>
      <c r="C82" s="230"/>
      <c r="D82" s="230"/>
      <c r="F82" s="236"/>
    </row>
    <row r="83" spans="1:6" s="156" customFormat="1" x14ac:dyDescent="0.25">
      <c r="A83" s="414" t="s">
        <v>12</v>
      </c>
      <c r="B83" s="244" t="s">
        <v>13</v>
      </c>
      <c r="C83" s="244" t="s">
        <v>2</v>
      </c>
      <c r="D83" s="245" t="s">
        <v>96</v>
      </c>
      <c r="F83" s="415" t="s">
        <v>192</v>
      </c>
    </row>
    <row r="84" spans="1:6" s="156" customFormat="1" x14ac:dyDescent="0.25">
      <c r="A84" s="414"/>
      <c r="B84" s="244"/>
      <c r="C84" s="244"/>
      <c r="D84" s="245"/>
      <c r="F84" s="415"/>
    </row>
    <row r="85" spans="1:6" s="156" customFormat="1" x14ac:dyDescent="0.25">
      <c r="A85" s="103" t="s">
        <v>193</v>
      </c>
      <c r="B85" s="127"/>
      <c r="C85" s="117"/>
      <c r="D85" s="112"/>
      <c r="F85" s="237"/>
    </row>
    <row r="86" spans="1:6" s="156" customFormat="1" x14ac:dyDescent="0.25">
      <c r="A86" s="103" t="s">
        <v>194</v>
      </c>
      <c r="B86" s="238"/>
      <c r="C86" s="112"/>
      <c r="D86" s="112"/>
      <c r="F86" s="237"/>
    </row>
    <row r="87" spans="1:6" s="156" customFormat="1" x14ac:dyDescent="0.25">
      <c r="A87" s="103" t="s">
        <v>195</v>
      </c>
      <c r="B87" s="127"/>
      <c r="C87" s="117"/>
      <c r="D87" s="112"/>
      <c r="F87" s="237"/>
    </row>
    <row r="88" spans="1:6" s="156" customFormat="1" x14ac:dyDescent="0.25">
      <c r="A88" s="103"/>
      <c r="B88" s="127"/>
      <c r="C88" s="117"/>
      <c r="D88" s="117"/>
      <c r="F88" s="239"/>
    </row>
    <row r="89" spans="1:6" s="156" customFormat="1" x14ac:dyDescent="0.25">
      <c r="A89" s="104" t="s">
        <v>196</v>
      </c>
      <c r="B89" s="117"/>
      <c r="C89" s="117"/>
      <c r="D89" s="117"/>
      <c r="F89" s="237"/>
    </row>
    <row r="90" spans="1:6" s="156" customFormat="1" x14ac:dyDescent="0.25">
      <c r="A90" s="103" t="s">
        <v>197</v>
      </c>
      <c r="B90" s="117"/>
      <c r="C90" s="117"/>
      <c r="D90" s="117"/>
      <c r="F90" s="237"/>
    </row>
    <row r="91" spans="1:6" s="156" customFormat="1" x14ac:dyDescent="0.25">
      <c r="A91" s="103" t="s">
        <v>198</v>
      </c>
      <c r="B91" s="240"/>
      <c r="C91" s="117"/>
      <c r="D91" s="117"/>
      <c r="F91" s="237"/>
    </row>
    <row r="92" spans="1:6" s="156" customFormat="1" x14ac:dyDescent="0.25">
      <c r="A92" s="103" t="s">
        <v>97</v>
      </c>
      <c r="B92" s="241"/>
      <c r="C92" s="117"/>
      <c r="D92" s="117"/>
      <c r="F92" s="237"/>
    </row>
    <row r="93" spans="1:6" s="156" customFormat="1" x14ac:dyDescent="0.25">
      <c r="A93" s="103" t="s">
        <v>98</v>
      </c>
      <c r="B93" s="241"/>
      <c r="C93" s="117"/>
      <c r="D93" s="117"/>
      <c r="F93" s="237"/>
    </row>
    <row r="94" spans="1:6" s="156" customFormat="1" ht="15.75" thickBot="1" x14ac:dyDescent="0.3">
      <c r="A94" s="242" t="s">
        <v>99</v>
      </c>
      <c r="B94" s="102"/>
      <c r="C94" s="102"/>
      <c r="D94" s="102"/>
      <c r="F94" s="243"/>
    </row>
  </sheetData>
  <mergeCells count="8">
    <mergeCell ref="A83:A84"/>
    <mergeCell ref="F83:F84"/>
    <mergeCell ref="B17:C17"/>
    <mergeCell ref="E17:F17"/>
    <mergeCell ref="A74:A75"/>
    <mergeCell ref="B74:B75"/>
    <mergeCell ref="D74:D75"/>
    <mergeCell ref="F74:F7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AFEA-7125-40D3-BE73-40522BA3686E}">
  <sheetPr>
    <tabColor rgb="FFFF0000"/>
  </sheetPr>
  <dimension ref="A6:M34"/>
  <sheetViews>
    <sheetView topLeftCell="A22" zoomScaleNormal="100" workbookViewId="0">
      <selection activeCell="F33" sqref="F33"/>
    </sheetView>
  </sheetViews>
  <sheetFormatPr baseColWidth="10" defaultRowHeight="15" x14ac:dyDescent="0.25"/>
  <cols>
    <col min="1" max="1" width="21.42578125" style="1" customWidth="1"/>
    <col min="2" max="2" width="13" style="1" bestFit="1" customWidth="1"/>
    <col min="3" max="3" width="12.7109375" style="1" bestFit="1" customWidth="1"/>
    <col min="4" max="5" width="16.85546875" style="1" bestFit="1" customWidth="1"/>
    <col min="6" max="6" width="12.42578125" style="1" bestFit="1" customWidth="1"/>
    <col min="7" max="7" width="12.85546875" style="1" customWidth="1"/>
    <col min="8" max="8" width="13" style="1" bestFit="1" customWidth="1"/>
    <col min="9" max="9" width="13.7109375" style="1" customWidth="1"/>
    <col min="10" max="10" width="14.42578125" style="1" customWidth="1"/>
    <col min="11" max="11" width="11.85546875" style="1" bestFit="1" customWidth="1"/>
    <col min="12" max="12" width="20.140625" style="1" bestFit="1" customWidth="1"/>
    <col min="13" max="16384" width="11.42578125" style="1"/>
  </cols>
  <sheetData>
    <row r="6" spans="1:8" ht="23.25" x14ac:dyDescent="0.25">
      <c r="A6" s="11" t="s">
        <v>101</v>
      </c>
      <c r="B6" s="12"/>
      <c r="C6" s="12"/>
      <c r="D6" s="12"/>
      <c r="E6" s="12"/>
      <c r="F6" s="12"/>
      <c r="G6" s="12"/>
      <c r="H6" s="12"/>
    </row>
    <row r="8" spans="1:8" ht="18.75" x14ac:dyDescent="0.25">
      <c r="A8" s="13" t="s">
        <v>102</v>
      </c>
      <c r="D8" s="14">
        <v>3428</v>
      </c>
    </row>
    <row r="9" spans="1:8" ht="15.75" thickBot="1" x14ac:dyDescent="0.3"/>
    <row r="10" spans="1:8" ht="30" x14ac:dyDescent="0.25">
      <c r="A10" s="15" t="s">
        <v>44</v>
      </c>
      <c r="B10" s="2" t="s">
        <v>97</v>
      </c>
      <c r="C10" s="2" t="s">
        <v>103</v>
      </c>
      <c r="D10" s="2" t="s">
        <v>104</v>
      </c>
      <c r="E10" s="16" t="s">
        <v>105</v>
      </c>
      <c r="F10" s="16" t="s">
        <v>106</v>
      </c>
      <c r="G10" s="16" t="s">
        <v>107</v>
      </c>
      <c r="H10" s="17" t="s">
        <v>108</v>
      </c>
    </row>
    <row r="11" spans="1:8" x14ac:dyDescent="0.25">
      <c r="A11" s="18" t="s">
        <v>118</v>
      </c>
      <c r="B11" s="38">
        <v>1300</v>
      </c>
      <c r="C11" s="20">
        <f>B11</f>
        <v>1300</v>
      </c>
      <c r="D11" s="20">
        <v>3428</v>
      </c>
      <c r="E11" s="20">
        <f>D11</f>
        <v>3428</v>
      </c>
      <c r="F11" s="20">
        <f>MIN(C11,E11)</f>
        <v>1300</v>
      </c>
      <c r="G11" s="20">
        <f>F11</f>
        <v>1300</v>
      </c>
      <c r="H11" s="21">
        <f t="shared" ref="H11:H15" si="0">B11-G11</f>
        <v>0</v>
      </c>
    </row>
    <row r="12" spans="1:8" x14ac:dyDescent="0.25">
      <c r="A12" s="18" t="s">
        <v>119</v>
      </c>
      <c r="B12" s="38">
        <v>1300</v>
      </c>
      <c r="C12" s="20">
        <f>C11+B12</f>
        <v>2600</v>
      </c>
      <c r="D12" s="20">
        <v>3428</v>
      </c>
      <c r="E12" s="20">
        <f>E11+D12</f>
        <v>6856</v>
      </c>
      <c r="F12" s="22">
        <f t="shared" ref="F12:F15" si="1">MIN(C12,E12)</f>
        <v>2600</v>
      </c>
      <c r="G12" s="23">
        <f>F12-F11</f>
        <v>1300</v>
      </c>
      <c r="H12" s="21">
        <f>B12-G12</f>
        <v>0</v>
      </c>
    </row>
    <row r="13" spans="1:8" x14ac:dyDescent="0.25">
      <c r="A13" s="18" t="s">
        <v>120</v>
      </c>
      <c r="B13" s="38">
        <v>1300</v>
      </c>
      <c r="C13" s="20">
        <f>C12+B13</f>
        <v>3900</v>
      </c>
      <c r="D13" s="20">
        <v>3428</v>
      </c>
      <c r="E13" s="20">
        <f t="shared" ref="E13:E15" si="2">E12+D13</f>
        <v>10284</v>
      </c>
      <c r="F13" s="20">
        <f>MIN(C13,E13)</f>
        <v>3900</v>
      </c>
      <c r="G13" s="20">
        <f>F13-F12</f>
        <v>1300</v>
      </c>
      <c r="H13" s="21">
        <f t="shared" si="0"/>
        <v>0</v>
      </c>
    </row>
    <row r="14" spans="1:8" x14ac:dyDescent="0.25">
      <c r="A14" s="18" t="s">
        <v>121</v>
      </c>
      <c r="B14" s="38">
        <v>1300</v>
      </c>
      <c r="C14" s="20">
        <f t="shared" ref="C14:C15" si="3">C13+B14</f>
        <v>5200</v>
      </c>
      <c r="D14" s="20">
        <v>3428</v>
      </c>
      <c r="E14" s="20">
        <f t="shared" si="2"/>
        <v>13712</v>
      </c>
      <c r="F14" s="20">
        <f t="shared" si="1"/>
        <v>5200</v>
      </c>
      <c r="G14" s="20">
        <f t="shared" ref="G14:G15" si="4">F14-F13</f>
        <v>1300</v>
      </c>
      <c r="H14" s="21">
        <f t="shared" si="0"/>
        <v>0</v>
      </c>
    </row>
    <row r="15" spans="1:8" x14ac:dyDescent="0.25">
      <c r="A15" s="18" t="s">
        <v>122</v>
      </c>
      <c r="B15" s="38">
        <v>1676.19</v>
      </c>
      <c r="C15" s="20">
        <f t="shared" si="3"/>
        <v>6876.1900000000005</v>
      </c>
      <c r="D15" s="20">
        <v>3428</v>
      </c>
      <c r="E15" s="20">
        <f t="shared" si="2"/>
        <v>17140</v>
      </c>
      <c r="F15" s="20">
        <f t="shared" si="1"/>
        <v>6876.1900000000005</v>
      </c>
      <c r="G15" s="20">
        <f t="shared" si="4"/>
        <v>1676.1900000000005</v>
      </c>
      <c r="H15" s="21">
        <f t="shared" si="0"/>
        <v>0</v>
      </c>
    </row>
    <row r="18" spans="1:13" ht="21.75" thickBot="1" x14ac:dyDescent="0.3">
      <c r="A18" s="401" t="s">
        <v>167</v>
      </c>
      <c r="B18" s="402"/>
      <c r="C18" s="402"/>
      <c r="D18" s="402"/>
      <c r="E18" s="402"/>
      <c r="F18" s="402"/>
      <c r="G18" s="402"/>
      <c r="H18" s="402"/>
      <c r="I18" s="35"/>
    </row>
    <row r="19" spans="1:13" ht="21" customHeight="1" thickBot="1" x14ac:dyDescent="0.3">
      <c r="A19" s="36" t="s">
        <v>130</v>
      </c>
      <c r="B19" s="37">
        <f>'Modèle 2023'!H19</f>
        <v>0.31950000000000001</v>
      </c>
    </row>
    <row r="20" spans="1:13" ht="15.75" thickBot="1" x14ac:dyDescent="0.3"/>
    <row r="21" spans="1:13" ht="30.75" thickBot="1" x14ac:dyDescent="0.3">
      <c r="A21" s="4" t="s">
        <v>44</v>
      </c>
      <c r="B21" s="2" t="s">
        <v>131</v>
      </c>
      <c r="C21" s="2" t="s">
        <v>132</v>
      </c>
      <c r="D21" s="27" t="s">
        <v>111</v>
      </c>
      <c r="E21" s="16" t="s">
        <v>133</v>
      </c>
      <c r="F21" s="16" t="s">
        <v>134</v>
      </c>
      <c r="G21" s="16" t="s">
        <v>135</v>
      </c>
      <c r="H21" s="16" t="s">
        <v>136</v>
      </c>
    </row>
    <row r="22" spans="1:13" ht="21" customHeight="1" thickBot="1" x14ac:dyDescent="0.3">
      <c r="A22" s="18" t="s">
        <v>118</v>
      </c>
      <c r="B22" s="38">
        <v>1300</v>
      </c>
      <c r="C22" s="39">
        <f>B22</f>
        <v>1300</v>
      </c>
      <c r="D22" s="218">
        <f>M22</f>
        <v>1099.2581261950286</v>
      </c>
      <c r="E22" s="38">
        <f>+D22</f>
        <v>1099.2581261950286</v>
      </c>
      <c r="F22" s="41">
        <f>ROUND(($B$19/0.6)*((1.6*E22/C22)-1),4)</f>
        <v>0.18790000000000001</v>
      </c>
      <c r="G22" s="39">
        <f>IF(F22&gt;0,F22*C22,0)</f>
        <v>244.27</v>
      </c>
      <c r="H22" s="219">
        <f>G22</f>
        <v>244.27</v>
      </c>
      <c r="K22" s="217" t="s">
        <v>182</v>
      </c>
      <c r="L22" s="8" t="s">
        <v>183</v>
      </c>
      <c r="M22" s="221">
        <f>1603.12*104/151.67</f>
        <v>1099.2581261950286</v>
      </c>
    </row>
    <row r="23" spans="1:13" ht="21" customHeight="1" x14ac:dyDescent="0.25">
      <c r="A23" s="18" t="s">
        <v>119</v>
      </c>
      <c r="B23" s="38">
        <v>1300</v>
      </c>
      <c r="C23" s="39">
        <f>C22+B23</f>
        <v>2600</v>
      </c>
      <c r="D23" s="218">
        <f>D22</f>
        <v>1099.2581261950286</v>
      </c>
      <c r="E23" s="38">
        <f>D23+E22</f>
        <v>2198.5162523900572</v>
      </c>
      <c r="F23" s="41">
        <f>ROUND(($B$19/0.6)*((1.6*E23/C23)-1),4)</f>
        <v>0.18790000000000001</v>
      </c>
      <c r="G23" s="39">
        <f t="shared" ref="G23:G26" si="5">IF(F23&gt;0,F23*C23,0)</f>
        <v>488.54</v>
      </c>
      <c r="H23" s="219">
        <f>G23-G22</f>
        <v>244.27</v>
      </c>
    </row>
    <row r="24" spans="1:13" ht="21" customHeight="1" x14ac:dyDescent="0.25">
      <c r="A24" s="18" t="s">
        <v>120</v>
      </c>
      <c r="B24" s="38">
        <v>1300</v>
      </c>
      <c r="C24" s="39">
        <f t="shared" ref="C24:C26" si="6">C23+B24</f>
        <v>3900</v>
      </c>
      <c r="D24" s="218">
        <f t="shared" ref="D24:D25" si="7">D23</f>
        <v>1099.2581261950286</v>
      </c>
      <c r="E24" s="38">
        <f t="shared" ref="E24:E26" si="8">D24+E23</f>
        <v>3297.7743785850857</v>
      </c>
      <c r="F24" s="41">
        <f>ROUND(($B$19/0.6)*((1.6*E24/C24)-1),4)</f>
        <v>0.18790000000000001</v>
      </c>
      <c r="G24" s="39">
        <f t="shared" si="5"/>
        <v>732.81000000000006</v>
      </c>
      <c r="H24" s="219">
        <f t="shared" ref="H24:H26" si="9">G24-G23</f>
        <v>244.27000000000004</v>
      </c>
    </row>
    <row r="25" spans="1:13" ht="21" customHeight="1" thickBot="1" x14ac:dyDescent="0.3">
      <c r="A25" s="18" t="s">
        <v>121</v>
      </c>
      <c r="B25" s="38">
        <v>1300</v>
      </c>
      <c r="C25" s="39">
        <f t="shared" si="6"/>
        <v>5200</v>
      </c>
      <c r="D25" s="218">
        <f t="shared" si="7"/>
        <v>1099.2581261950286</v>
      </c>
      <c r="E25" s="38">
        <f t="shared" si="8"/>
        <v>4397.0325047801143</v>
      </c>
      <c r="F25" s="41">
        <f>ROUND(($B$19/0.6)*((1.6*E25/C25)-1),4)</f>
        <v>0.18790000000000001</v>
      </c>
      <c r="G25" s="39">
        <f t="shared" si="5"/>
        <v>977.08</v>
      </c>
      <c r="H25" s="219">
        <f t="shared" si="9"/>
        <v>244.26999999999998</v>
      </c>
    </row>
    <row r="26" spans="1:13" ht="21" customHeight="1" thickBot="1" x14ac:dyDescent="0.3">
      <c r="A26" s="18" t="s">
        <v>122</v>
      </c>
      <c r="B26" s="38" t="e">
        <f>#REF!</f>
        <v>#REF!</v>
      </c>
      <c r="C26" s="39" t="e">
        <f t="shared" si="6"/>
        <v>#REF!</v>
      </c>
      <c r="D26" s="220" t="e">
        <f>M26</f>
        <v>#REF!</v>
      </c>
      <c r="E26" s="38" t="e">
        <f t="shared" si="8"/>
        <v>#REF!</v>
      </c>
      <c r="F26" s="41" t="e">
        <f>ROUND(($B$19/0.6)*((1.6*E26/C26)-1),4)</f>
        <v>#REF!</v>
      </c>
      <c r="G26" s="39" t="e">
        <f t="shared" si="5"/>
        <v>#REF!</v>
      </c>
      <c r="H26" s="219" t="e">
        <f t="shared" si="9"/>
        <v>#REF!</v>
      </c>
      <c r="K26" s="217" t="s">
        <v>169</v>
      </c>
      <c r="L26" s="8" t="s">
        <v>181</v>
      </c>
      <c r="M26" s="221" t="e">
        <f>1603.12*B26/2200</f>
        <v>#REF!</v>
      </c>
    </row>
    <row r="27" spans="1:13" ht="15.75" thickBot="1" x14ac:dyDescent="0.3">
      <c r="K27" s="217" t="s">
        <v>174</v>
      </c>
      <c r="L27" s="8" t="s">
        <v>180</v>
      </c>
      <c r="M27" s="221">
        <f>104+11.3</f>
        <v>115.3</v>
      </c>
    </row>
    <row r="29" spans="1:13" ht="23.25" x14ac:dyDescent="0.25">
      <c r="A29" s="11" t="s">
        <v>179</v>
      </c>
      <c r="B29" s="12"/>
    </row>
    <row r="30" spans="1:13" ht="15.75" thickBot="1" x14ac:dyDescent="0.3"/>
    <row r="31" spans="1:13" ht="21.75" customHeight="1" x14ac:dyDescent="0.25">
      <c r="A31" s="4"/>
      <c r="B31" s="2" t="s">
        <v>174</v>
      </c>
      <c r="C31" s="2" t="s">
        <v>184</v>
      </c>
      <c r="D31" s="2" t="s">
        <v>186</v>
      </c>
      <c r="E31" s="3" t="s">
        <v>185</v>
      </c>
    </row>
    <row r="32" spans="1:13" ht="21.75" customHeight="1" x14ac:dyDescent="0.25">
      <c r="A32" s="5" t="s">
        <v>172</v>
      </c>
      <c r="B32" s="9">
        <v>29.3</v>
      </c>
      <c r="C32" s="9">
        <f>B32-24</f>
        <v>5.3000000000000007</v>
      </c>
      <c r="D32" s="9">
        <v>2.4</v>
      </c>
      <c r="E32" s="10">
        <f>C32-D32</f>
        <v>2.9000000000000008</v>
      </c>
    </row>
    <row r="33" spans="1:5" ht="21.75" customHeight="1" x14ac:dyDescent="0.25">
      <c r="A33" s="5" t="s">
        <v>173</v>
      </c>
      <c r="B33" s="9">
        <v>30</v>
      </c>
      <c r="C33" s="9">
        <f>B33-24</f>
        <v>6</v>
      </c>
      <c r="D33" s="9">
        <v>2.4</v>
      </c>
      <c r="E33" s="10">
        <f>C33-D33</f>
        <v>3.6</v>
      </c>
    </row>
    <row r="34" spans="1:5" ht="21.75" customHeight="1" thickBot="1" x14ac:dyDescent="0.3">
      <c r="A34" s="6" t="s">
        <v>178</v>
      </c>
      <c r="B34" s="222"/>
      <c r="C34" s="223">
        <f>SUM(C32:C33)</f>
        <v>11.3</v>
      </c>
      <c r="D34" s="223">
        <f>SUM(D32:D33)</f>
        <v>4.8</v>
      </c>
      <c r="E34" s="224">
        <f>SUM(E32:E33)</f>
        <v>6.5000000000000009</v>
      </c>
    </row>
  </sheetData>
  <mergeCells count="1">
    <mergeCell ref="A18:H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Feuil1</vt:lpstr>
      <vt:lpstr>OUTILS</vt:lpstr>
      <vt:lpstr>OUTILS S1</vt:lpstr>
      <vt:lpstr>Modèle 2023</vt:lpstr>
      <vt:lpstr>EXPL T1 NC 2022</vt:lpstr>
      <vt:lpstr>EXPL T2 C Arrété 23 déc 2021</vt:lpstr>
      <vt:lpstr>BULLETIN S1 (2)</vt:lpstr>
      <vt:lpstr>OUTILS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2023-03-12T10:49:08Z</dcterms:modified>
</cp:coreProperties>
</file>