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19-CONGES PAYES - Cas particuliers\DOCUMENTS\"/>
    </mc:Choice>
  </mc:AlternateContent>
  <xr:revisionPtr revIDLastSave="0" documentId="13_ncr:1_{3C1E98CD-4AA0-4E4C-B837-E347BBDEADD7}" xr6:coauthVersionLast="47" xr6:coauthVersionMax="47" xr10:uidLastSave="{00000000-0000-0000-0000-000000000000}"/>
  <bookViews>
    <workbookView xWindow="-120" yWindow="-120" windowWidth="24240" windowHeight="13140" tabRatio="944" firstSheet="1" activeTab="1" xr2:uid="{00000000-000D-0000-FFFF-FFFF00000000}"/>
    <workbookView xWindow="23880" yWindow="-120" windowWidth="25440" windowHeight="15390" firstSheet="1" activeTab="1" xr2:uid="{03F7688B-373F-4309-81BD-4858B7D33F1F}"/>
    <workbookView minimized="1" xWindow="180" yWindow="90" windowWidth="13800" windowHeight="12060" firstSheet="1" activeTab="1" xr2:uid="{3F9B4E9D-7DB4-4C42-A54F-7528629AE422}"/>
  </bookViews>
  <sheets>
    <sheet name="ARRET DE TRAVAIL" sheetId="29" state="hidden" r:id="rId1"/>
    <sheet name="DONNEES SUR CP" sheetId="35" r:id="rId2"/>
    <sheet name="Tableau simplifié de calcul" sheetId="36" state="hidden" r:id="rId3"/>
    <sheet name="REGULARISATION" sheetId="50" state="hidden" r:id="rId4"/>
    <sheet name="DECOMPTE DES CONGES PAYES" sheetId="37" state="hidden" r:id="rId5"/>
    <sheet name="CAS 1" sheetId="38" state="hidden" r:id="rId6"/>
    <sheet name="CAS 2" sheetId="39" state="hidden" r:id="rId7"/>
    <sheet name="CAS 3" sheetId="40" state="hidden" r:id="rId8"/>
    <sheet name="CAS 4" sheetId="41" state="hidden" r:id="rId9"/>
    <sheet name="Bulletin 2" sheetId="43" state="hidden" r:id="rId10"/>
    <sheet name="REGUL " sheetId="44" state="hidden" r:id="rId11"/>
    <sheet name="Bulletin 3" sheetId="45" state="hidden" r:id="rId12"/>
    <sheet name="Bulletin 4" sheetId="46" state="hidden" r:id="rId13"/>
    <sheet name="REGUL S1" sheetId="23" state="hidden" r:id="rId14"/>
    <sheet name="BP2" sheetId="32" state="hidden" r:id="rId15"/>
    <sheet name="BP3" sheetId="33" state="hidden" r:id="rId16"/>
    <sheet name="BP4" sheetId="34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6" l="1"/>
  <c r="D6" i="36"/>
  <c r="F24" i="36" l="1"/>
  <c r="D13" i="36"/>
  <c r="D12" i="36"/>
  <c r="D30" i="36" l="1"/>
  <c r="F30" i="36" s="1"/>
  <c r="G30" i="36" s="1"/>
  <c r="D24" i="36"/>
  <c r="D15" i="36"/>
  <c r="D16" i="36" s="1"/>
  <c r="D17" i="36" s="1"/>
  <c r="D96" i="50"/>
  <c r="D95" i="50"/>
  <c r="D94" i="50"/>
  <c r="D93" i="50"/>
  <c r="D92" i="50"/>
  <c r="D91" i="50"/>
  <c r="D90" i="50"/>
  <c r="D89" i="50"/>
  <c r="D88" i="50"/>
  <c r="D87" i="50"/>
  <c r="D86" i="50"/>
  <c r="E85" i="50"/>
  <c r="E86" i="50" s="1"/>
  <c r="D85" i="50"/>
  <c r="E69" i="50"/>
  <c r="E70" i="50" s="1"/>
  <c r="E67" i="50"/>
  <c r="E68" i="50" s="1"/>
  <c r="E66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F47" i="50" s="1"/>
  <c r="F48" i="50" s="1"/>
  <c r="F49" i="50" s="1"/>
  <c r="F50" i="50" s="1"/>
  <c r="F51" i="50" s="1"/>
  <c r="F52" i="50" s="1"/>
  <c r="F53" i="50" s="1"/>
  <c r="F54" i="50" s="1"/>
  <c r="F55" i="50" s="1"/>
  <c r="F56" i="50" s="1"/>
  <c r="F57" i="50" s="1"/>
  <c r="F58" i="50" s="1"/>
  <c r="E41" i="50"/>
  <c r="B41" i="50"/>
  <c r="B58" i="50" s="1"/>
  <c r="E40" i="50"/>
  <c r="B40" i="50"/>
  <c r="B57" i="50" s="1"/>
  <c r="L39" i="50"/>
  <c r="M39" i="50" s="1"/>
  <c r="E39" i="50"/>
  <c r="B39" i="50"/>
  <c r="E38" i="50"/>
  <c r="B38" i="50"/>
  <c r="E37" i="50"/>
  <c r="B37" i="50"/>
  <c r="M36" i="50"/>
  <c r="L36" i="50"/>
  <c r="G36" i="50"/>
  <c r="E36" i="50"/>
  <c r="B36" i="50"/>
  <c r="M35" i="50"/>
  <c r="E35" i="50"/>
  <c r="B35" i="50"/>
  <c r="L35" i="50" s="1"/>
  <c r="E34" i="50"/>
  <c r="B34" i="50"/>
  <c r="B51" i="50" s="1"/>
  <c r="E33" i="50"/>
  <c r="B33" i="50"/>
  <c r="B50" i="50" s="1"/>
  <c r="E32" i="50"/>
  <c r="B32" i="50"/>
  <c r="L32" i="50" s="1"/>
  <c r="M32" i="50" s="1"/>
  <c r="E31" i="50"/>
  <c r="C31" i="50"/>
  <c r="B31" i="50"/>
  <c r="L31" i="50" s="1"/>
  <c r="M31" i="50" s="1"/>
  <c r="F30" i="50"/>
  <c r="F31" i="50" s="1"/>
  <c r="F32" i="50" s="1"/>
  <c r="F33" i="50" s="1"/>
  <c r="F34" i="50" s="1"/>
  <c r="F35" i="50" s="1"/>
  <c r="F36" i="50" s="1"/>
  <c r="F37" i="50" s="1"/>
  <c r="F38" i="50" s="1"/>
  <c r="F39" i="50" s="1"/>
  <c r="F40" i="50" s="1"/>
  <c r="F41" i="50" s="1"/>
  <c r="E30" i="50"/>
  <c r="C30" i="50"/>
  <c r="B30" i="50"/>
  <c r="B47" i="50" s="1"/>
  <c r="D22" i="50"/>
  <c r="D21" i="50"/>
  <c r="D20" i="50"/>
  <c r="D19" i="50"/>
  <c r="D18" i="50"/>
  <c r="D17" i="50"/>
  <c r="D16" i="50"/>
  <c r="D15" i="50"/>
  <c r="D14" i="50"/>
  <c r="D13" i="50"/>
  <c r="D12" i="50"/>
  <c r="C12" i="50"/>
  <c r="E11" i="50"/>
  <c r="E12" i="50" s="1"/>
  <c r="E13" i="50" s="1"/>
  <c r="E14" i="50" s="1"/>
  <c r="E15" i="50" s="1"/>
  <c r="E16" i="50" s="1"/>
  <c r="E17" i="50" s="1"/>
  <c r="E18" i="50" s="1"/>
  <c r="E19" i="50" s="1"/>
  <c r="E20" i="50" s="1"/>
  <c r="E21" i="50" s="1"/>
  <c r="E22" i="50" s="1"/>
  <c r="D11" i="50"/>
  <c r="C11" i="50"/>
  <c r="F6" i="36" l="1"/>
  <c r="E30" i="36"/>
  <c r="I30" i="36"/>
  <c r="L50" i="50"/>
  <c r="M50" i="50" s="1"/>
  <c r="G50" i="50"/>
  <c r="B69" i="50"/>
  <c r="B88" i="50" s="1"/>
  <c r="B70" i="50"/>
  <c r="B89" i="50" s="1"/>
  <c r="L51" i="50"/>
  <c r="M51" i="50" s="1"/>
  <c r="G51" i="50"/>
  <c r="F11" i="50"/>
  <c r="G11" i="50" s="1"/>
  <c r="H11" i="50" s="1"/>
  <c r="L47" i="50"/>
  <c r="M47" i="50" s="1"/>
  <c r="C47" i="50"/>
  <c r="B66" i="50"/>
  <c r="C32" i="50"/>
  <c r="L33" i="50"/>
  <c r="M33" i="50" s="1"/>
  <c r="G47" i="50"/>
  <c r="F12" i="50"/>
  <c r="G12" i="50" s="1"/>
  <c r="H12" i="50" s="1"/>
  <c r="C13" i="50"/>
  <c r="H30" i="50"/>
  <c r="I30" i="50" s="1"/>
  <c r="B53" i="50"/>
  <c r="B54" i="50"/>
  <c r="L37" i="50"/>
  <c r="M37" i="50" s="1"/>
  <c r="G37" i="50"/>
  <c r="G38" i="50"/>
  <c r="B55" i="50"/>
  <c r="L38" i="50"/>
  <c r="M38" i="50" s="1"/>
  <c r="H31" i="50"/>
  <c r="I31" i="50" s="1"/>
  <c r="N31" i="50" s="1"/>
  <c r="O31" i="50" s="1"/>
  <c r="P31" i="50" s="1"/>
  <c r="B49" i="50"/>
  <c r="G32" i="50"/>
  <c r="G33" i="50"/>
  <c r="G39" i="50"/>
  <c r="B56" i="50"/>
  <c r="L57" i="50"/>
  <c r="M57" i="50" s="1"/>
  <c r="G57" i="50"/>
  <c r="B76" i="50"/>
  <c r="B95" i="50" s="1"/>
  <c r="G30" i="50"/>
  <c r="L30" i="50"/>
  <c r="M30" i="50" s="1"/>
  <c r="G34" i="50"/>
  <c r="L34" i="50"/>
  <c r="M34" i="50" s="1"/>
  <c r="B48" i="50"/>
  <c r="B52" i="50"/>
  <c r="E87" i="50"/>
  <c r="G31" i="50"/>
  <c r="G35" i="50"/>
  <c r="L58" i="50"/>
  <c r="M58" i="50" s="1"/>
  <c r="G58" i="50"/>
  <c r="B77" i="50"/>
  <c r="B96" i="50" s="1"/>
  <c r="E71" i="50"/>
  <c r="G40" i="50"/>
  <c r="L40" i="50"/>
  <c r="M40" i="50" s="1"/>
  <c r="G41" i="50"/>
  <c r="L41" i="50"/>
  <c r="M41" i="50" s="1"/>
  <c r="L54" i="50" l="1"/>
  <c r="M54" i="50" s="1"/>
  <c r="G54" i="50"/>
  <c r="B73" i="50"/>
  <c r="B92" i="50" s="1"/>
  <c r="F13" i="50"/>
  <c r="G13" i="50" s="1"/>
  <c r="H13" i="50" s="1"/>
  <c r="C14" i="50"/>
  <c r="C33" i="50"/>
  <c r="H32" i="50"/>
  <c r="I32" i="50" s="1"/>
  <c r="L49" i="50"/>
  <c r="M49" i="50" s="1"/>
  <c r="G49" i="50"/>
  <c r="B68" i="50"/>
  <c r="B87" i="50" s="1"/>
  <c r="E72" i="50"/>
  <c r="E88" i="50"/>
  <c r="B67" i="50"/>
  <c r="B86" i="50" s="1"/>
  <c r="L48" i="50"/>
  <c r="M48" i="50" s="1"/>
  <c r="G48" i="50"/>
  <c r="J31" i="50"/>
  <c r="B75" i="50"/>
  <c r="B94" i="50" s="1"/>
  <c r="L56" i="50"/>
  <c r="M56" i="50" s="1"/>
  <c r="G56" i="50"/>
  <c r="B85" i="50"/>
  <c r="C85" i="50" s="1"/>
  <c r="C66" i="50"/>
  <c r="N30" i="50"/>
  <c r="O30" i="50" s="1"/>
  <c r="P30" i="50" s="1"/>
  <c r="J30" i="50"/>
  <c r="B71" i="50"/>
  <c r="B90" i="50" s="1"/>
  <c r="L52" i="50"/>
  <c r="M52" i="50" s="1"/>
  <c r="G52" i="50"/>
  <c r="B74" i="50"/>
  <c r="B93" i="50" s="1"/>
  <c r="L55" i="50"/>
  <c r="M55" i="50" s="1"/>
  <c r="G55" i="50"/>
  <c r="L53" i="50"/>
  <c r="M53" i="50" s="1"/>
  <c r="G53" i="50"/>
  <c r="B72" i="50"/>
  <c r="B91" i="50" s="1"/>
  <c r="C48" i="50"/>
  <c r="H47" i="50"/>
  <c r="I47" i="50" s="1"/>
  <c r="N32" i="50" l="1"/>
  <c r="O32" i="50" s="1"/>
  <c r="P32" i="50" s="1"/>
  <c r="J32" i="50"/>
  <c r="C67" i="50"/>
  <c r="F66" i="50"/>
  <c r="G66" i="50" s="1"/>
  <c r="H66" i="50" s="1"/>
  <c r="C34" i="50"/>
  <c r="H33" i="50"/>
  <c r="I33" i="50" s="1"/>
  <c r="E89" i="50"/>
  <c r="C49" i="50"/>
  <c r="H48" i="50"/>
  <c r="I48" i="50" s="1"/>
  <c r="F14" i="50"/>
  <c r="G14" i="50" s="1"/>
  <c r="H14" i="50" s="1"/>
  <c r="C15" i="50"/>
  <c r="N47" i="50"/>
  <c r="O47" i="50" s="1"/>
  <c r="P47" i="50" s="1"/>
  <c r="J47" i="50"/>
  <c r="F85" i="50"/>
  <c r="C86" i="50"/>
  <c r="G85" i="50"/>
  <c r="H85" i="50" s="1"/>
  <c r="E73" i="50"/>
  <c r="F15" i="50" l="1"/>
  <c r="G15" i="50" s="1"/>
  <c r="H15" i="50" s="1"/>
  <c r="C16" i="50"/>
  <c r="E74" i="50"/>
  <c r="E90" i="50"/>
  <c r="C68" i="50"/>
  <c r="F67" i="50"/>
  <c r="G67" i="50" s="1"/>
  <c r="H67" i="50" s="1"/>
  <c r="C87" i="50"/>
  <c r="G86" i="50"/>
  <c r="H86" i="50" s="1"/>
  <c r="F86" i="50"/>
  <c r="N33" i="50"/>
  <c r="O33" i="50" s="1"/>
  <c r="P33" i="50" s="1"/>
  <c r="J33" i="50"/>
  <c r="N48" i="50"/>
  <c r="O48" i="50" s="1"/>
  <c r="P48" i="50" s="1"/>
  <c r="J48" i="50"/>
  <c r="H49" i="50"/>
  <c r="I49" i="50" s="1"/>
  <c r="C50" i="50"/>
  <c r="H34" i="50"/>
  <c r="I34" i="50" s="1"/>
  <c r="C35" i="50"/>
  <c r="C36" i="50" l="1"/>
  <c r="H35" i="50"/>
  <c r="I35" i="50" s="1"/>
  <c r="E75" i="50"/>
  <c r="C69" i="50"/>
  <c r="F68" i="50"/>
  <c r="G68" i="50" s="1"/>
  <c r="H68" i="50" s="1"/>
  <c r="F16" i="50"/>
  <c r="G16" i="50" s="1"/>
  <c r="H16" i="50" s="1"/>
  <c r="C17" i="50"/>
  <c r="N49" i="50"/>
  <c r="O49" i="50" s="1"/>
  <c r="P49" i="50" s="1"/>
  <c r="J49" i="50"/>
  <c r="J34" i="50"/>
  <c r="N34" i="50"/>
  <c r="O34" i="50" s="1"/>
  <c r="P34" i="50" s="1"/>
  <c r="C51" i="50"/>
  <c r="H50" i="50"/>
  <c r="I50" i="50" s="1"/>
  <c r="G87" i="50"/>
  <c r="H87" i="50" s="1"/>
  <c r="C88" i="50"/>
  <c r="F87" i="50"/>
  <c r="E91" i="50"/>
  <c r="C18" i="50" l="1"/>
  <c r="F17" i="50"/>
  <c r="G17" i="50" s="1"/>
  <c r="H17" i="50" s="1"/>
  <c r="N35" i="50"/>
  <c r="O35" i="50" s="1"/>
  <c r="P35" i="50" s="1"/>
  <c r="J35" i="50"/>
  <c r="G88" i="50"/>
  <c r="H88" i="50" s="1"/>
  <c r="C89" i="50"/>
  <c r="F88" i="50"/>
  <c r="E76" i="50"/>
  <c r="E92" i="50"/>
  <c r="N50" i="50"/>
  <c r="O50" i="50" s="1"/>
  <c r="P50" i="50" s="1"/>
  <c r="J50" i="50"/>
  <c r="C52" i="50"/>
  <c r="H51" i="50"/>
  <c r="I51" i="50" s="1"/>
  <c r="C70" i="50"/>
  <c r="F69" i="50"/>
  <c r="G69" i="50" s="1"/>
  <c r="H69" i="50" s="1"/>
  <c r="C37" i="50"/>
  <c r="H36" i="50"/>
  <c r="I36" i="50" s="1"/>
  <c r="N51" i="50" l="1"/>
  <c r="O51" i="50" s="1"/>
  <c r="P51" i="50" s="1"/>
  <c r="J51" i="50"/>
  <c r="N36" i="50"/>
  <c r="O36" i="50" s="1"/>
  <c r="P36" i="50" s="1"/>
  <c r="J36" i="50"/>
  <c r="E93" i="50"/>
  <c r="C90" i="50"/>
  <c r="G89" i="50"/>
  <c r="H89" i="50" s="1"/>
  <c r="F89" i="50"/>
  <c r="C71" i="50"/>
  <c r="F70" i="50"/>
  <c r="G70" i="50" s="1"/>
  <c r="H70" i="50" s="1"/>
  <c r="E77" i="50"/>
  <c r="C38" i="50"/>
  <c r="H37" i="50"/>
  <c r="I37" i="50" s="1"/>
  <c r="C53" i="50"/>
  <c r="H52" i="50"/>
  <c r="I52" i="50" s="1"/>
  <c r="F18" i="50"/>
  <c r="G18" i="50" s="1"/>
  <c r="H18" i="50" s="1"/>
  <c r="C19" i="50"/>
  <c r="C91" i="50" l="1"/>
  <c r="G90" i="50"/>
  <c r="H90" i="50" s="1"/>
  <c r="F90" i="50"/>
  <c r="C20" i="50"/>
  <c r="F19" i="50"/>
  <c r="G19" i="50" s="1"/>
  <c r="H19" i="50" s="1"/>
  <c r="C39" i="50"/>
  <c r="H38" i="50"/>
  <c r="I38" i="50" s="1"/>
  <c r="C72" i="50"/>
  <c r="F71" i="50"/>
  <c r="G71" i="50" s="1"/>
  <c r="H71" i="50" s="1"/>
  <c r="H53" i="50"/>
  <c r="I53" i="50" s="1"/>
  <c r="C54" i="50"/>
  <c r="N37" i="50"/>
  <c r="O37" i="50" s="1"/>
  <c r="P37" i="50" s="1"/>
  <c r="J37" i="50"/>
  <c r="N52" i="50"/>
  <c r="O52" i="50" s="1"/>
  <c r="P52" i="50" s="1"/>
  <c r="J52" i="50"/>
  <c r="E94" i="50"/>
  <c r="F20" i="50" l="1"/>
  <c r="G20" i="50" s="1"/>
  <c r="H20" i="50" s="1"/>
  <c r="C21" i="50"/>
  <c r="C55" i="50"/>
  <c r="H54" i="50"/>
  <c r="I54" i="50" s="1"/>
  <c r="N53" i="50"/>
  <c r="O53" i="50" s="1"/>
  <c r="P53" i="50" s="1"/>
  <c r="J53" i="50"/>
  <c r="C40" i="50"/>
  <c r="H39" i="50"/>
  <c r="I39" i="50" s="1"/>
  <c r="C73" i="50"/>
  <c r="F72" i="50"/>
  <c r="G72" i="50" s="1"/>
  <c r="H72" i="50" s="1"/>
  <c r="N38" i="50"/>
  <c r="O38" i="50" s="1"/>
  <c r="P38" i="50" s="1"/>
  <c r="J38" i="50"/>
  <c r="E95" i="50"/>
  <c r="G91" i="50"/>
  <c r="H91" i="50" s="1"/>
  <c r="C92" i="50"/>
  <c r="F91" i="50"/>
  <c r="G92" i="50" l="1"/>
  <c r="H92" i="50" s="1"/>
  <c r="C93" i="50"/>
  <c r="F92" i="50"/>
  <c r="H40" i="50"/>
  <c r="I40" i="50" s="1"/>
  <c r="C41" i="50"/>
  <c r="H41" i="50" s="1"/>
  <c r="C56" i="50"/>
  <c r="H55" i="50"/>
  <c r="I55" i="50" s="1"/>
  <c r="N39" i="50"/>
  <c r="O39" i="50" s="1"/>
  <c r="P39" i="50" s="1"/>
  <c r="J39" i="50"/>
  <c r="C22" i="50"/>
  <c r="F22" i="50" s="1"/>
  <c r="F21" i="50"/>
  <c r="G21" i="50" s="1"/>
  <c r="H21" i="50" s="1"/>
  <c r="N54" i="50"/>
  <c r="O54" i="50" s="1"/>
  <c r="P54" i="50" s="1"/>
  <c r="J54" i="50"/>
  <c r="E96" i="50"/>
  <c r="C74" i="50"/>
  <c r="F73" i="50"/>
  <c r="G73" i="50" s="1"/>
  <c r="H73" i="50" s="1"/>
  <c r="C75" i="50" l="1"/>
  <c r="F74" i="50"/>
  <c r="G74" i="50" s="1"/>
  <c r="H74" i="50" s="1"/>
  <c r="N55" i="50"/>
  <c r="O55" i="50" s="1"/>
  <c r="P55" i="50" s="1"/>
  <c r="J55" i="50"/>
  <c r="N40" i="50"/>
  <c r="O40" i="50" s="1"/>
  <c r="P40" i="50" s="1"/>
  <c r="J40" i="50"/>
  <c r="G22" i="50"/>
  <c r="H22" i="50" s="1"/>
  <c r="C57" i="50"/>
  <c r="H56" i="50"/>
  <c r="I56" i="50" s="1"/>
  <c r="C94" i="50"/>
  <c r="G93" i="50"/>
  <c r="H93" i="50" s="1"/>
  <c r="F93" i="50"/>
  <c r="I41" i="50"/>
  <c r="C95" i="50" l="1"/>
  <c r="G94" i="50"/>
  <c r="H94" i="50" s="1"/>
  <c r="F94" i="50"/>
  <c r="N41" i="50"/>
  <c r="O41" i="50" s="1"/>
  <c r="P41" i="50" s="1"/>
  <c r="J41" i="50"/>
  <c r="N56" i="50"/>
  <c r="O56" i="50" s="1"/>
  <c r="P56" i="50" s="1"/>
  <c r="J56" i="50"/>
  <c r="H57" i="50"/>
  <c r="I57" i="50" s="1"/>
  <c r="C58" i="50"/>
  <c r="H58" i="50" s="1"/>
  <c r="C76" i="50"/>
  <c r="F75" i="50"/>
  <c r="G75" i="50" s="1"/>
  <c r="H75" i="50" s="1"/>
  <c r="N57" i="50" l="1"/>
  <c r="O57" i="50" s="1"/>
  <c r="P57" i="50" s="1"/>
  <c r="J57" i="50"/>
  <c r="C77" i="50"/>
  <c r="F77" i="50" s="1"/>
  <c r="G77" i="50" s="1"/>
  <c r="F76" i="50"/>
  <c r="G76" i="50" s="1"/>
  <c r="H76" i="50" s="1"/>
  <c r="I58" i="50"/>
  <c r="G95" i="50"/>
  <c r="H95" i="50" s="1"/>
  <c r="C96" i="50"/>
  <c r="F95" i="50"/>
  <c r="G96" i="50" l="1"/>
  <c r="H96" i="50" s="1"/>
  <c r="F96" i="50"/>
  <c r="H77" i="50"/>
  <c r="N58" i="50"/>
  <c r="O58" i="50" s="1"/>
  <c r="P58" i="50" s="1"/>
  <c r="J58" i="50"/>
  <c r="E153" i="46" l="1"/>
  <c r="E154" i="46" s="1"/>
  <c r="E164" i="46" s="1"/>
  <c r="D165" i="46" s="1"/>
  <c r="E152" i="46"/>
  <c r="E151" i="46"/>
  <c r="E143" i="46"/>
  <c r="E142" i="46"/>
  <c r="B142" i="46"/>
  <c r="F134" i="46"/>
  <c r="D134" i="46"/>
  <c r="E134" i="46" s="1"/>
  <c r="F133" i="46"/>
  <c r="E133" i="46"/>
  <c r="D133" i="46"/>
  <c r="D132" i="46"/>
  <c r="D131" i="46"/>
  <c r="F131" i="46" s="1"/>
  <c r="F125" i="46"/>
  <c r="D125" i="46"/>
  <c r="C122" i="46"/>
  <c r="G125" i="46" s="1"/>
  <c r="H125" i="46" s="1"/>
  <c r="E115" i="46"/>
  <c r="C101" i="46"/>
  <c r="E101" i="46" s="1"/>
  <c r="C99" i="46"/>
  <c r="C98" i="46"/>
  <c r="C94" i="46"/>
  <c r="C93" i="46"/>
  <c r="D80" i="46"/>
  <c r="E73" i="46"/>
  <c r="E72" i="46"/>
  <c r="E65" i="46"/>
  <c r="G56" i="46"/>
  <c r="E56" i="46"/>
  <c r="G51" i="46"/>
  <c r="E51" i="46"/>
  <c r="E50" i="46"/>
  <c r="C50" i="46"/>
  <c r="G50" i="46" s="1"/>
  <c r="F45" i="46"/>
  <c r="G44" i="46"/>
  <c r="C43" i="46"/>
  <c r="G43" i="46" s="1"/>
  <c r="F42" i="46"/>
  <c r="E36" i="46"/>
  <c r="E28" i="46"/>
  <c r="C61" i="46" s="1"/>
  <c r="D27" i="46"/>
  <c r="E27" i="46" s="1"/>
  <c r="C27" i="46"/>
  <c r="D26" i="46"/>
  <c r="C26" i="46"/>
  <c r="E26" i="46" s="1"/>
  <c r="D25" i="46"/>
  <c r="E25" i="46" s="1"/>
  <c r="C25" i="46"/>
  <c r="E24" i="46"/>
  <c r="D24" i="46"/>
  <c r="C24" i="46"/>
  <c r="C66" i="46" s="1"/>
  <c r="C116" i="46" s="1"/>
  <c r="E116" i="46" s="1"/>
  <c r="D22" i="46"/>
  <c r="E22" i="46" s="1"/>
  <c r="E20" i="46"/>
  <c r="D134" i="45"/>
  <c r="E133" i="45"/>
  <c r="D133" i="45"/>
  <c r="F133" i="45" s="1"/>
  <c r="D132" i="45"/>
  <c r="F131" i="45"/>
  <c r="E131" i="45"/>
  <c r="D131" i="45"/>
  <c r="H125" i="45"/>
  <c r="F125" i="45"/>
  <c r="D125" i="45"/>
  <c r="C122" i="45"/>
  <c r="G125" i="45" s="1"/>
  <c r="E115" i="45"/>
  <c r="C101" i="45"/>
  <c r="E101" i="45" s="1"/>
  <c r="C99" i="45"/>
  <c r="C98" i="45"/>
  <c r="C94" i="45"/>
  <c r="C93" i="45"/>
  <c r="D80" i="45"/>
  <c r="E73" i="45"/>
  <c r="E72" i="45"/>
  <c r="G64" i="45"/>
  <c r="C61" i="45"/>
  <c r="G56" i="45"/>
  <c r="E56" i="45"/>
  <c r="G51" i="45"/>
  <c r="E51" i="45"/>
  <c r="F45" i="45"/>
  <c r="G44" i="45"/>
  <c r="F42" i="45"/>
  <c r="E36" i="45"/>
  <c r="E28" i="45"/>
  <c r="E27" i="45"/>
  <c r="D27" i="45"/>
  <c r="C27" i="45"/>
  <c r="D26" i="45"/>
  <c r="E26" i="45" s="1"/>
  <c r="C26" i="45"/>
  <c r="E25" i="45"/>
  <c r="D25" i="45"/>
  <c r="C25" i="45"/>
  <c r="D24" i="45"/>
  <c r="E24" i="45" s="1"/>
  <c r="C63" i="45" s="1"/>
  <c r="C24" i="45"/>
  <c r="C66" i="45" s="1"/>
  <c r="E20" i="45"/>
  <c r="E51" i="44"/>
  <c r="E52" i="44" s="1"/>
  <c r="E50" i="44"/>
  <c r="E42" i="44"/>
  <c r="E43" i="44" s="1"/>
  <c r="E41" i="44"/>
  <c r="E40" i="44"/>
  <c r="D40" i="44"/>
  <c r="E39" i="44"/>
  <c r="C39" i="44"/>
  <c r="F33" i="44"/>
  <c r="F32" i="44"/>
  <c r="D32" i="44"/>
  <c r="B32" i="44"/>
  <c r="B53" i="44" s="1"/>
  <c r="F31" i="44"/>
  <c r="F30" i="44"/>
  <c r="B30" i="44"/>
  <c r="G29" i="44"/>
  <c r="G30" i="44" s="1"/>
  <c r="G31" i="44" s="1"/>
  <c r="G32" i="44" s="1"/>
  <c r="G33" i="44" s="1"/>
  <c r="F29" i="44"/>
  <c r="F22" i="44"/>
  <c r="F21" i="44"/>
  <c r="D21" i="44"/>
  <c r="B21" i="44"/>
  <c r="F20" i="44"/>
  <c r="D20" i="44"/>
  <c r="B20" i="44"/>
  <c r="B31" i="44" s="1"/>
  <c r="B52" i="44" s="1"/>
  <c r="F19" i="44"/>
  <c r="D19" i="44"/>
  <c r="B19" i="44"/>
  <c r="F18" i="44"/>
  <c r="G18" i="44" s="1"/>
  <c r="G19" i="44" s="1"/>
  <c r="G20" i="44" s="1"/>
  <c r="G21" i="44" s="1"/>
  <c r="G22" i="44" s="1"/>
  <c r="D18" i="44"/>
  <c r="B18" i="44"/>
  <c r="C18" i="44" s="1"/>
  <c r="H18" i="44" s="1"/>
  <c r="I18" i="44" s="1"/>
  <c r="J18" i="44" s="1"/>
  <c r="D11" i="44"/>
  <c r="D54" i="44" s="1"/>
  <c r="E8" i="44"/>
  <c r="E9" i="44" s="1"/>
  <c r="E10" i="44" s="1"/>
  <c r="E11" i="44" s="1"/>
  <c r="C8" i="44"/>
  <c r="F8" i="44" s="1"/>
  <c r="G8" i="44" s="1"/>
  <c r="H8" i="44" s="1"/>
  <c r="F7" i="44"/>
  <c r="G7" i="44" s="1"/>
  <c r="H7" i="44" s="1"/>
  <c r="E7" i="44"/>
  <c r="C7" i="44"/>
  <c r="D165" i="43"/>
  <c r="E152" i="43"/>
  <c r="E151" i="43"/>
  <c r="E153" i="43" s="1"/>
  <c r="E154" i="43" s="1"/>
  <c r="E164" i="43" s="1"/>
  <c r="E144" i="43"/>
  <c r="E145" i="43" s="1"/>
  <c r="E142" i="43"/>
  <c r="E143" i="43" s="1"/>
  <c r="E134" i="43"/>
  <c r="D134" i="43"/>
  <c r="F134" i="43" s="1"/>
  <c r="D133" i="43"/>
  <c r="F132" i="43"/>
  <c r="D132" i="43"/>
  <c r="E132" i="43" s="1"/>
  <c r="F131" i="43"/>
  <c r="E131" i="43"/>
  <c r="D131" i="43"/>
  <c r="D136" i="43" s="1"/>
  <c r="G125" i="43"/>
  <c r="H125" i="43" s="1"/>
  <c r="F125" i="43"/>
  <c r="D125" i="43"/>
  <c r="C122" i="43"/>
  <c r="E115" i="43"/>
  <c r="C101" i="43"/>
  <c r="E101" i="43" s="1"/>
  <c r="C99" i="43"/>
  <c r="C98" i="43"/>
  <c r="C94" i="43"/>
  <c r="C93" i="43"/>
  <c r="D80" i="43"/>
  <c r="E73" i="43"/>
  <c r="E72" i="43"/>
  <c r="E65" i="43"/>
  <c r="G56" i="43"/>
  <c r="E56" i="43"/>
  <c r="G51" i="43"/>
  <c r="E51" i="43"/>
  <c r="G50" i="43"/>
  <c r="E50" i="43"/>
  <c r="C50" i="43"/>
  <c r="F45" i="43"/>
  <c r="G44" i="43"/>
  <c r="G43" i="43"/>
  <c r="C43" i="43"/>
  <c r="F42" i="43"/>
  <c r="E36" i="43"/>
  <c r="E28" i="43"/>
  <c r="D27" i="43"/>
  <c r="E27" i="43" s="1"/>
  <c r="C27" i="43"/>
  <c r="D26" i="43"/>
  <c r="C26" i="43"/>
  <c r="E26" i="43" s="1"/>
  <c r="E25" i="43"/>
  <c r="D25" i="43"/>
  <c r="C25" i="43"/>
  <c r="D24" i="43"/>
  <c r="E24" i="43" s="1"/>
  <c r="C24" i="43"/>
  <c r="C66" i="43" s="1"/>
  <c r="C116" i="43" s="1"/>
  <c r="E116" i="43" s="1"/>
  <c r="E20" i="43"/>
  <c r="C63" i="43" l="1"/>
  <c r="E63" i="43" s="1"/>
  <c r="F136" i="43"/>
  <c r="C61" i="43"/>
  <c r="B142" i="43"/>
  <c r="D22" i="43"/>
  <c r="E22" i="43" s="1"/>
  <c r="E37" i="43" s="1"/>
  <c r="E63" i="45"/>
  <c r="C65" i="45"/>
  <c r="E65" i="45" s="1"/>
  <c r="E161" i="43"/>
  <c r="K18" i="44"/>
  <c r="B51" i="44"/>
  <c r="D30" i="44"/>
  <c r="E53" i="44"/>
  <c r="E132" i="45"/>
  <c r="F132" i="45"/>
  <c r="C63" i="46"/>
  <c r="E63" i="46" s="1"/>
  <c r="E37" i="46"/>
  <c r="E134" i="45"/>
  <c r="E136" i="45" s="1"/>
  <c r="F134" i="45"/>
  <c r="F136" i="45" s="1"/>
  <c r="F133" i="43"/>
  <c r="E133" i="43"/>
  <c r="E136" i="43" s="1"/>
  <c r="E162" i="43"/>
  <c r="C19" i="44"/>
  <c r="D31" i="44"/>
  <c r="F39" i="44"/>
  <c r="C40" i="44"/>
  <c r="C41" i="44" s="1"/>
  <c r="C42" i="44" s="1"/>
  <c r="C43" i="44" s="1"/>
  <c r="F43" i="44" s="1"/>
  <c r="C109" i="45"/>
  <c r="E109" i="45" s="1"/>
  <c r="E61" i="45"/>
  <c r="C62" i="45"/>
  <c r="E62" i="45" s="1"/>
  <c r="F42" i="44"/>
  <c r="C62" i="46"/>
  <c r="E62" i="46" s="1"/>
  <c r="E61" i="46"/>
  <c r="G66" i="43"/>
  <c r="E146" i="43"/>
  <c r="E155" i="43"/>
  <c r="E156" i="43" s="1"/>
  <c r="C9" i="44"/>
  <c r="F40" i="44"/>
  <c r="C116" i="45"/>
  <c r="E116" i="45" s="1"/>
  <c r="G66" i="45"/>
  <c r="B29" i="44"/>
  <c r="D22" i="45"/>
  <c r="E22" i="45" s="1"/>
  <c r="E37" i="45" s="1"/>
  <c r="G66" i="46"/>
  <c r="E144" i="46"/>
  <c r="B143" i="46"/>
  <c r="B144" i="46" s="1"/>
  <c r="B145" i="46" s="1"/>
  <c r="C142" i="46"/>
  <c r="C143" i="46" s="1"/>
  <c r="C144" i="46" s="1"/>
  <c r="C145" i="46" s="1"/>
  <c r="D136" i="45"/>
  <c r="F132" i="46"/>
  <c r="F136" i="46" s="1"/>
  <c r="E132" i="46"/>
  <c r="D136" i="46"/>
  <c r="E131" i="46"/>
  <c r="E136" i="46" s="1"/>
  <c r="F50" i="37"/>
  <c r="G50" i="37" s="1"/>
  <c r="M27" i="37"/>
  <c r="M26" i="37"/>
  <c r="M28" i="37" s="1"/>
  <c r="M29" i="37" s="1"/>
  <c r="M30" i="37" s="1"/>
  <c r="F26" i="37" s="1"/>
  <c r="G26" i="37" s="1"/>
  <c r="M40" i="37"/>
  <c r="F33" i="37" s="1"/>
  <c r="G33" i="37" s="1"/>
  <c r="M35" i="37"/>
  <c r="F32" i="37"/>
  <c r="F48" i="37" s="1"/>
  <c r="F49" i="37" s="1"/>
  <c r="G49" i="37" s="1"/>
  <c r="F25" i="37"/>
  <c r="F41" i="37" s="1"/>
  <c r="E24" i="36" l="1"/>
  <c r="I24" i="36" s="1"/>
  <c r="I31" i="36" s="1"/>
  <c r="C107" i="43"/>
  <c r="B146" i="43"/>
  <c r="D92" i="43"/>
  <c r="C55" i="43"/>
  <c r="G55" i="43" s="1"/>
  <c r="C86" i="43"/>
  <c r="J17" i="43"/>
  <c r="C53" i="43"/>
  <c r="G53" i="43" s="1"/>
  <c r="C41" i="43"/>
  <c r="C48" i="43"/>
  <c r="C107" i="45"/>
  <c r="C53" i="45"/>
  <c r="G53" i="45" s="1"/>
  <c r="C55" i="45"/>
  <c r="G55" i="45" s="1"/>
  <c r="D92" i="45"/>
  <c r="B11" i="44"/>
  <c r="C86" i="45"/>
  <c r="C48" i="45"/>
  <c r="C41" i="45"/>
  <c r="G43" i="44"/>
  <c r="I43" i="44"/>
  <c r="F143" i="46"/>
  <c r="G143" i="46" s="1"/>
  <c r="H143" i="46" s="1"/>
  <c r="D29" i="44"/>
  <c r="C29" i="44"/>
  <c r="B50" i="44"/>
  <c r="C50" i="44" s="1"/>
  <c r="E157" i="43"/>
  <c r="E158" i="43" s="1"/>
  <c r="C48" i="46"/>
  <c r="C107" i="46"/>
  <c r="C41" i="46"/>
  <c r="C53" i="46"/>
  <c r="G53" i="46" s="1"/>
  <c r="D92" i="46"/>
  <c r="J17" i="46"/>
  <c r="B146" i="46"/>
  <c r="C86" i="46"/>
  <c r="C55" i="46"/>
  <c r="G55" i="46" s="1"/>
  <c r="E163" i="43"/>
  <c r="C165" i="43"/>
  <c r="E165" i="43" s="1"/>
  <c r="G42" i="44"/>
  <c r="I42" i="44"/>
  <c r="I40" i="44"/>
  <c r="G40" i="44"/>
  <c r="H40" i="44" s="1"/>
  <c r="F142" i="46"/>
  <c r="G142" i="46" s="1"/>
  <c r="H142" i="46" s="1"/>
  <c r="C109" i="46"/>
  <c r="E109" i="46" s="1"/>
  <c r="C20" i="44"/>
  <c r="H19" i="44"/>
  <c r="I19" i="44" s="1"/>
  <c r="J19" i="44" s="1"/>
  <c r="K19" i="44" s="1"/>
  <c r="C142" i="43"/>
  <c r="B143" i="43"/>
  <c r="B144" i="43" s="1"/>
  <c r="B145" i="43" s="1"/>
  <c r="C146" i="46"/>
  <c r="E54" i="44"/>
  <c r="E162" i="46"/>
  <c r="F144" i="46"/>
  <c r="G144" i="46" s="1"/>
  <c r="H144" i="46" s="1"/>
  <c r="E145" i="46"/>
  <c r="F9" i="44"/>
  <c r="G9" i="44" s="1"/>
  <c r="H9" i="44" s="1"/>
  <c r="C10" i="44"/>
  <c r="I39" i="44"/>
  <c r="G39" i="44"/>
  <c r="H39" i="44" s="1"/>
  <c r="C109" i="43"/>
  <c r="E109" i="43" s="1"/>
  <c r="C62" i="43"/>
  <c r="E62" i="43" s="1"/>
  <c r="E61" i="43"/>
  <c r="F41" i="44"/>
  <c r="G32" i="37"/>
  <c r="G34" i="37" s="1"/>
  <c r="G41" i="37"/>
  <c r="F42" i="37"/>
  <c r="G42" i="37" s="1"/>
  <c r="G48" i="37"/>
  <c r="G51" i="37" s="1"/>
  <c r="G25" i="37"/>
  <c r="G27" i="37" s="1"/>
  <c r="E97" i="46" l="1"/>
  <c r="E95" i="46"/>
  <c r="E93" i="46"/>
  <c r="E94" i="46"/>
  <c r="E96" i="46"/>
  <c r="E99" i="46"/>
  <c r="E98" i="46"/>
  <c r="C108" i="46"/>
  <c r="E108" i="46" s="1"/>
  <c r="E107" i="46"/>
  <c r="C45" i="43"/>
  <c r="G45" i="43" s="1"/>
  <c r="C49" i="43"/>
  <c r="C47" i="43"/>
  <c r="C102" i="43"/>
  <c r="E102" i="43" s="1"/>
  <c r="C42" i="43"/>
  <c r="G42" i="43" s="1"/>
  <c r="H20" i="44"/>
  <c r="I20" i="44" s="1"/>
  <c r="J20" i="44" s="1"/>
  <c r="K20" i="44" s="1"/>
  <c r="C21" i="44"/>
  <c r="G48" i="46"/>
  <c r="E48" i="46"/>
  <c r="G41" i="45"/>
  <c r="C117" i="45"/>
  <c r="E95" i="45"/>
  <c r="E97" i="45"/>
  <c r="E94" i="45"/>
  <c r="E93" i="45"/>
  <c r="E96" i="45"/>
  <c r="E98" i="45"/>
  <c r="E99" i="45"/>
  <c r="G48" i="43"/>
  <c r="E48" i="43"/>
  <c r="E161" i="46"/>
  <c r="E155" i="46"/>
  <c r="E156" i="46" s="1"/>
  <c r="E146" i="46"/>
  <c r="F146" i="46" s="1"/>
  <c r="G146" i="46" s="1"/>
  <c r="F145" i="46"/>
  <c r="G145" i="46" s="1"/>
  <c r="H145" i="46" s="1"/>
  <c r="B22" i="44"/>
  <c r="E95" i="43"/>
  <c r="E93" i="43"/>
  <c r="E97" i="43"/>
  <c r="E96" i="43"/>
  <c r="E99" i="43"/>
  <c r="E98" i="43"/>
  <c r="E94" i="43"/>
  <c r="C11" i="44"/>
  <c r="F11" i="44" s="1"/>
  <c r="F10" i="44"/>
  <c r="G10" i="44" s="1"/>
  <c r="H10" i="44" s="1"/>
  <c r="C143" i="43"/>
  <c r="F142" i="43"/>
  <c r="G142" i="43" s="1"/>
  <c r="H142" i="43" s="1"/>
  <c r="C117" i="46"/>
  <c r="G41" i="46"/>
  <c r="C51" i="44"/>
  <c r="G50" i="44"/>
  <c r="H50" i="44" s="1"/>
  <c r="F50" i="44"/>
  <c r="E48" i="45"/>
  <c r="G48" i="45"/>
  <c r="G41" i="43"/>
  <c r="C117" i="43"/>
  <c r="I41" i="44"/>
  <c r="G41" i="44"/>
  <c r="H41" i="44" s="1"/>
  <c r="H42" i="44"/>
  <c r="C42" i="46"/>
  <c r="G42" i="46" s="1"/>
  <c r="C102" i="46"/>
  <c r="E102" i="46" s="1"/>
  <c r="C45" i="46"/>
  <c r="G45" i="46" s="1"/>
  <c r="C49" i="46"/>
  <c r="C47" i="46"/>
  <c r="C30" i="44"/>
  <c r="H29" i="44"/>
  <c r="I29" i="44" s="1"/>
  <c r="J29" i="44" s="1"/>
  <c r="K29" i="44" s="1"/>
  <c r="H43" i="44"/>
  <c r="C108" i="45"/>
  <c r="E108" i="45" s="1"/>
  <c r="E107" i="45"/>
  <c r="C108" i="43"/>
  <c r="E108" i="43" s="1"/>
  <c r="E107" i="43"/>
  <c r="E111" i="43" s="1"/>
  <c r="H34" i="37"/>
  <c r="G43" i="37"/>
  <c r="H51" i="37" s="1"/>
  <c r="E104" i="43" l="1"/>
  <c r="G57" i="43" s="1"/>
  <c r="H146" i="46"/>
  <c r="G64" i="46" s="1"/>
  <c r="C118" i="45"/>
  <c r="E118" i="45" s="1"/>
  <c r="E117" i="45"/>
  <c r="E119" i="45" s="1"/>
  <c r="G82" i="45" s="1"/>
  <c r="C22" i="44"/>
  <c r="H22" i="44" s="1"/>
  <c r="I22" i="44" s="1"/>
  <c r="H21" i="44"/>
  <c r="I21" i="44" s="1"/>
  <c r="J21" i="44" s="1"/>
  <c r="K21" i="44" s="1"/>
  <c r="E104" i="46"/>
  <c r="G57" i="46" s="1"/>
  <c r="E47" i="46"/>
  <c r="E67" i="46" s="1"/>
  <c r="G47" i="46"/>
  <c r="G49" i="43"/>
  <c r="E49" i="43"/>
  <c r="E49" i="46"/>
  <c r="G49" i="46"/>
  <c r="C144" i="43"/>
  <c r="F143" i="43"/>
  <c r="G143" i="43" s="1"/>
  <c r="H143" i="43" s="1"/>
  <c r="G11" i="44"/>
  <c r="E157" i="46"/>
  <c r="E158" i="46" s="1"/>
  <c r="C118" i="43"/>
  <c r="E118" i="43" s="1"/>
  <c r="E117" i="43"/>
  <c r="E119" i="43" s="1"/>
  <c r="G82" i="43" s="1"/>
  <c r="C118" i="46"/>
  <c r="E118" i="46" s="1"/>
  <c r="E117" i="46"/>
  <c r="G51" i="44"/>
  <c r="H51" i="44" s="1"/>
  <c r="C52" i="44"/>
  <c r="F51" i="44"/>
  <c r="E111" i="45"/>
  <c r="H30" i="44"/>
  <c r="I30" i="44" s="1"/>
  <c r="J30" i="44" s="1"/>
  <c r="K30" i="44" s="1"/>
  <c r="C31" i="44"/>
  <c r="G67" i="46"/>
  <c r="G83" i="46" s="1"/>
  <c r="B33" i="44"/>
  <c r="D22" i="44"/>
  <c r="C165" i="46"/>
  <c r="E165" i="46" s="1"/>
  <c r="E163" i="46"/>
  <c r="E47" i="43"/>
  <c r="E67" i="43" s="1"/>
  <c r="G47" i="43"/>
  <c r="E111" i="46"/>
  <c r="J77" i="34"/>
  <c r="J75" i="34"/>
  <c r="E74" i="34"/>
  <c r="E173" i="34"/>
  <c r="F170" i="34"/>
  <c r="E170" i="34"/>
  <c r="C170" i="34"/>
  <c r="D170" i="34" s="1"/>
  <c r="D161" i="34"/>
  <c r="E159" i="34"/>
  <c r="E152" i="34"/>
  <c r="E158" i="34" s="1"/>
  <c r="H150" i="34"/>
  <c r="H148" i="34"/>
  <c r="E146" i="34"/>
  <c r="E144" i="34"/>
  <c r="D136" i="34"/>
  <c r="D134" i="34"/>
  <c r="F134" i="34" s="1"/>
  <c r="F133" i="34"/>
  <c r="D133" i="34"/>
  <c r="E133" i="34" s="1"/>
  <c r="F132" i="34"/>
  <c r="E132" i="34"/>
  <c r="D132" i="34"/>
  <c r="D131" i="34"/>
  <c r="F125" i="34"/>
  <c r="G125" i="34" s="1"/>
  <c r="H125" i="34" s="1"/>
  <c r="D125" i="34"/>
  <c r="C122" i="34"/>
  <c r="C101" i="34"/>
  <c r="E101" i="34" s="1"/>
  <c r="C99" i="34"/>
  <c r="C98" i="34"/>
  <c r="C94" i="34"/>
  <c r="C93" i="34"/>
  <c r="J85" i="34"/>
  <c r="D80" i="34"/>
  <c r="J76" i="34"/>
  <c r="G56" i="34"/>
  <c r="E56" i="34"/>
  <c r="G51" i="34"/>
  <c r="E51" i="34"/>
  <c r="C50" i="34"/>
  <c r="G50" i="34" s="1"/>
  <c r="F45" i="34"/>
  <c r="F44" i="34"/>
  <c r="D44" i="34"/>
  <c r="C43" i="34"/>
  <c r="G43" i="34" s="1"/>
  <c r="F42" i="34"/>
  <c r="D36" i="34"/>
  <c r="C36" i="34"/>
  <c r="E36" i="34" s="1"/>
  <c r="D32" i="34"/>
  <c r="E32" i="34" s="1"/>
  <c r="C32" i="34"/>
  <c r="D27" i="34"/>
  <c r="D26" i="34"/>
  <c r="E26" i="34" s="1"/>
  <c r="C26" i="34"/>
  <c r="D25" i="34"/>
  <c r="E24" i="34"/>
  <c r="D24" i="34"/>
  <c r="C24" i="34"/>
  <c r="D22" i="34"/>
  <c r="C22" i="34"/>
  <c r="E20" i="34"/>
  <c r="E152" i="33"/>
  <c r="E151" i="33"/>
  <c r="E34" i="33"/>
  <c r="E33" i="33"/>
  <c r="E161" i="33"/>
  <c r="E159" i="33"/>
  <c r="E153" i="33"/>
  <c r="E158" i="33"/>
  <c r="D150" i="33"/>
  <c r="H151" i="33"/>
  <c r="H150" i="33"/>
  <c r="E150" i="33"/>
  <c r="E144" i="33"/>
  <c r="E173" i="33"/>
  <c r="F170" i="33"/>
  <c r="E170" i="33"/>
  <c r="H148" i="33"/>
  <c r="C170" i="33" s="1"/>
  <c r="D170" i="33" s="1"/>
  <c r="D134" i="33"/>
  <c r="F134" i="33" s="1"/>
  <c r="F133" i="33"/>
  <c r="D133" i="33"/>
  <c r="E133" i="33" s="1"/>
  <c r="F132" i="33"/>
  <c r="E132" i="33"/>
  <c r="D132" i="33"/>
  <c r="D131" i="33"/>
  <c r="F125" i="33"/>
  <c r="D125" i="33"/>
  <c r="C122" i="33"/>
  <c r="C101" i="33"/>
  <c r="E101" i="33" s="1"/>
  <c r="C99" i="33"/>
  <c r="C98" i="33"/>
  <c r="C94" i="33"/>
  <c r="C93" i="33"/>
  <c r="J85" i="33"/>
  <c r="D80" i="33"/>
  <c r="G56" i="33"/>
  <c r="E56" i="33"/>
  <c r="G51" i="33"/>
  <c r="E51" i="33"/>
  <c r="G50" i="33"/>
  <c r="C50" i="33"/>
  <c r="E50" i="33" s="1"/>
  <c r="F45" i="33"/>
  <c r="F44" i="33"/>
  <c r="D44" i="33"/>
  <c r="G43" i="33"/>
  <c r="C43" i="33"/>
  <c r="F42" i="33"/>
  <c r="E36" i="33"/>
  <c r="D36" i="33"/>
  <c r="C36" i="33"/>
  <c r="C32" i="33"/>
  <c r="D27" i="33"/>
  <c r="D26" i="33"/>
  <c r="E26" i="33" s="1"/>
  <c r="C26" i="33"/>
  <c r="D25" i="33"/>
  <c r="D24" i="33"/>
  <c r="E24" i="33" s="1"/>
  <c r="C24" i="33"/>
  <c r="C22" i="33"/>
  <c r="E20" i="33"/>
  <c r="D22" i="33" s="1"/>
  <c r="E22" i="33" s="1"/>
  <c r="C80" i="32"/>
  <c r="J76" i="32"/>
  <c r="J85" i="32"/>
  <c r="G76" i="32"/>
  <c r="G80" i="32"/>
  <c r="J79" i="32"/>
  <c r="E74" i="32"/>
  <c r="J75" i="32"/>
  <c r="J77" i="32" s="1"/>
  <c r="J72" i="32"/>
  <c r="J71" i="32"/>
  <c r="J70" i="32"/>
  <c r="J69" i="32"/>
  <c r="J73" i="32" s="1"/>
  <c r="E173" i="32"/>
  <c r="F170" i="32"/>
  <c r="E170" i="32"/>
  <c r="E161" i="32"/>
  <c r="C165" i="32" s="1"/>
  <c r="E155" i="32"/>
  <c r="G154" i="32"/>
  <c r="G155" i="32" s="1"/>
  <c r="E152" i="32"/>
  <c r="E151" i="32"/>
  <c r="E153" i="32" s="1"/>
  <c r="E154" i="32" s="1"/>
  <c r="E164" i="32" s="1"/>
  <c r="D165" i="32" s="1"/>
  <c r="E165" i="32" s="1"/>
  <c r="E33" i="32" s="1"/>
  <c r="H150" i="32"/>
  <c r="H152" i="32" s="1"/>
  <c r="D152" i="32" s="1"/>
  <c r="C170" i="32" s="1"/>
  <c r="D170" i="32" s="1"/>
  <c r="E146" i="32"/>
  <c r="E144" i="32"/>
  <c r="E162" i="32" s="1"/>
  <c r="E163" i="32" s="1"/>
  <c r="E34" i="32" s="1"/>
  <c r="D134" i="32"/>
  <c r="F134" i="32" s="1"/>
  <c r="F133" i="32"/>
  <c r="D133" i="32"/>
  <c r="E133" i="32" s="1"/>
  <c r="F132" i="32"/>
  <c r="E132" i="32"/>
  <c r="D132" i="32"/>
  <c r="D131" i="32"/>
  <c r="D136" i="32" s="1"/>
  <c r="F125" i="32"/>
  <c r="G125" i="32" s="1"/>
  <c r="H125" i="32" s="1"/>
  <c r="D125" i="32"/>
  <c r="C122" i="32"/>
  <c r="C101" i="32"/>
  <c r="E101" i="32" s="1"/>
  <c r="C99" i="32"/>
  <c r="C98" i="32"/>
  <c r="C94" i="32"/>
  <c r="C93" i="32"/>
  <c r="D80" i="32"/>
  <c r="G56" i="32"/>
  <c r="E56" i="32"/>
  <c r="G51" i="32"/>
  <c r="E51" i="32"/>
  <c r="C50" i="32"/>
  <c r="G50" i="32" s="1"/>
  <c r="F45" i="32"/>
  <c r="F44" i="32"/>
  <c r="D44" i="32"/>
  <c r="C43" i="32"/>
  <c r="G43" i="32" s="1"/>
  <c r="F42" i="32"/>
  <c r="D36" i="32"/>
  <c r="C36" i="32"/>
  <c r="E36" i="32" s="1"/>
  <c r="D32" i="32"/>
  <c r="C32" i="32"/>
  <c r="E32" i="32" s="1"/>
  <c r="D27" i="32"/>
  <c r="E26" i="32"/>
  <c r="D26" i="32"/>
  <c r="C26" i="32"/>
  <c r="D25" i="32"/>
  <c r="D24" i="32"/>
  <c r="E24" i="32" s="1"/>
  <c r="C24" i="32"/>
  <c r="C22" i="32"/>
  <c r="E20" i="32"/>
  <c r="C87" i="46" l="1"/>
  <c r="C80" i="46" s="1"/>
  <c r="G80" i="46" s="1"/>
  <c r="G76" i="46"/>
  <c r="G81" i="46" s="1"/>
  <c r="C87" i="43"/>
  <c r="C80" i="43" s="1"/>
  <c r="G80" i="43" s="1"/>
  <c r="G76" i="43"/>
  <c r="G81" i="43" s="1"/>
  <c r="K22" i="44"/>
  <c r="C32" i="44"/>
  <c r="H31" i="44"/>
  <c r="I31" i="44" s="1"/>
  <c r="J31" i="44" s="1"/>
  <c r="K31" i="44" s="1"/>
  <c r="G52" i="44"/>
  <c r="H52" i="44" s="1"/>
  <c r="C53" i="44"/>
  <c r="F52" i="44"/>
  <c r="C145" i="43"/>
  <c r="F144" i="43"/>
  <c r="G144" i="43" s="1"/>
  <c r="H144" i="43" s="1"/>
  <c r="D33" i="44"/>
  <c r="B54" i="44"/>
  <c r="J17" i="45"/>
  <c r="H11" i="44"/>
  <c r="J18" i="45" s="1"/>
  <c r="E119" i="46"/>
  <c r="G82" i="46" s="1"/>
  <c r="J22" i="44"/>
  <c r="C161" i="34"/>
  <c r="E160" i="34"/>
  <c r="E34" i="34" s="1"/>
  <c r="G170" i="34"/>
  <c r="H170" i="34" s="1"/>
  <c r="I170" i="34" s="1"/>
  <c r="E22" i="34"/>
  <c r="F131" i="34"/>
  <c r="F136" i="34" s="1"/>
  <c r="E131" i="34"/>
  <c r="E136" i="34" s="1"/>
  <c r="E50" i="34"/>
  <c r="H151" i="34"/>
  <c r="D150" i="34" s="1"/>
  <c r="E150" i="34" s="1"/>
  <c r="E151" i="34" s="1"/>
  <c r="E153" i="34" s="1"/>
  <c r="E134" i="34"/>
  <c r="D32" i="33"/>
  <c r="E32" i="33"/>
  <c r="E160" i="33"/>
  <c r="C161" i="33"/>
  <c r="E146" i="33"/>
  <c r="F131" i="33"/>
  <c r="F136" i="33" s="1"/>
  <c r="E131" i="33"/>
  <c r="E136" i="33" s="1"/>
  <c r="G170" i="33"/>
  <c r="H170" i="33" s="1"/>
  <c r="I170" i="33" s="1"/>
  <c r="G125" i="33"/>
  <c r="H125" i="33" s="1"/>
  <c r="D136" i="33"/>
  <c r="E134" i="33"/>
  <c r="E156" i="32"/>
  <c r="E131" i="32"/>
  <c r="D22" i="32"/>
  <c r="E22" i="32" s="1"/>
  <c r="E50" i="32"/>
  <c r="F131" i="32"/>
  <c r="F136" i="32" s="1"/>
  <c r="E134" i="32"/>
  <c r="G170" i="32"/>
  <c r="H170" i="32" s="1"/>
  <c r="I170" i="32" s="1"/>
  <c r="G53" i="44" l="1"/>
  <c r="H53" i="44" s="1"/>
  <c r="C54" i="44"/>
  <c r="F53" i="44"/>
  <c r="C43" i="45"/>
  <c r="G43" i="45" s="1"/>
  <c r="C50" i="45"/>
  <c r="C49" i="45"/>
  <c r="C47" i="45"/>
  <c r="C45" i="45"/>
  <c r="G45" i="45" s="1"/>
  <c r="C102" i="45"/>
  <c r="E102" i="45" s="1"/>
  <c r="E104" i="45" s="1"/>
  <c r="G57" i="45" s="1"/>
  <c r="C42" i="45"/>
  <c r="G42" i="45" s="1"/>
  <c r="C146" i="43"/>
  <c r="F146" i="43" s="1"/>
  <c r="G146" i="43" s="1"/>
  <c r="H146" i="43" s="1"/>
  <c r="G64" i="43" s="1"/>
  <c r="G67" i="43" s="1"/>
  <c r="G83" i="43" s="1"/>
  <c r="F145" i="43"/>
  <c r="G145" i="43" s="1"/>
  <c r="H145" i="43" s="1"/>
  <c r="C33" i="44"/>
  <c r="H33" i="44" s="1"/>
  <c r="I33" i="44" s="1"/>
  <c r="H32" i="44"/>
  <c r="I32" i="44" s="1"/>
  <c r="J32" i="44" s="1"/>
  <c r="K32" i="44" s="1"/>
  <c r="J15" i="34"/>
  <c r="C27" i="34" s="1"/>
  <c r="E27" i="34" s="1"/>
  <c r="J13" i="34"/>
  <c r="C25" i="34" s="1"/>
  <c r="E155" i="34"/>
  <c r="E33" i="34"/>
  <c r="E154" i="34"/>
  <c r="E161" i="34"/>
  <c r="D161" i="33"/>
  <c r="E154" i="33"/>
  <c r="J15" i="33"/>
  <c r="C27" i="33" s="1"/>
  <c r="E27" i="33" s="1"/>
  <c r="J13" i="33"/>
  <c r="C25" i="33" s="1"/>
  <c r="E157" i="32"/>
  <c r="E158" i="32" s="1"/>
  <c r="J15" i="32"/>
  <c r="C27" i="32" s="1"/>
  <c r="E27" i="32" s="1"/>
  <c r="J13" i="32"/>
  <c r="C25" i="32" s="1"/>
  <c r="E136" i="32"/>
  <c r="G54" i="44" l="1"/>
  <c r="H54" i="44" s="1"/>
  <c r="F54" i="44"/>
  <c r="E50" i="45"/>
  <c r="G50" i="45"/>
  <c r="G47" i="45"/>
  <c r="E47" i="45"/>
  <c r="J33" i="44"/>
  <c r="K33" i="44" s="1"/>
  <c r="G67" i="45"/>
  <c r="G83" i="45" s="1"/>
  <c r="G49" i="45"/>
  <c r="E49" i="45"/>
  <c r="C66" i="34"/>
  <c r="E25" i="34"/>
  <c r="E155" i="33"/>
  <c r="E25" i="33"/>
  <c r="C66" i="33"/>
  <c r="J75" i="33"/>
  <c r="C66" i="32"/>
  <c r="E25" i="32"/>
  <c r="E67" i="45" l="1"/>
  <c r="E37" i="34"/>
  <c r="C65" i="34"/>
  <c r="E65" i="34" s="1"/>
  <c r="C63" i="34"/>
  <c r="E63" i="34" s="1"/>
  <c r="G66" i="34"/>
  <c r="C116" i="34"/>
  <c r="E116" i="34" s="1"/>
  <c r="C116" i="33"/>
  <c r="E116" i="33" s="1"/>
  <c r="G66" i="33"/>
  <c r="J76" i="33"/>
  <c r="J77" i="33"/>
  <c r="C63" i="33"/>
  <c r="E63" i="33" s="1"/>
  <c r="E37" i="33"/>
  <c r="C65" i="33"/>
  <c r="E65" i="33" s="1"/>
  <c r="C65" i="32"/>
  <c r="E65" i="32" s="1"/>
  <c r="E37" i="32"/>
  <c r="C63" i="32"/>
  <c r="E63" i="32" s="1"/>
  <c r="G66" i="32"/>
  <c r="C116" i="32"/>
  <c r="E116" i="32" s="1"/>
  <c r="G76" i="45" l="1"/>
  <c r="C87" i="45"/>
  <c r="C80" i="45" s="1"/>
  <c r="G80" i="45" s="1"/>
  <c r="C55" i="34"/>
  <c r="G55" i="34" s="1"/>
  <c r="C44" i="34"/>
  <c r="C117" i="34"/>
  <c r="C48" i="34"/>
  <c r="J17" i="34"/>
  <c r="C107" i="34"/>
  <c r="D92" i="34"/>
  <c r="C86" i="34"/>
  <c r="C53" i="34"/>
  <c r="G53" i="34" s="1"/>
  <c r="C171" i="34"/>
  <c r="J69" i="34"/>
  <c r="C41" i="34"/>
  <c r="G41" i="34" s="1"/>
  <c r="J69" i="33"/>
  <c r="C53" i="33"/>
  <c r="G53" i="33" s="1"/>
  <c r="C117" i="33"/>
  <c r="C41" i="33"/>
  <c r="G41" i="33" s="1"/>
  <c r="C107" i="33"/>
  <c r="C48" i="33"/>
  <c r="J17" i="33"/>
  <c r="C171" i="33"/>
  <c r="D92" i="33"/>
  <c r="C86" i="33"/>
  <c r="C55" i="33"/>
  <c r="G55" i="33" s="1"/>
  <c r="C44" i="33"/>
  <c r="C48" i="32"/>
  <c r="J17" i="32"/>
  <c r="C171" i="32"/>
  <c r="D92" i="32"/>
  <c r="C44" i="32"/>
  <c r="C117" i="32"/>
  <c r="C53" i="32"/>
  <c r="G53" i="32" s="1"/>
  <c r="C107" i="32"/>
  <c r="C86" i="32"/>
  <c r="C41" i="32"/>
  <c r="G41" i="32" s="1"/>
  <c r="C55" i="32"/>
  <c r="G55" i="32" s="1"/>
  <c r="G81" i="45" l="1"/>
  <c r="E171" i="34"/>
  <c r="F171" i="34" s="1"/>
  <c r="D171" i="34"/>
  <c r="E97" i="34"/>
  <c r="E96" i="34"/>
  <c r="E95" i="34"/>
  <c r="E94" i="34"/>
  <c r="E93" i="34"/>
  <c r="E104" i="34" s="1"/>
  <c r="G57" i="34" s="1"/>
  <c r="E99" i="34"/>
  <c r="E98" i="34"/>
  <c r="C108" i="34"/>
  <c r="E108" i="34" s="1"/>
  <c r="E107" i="34"/>
  <c r="C47" i="34"/>
  <c r="C102" i="34"/>
  <c r="E102" i="34" s="1"/>
  <c r="C42" i="34"/>
  <c r="G42" i="34" s="1"/>
  <c r="C49" i="34"/>
  <c r="C45" i="34"/>
  <c r="G45" i="34" s="1"/>
  <c r="E117" i="34"/>
  <c r="C118" i="34"/>
  <c r="E118" i="34" s="1"/>
  <c r="E48" i="34"/>
  <c r="G48" i="34"/>
  <c r="E44" i="34"/>
  <c r="G44" i="34"/>
  <c r="C108" i="33"/>
  <c r="E108" i="33" s="1"/>
  <c r="E107" i="33"/>
  <c r="G48" i="33"/>
  <c r="E48" i="33"/>
  <c r="G44" i="33"/>
  <c r="E44" i="33"/>
  <c r="E171" i="33"/>
  <c r="F171" i="33" s="1"/>
  <c r="D171" i="33"/>
  <c r="E117" i="33"/>
  <c r="C118" i="33"/>
  <c r="E118" i="33" s="1"/>
  <c r="E97" i="33"/>
  <c r="E96" i="33"/>
  <c r="E95" i="33"/>
  <c r="E94" i="33"/>
  <c r="E99" i="33"/>
  <c r="E93" i="33"/>
  <c r="E98" i="33"/>
  <c r="C49" i="33"/>
  <c r="C102" i="33"/>
  <c r="E102" i="33" s="1"/>
  <c r="C45" i="33"/>
  <c r="G45" i="33" s="1"/>
  <c r="C47" i="33"/>
  <c r="C42" i="33"/>
  <c r="G42" i="33" s="1"/>
  <c r="C61" i="33" s="1"/>
  <c r="E171" i="32"/>
  <c r="F171" i="32" s="1"/>
  <c r="D171" i="32"/>
  <c r="C108" i="32"/>
  <c r="E108" i="32" s="1"/>
  <c r="E107" i="32"/>
  <c r="E117" i="32"/>
  <c r="C118" i="32"/>
  <c r="E118" i="32" s="1"/>
  <c r="C42" i="32"/>
  <c r="G42" i="32" s="1"/>
  <c r="C61" i="32" s="1"/>
  <c r="C102" i="32"/>
  <c r="E102" i="32" s="1"/>
  <c r="C49" i="32"/>
  <c r="C45" i="32"/>
  <c r="G45" i="32" s="1"/>
  <c r="C47" i="32"/>
  <c r="G44" i="32"/>
  <c r="E44" i="32"/>
  <c r="E48" i="32"/>
  <c r="G48" i="32"/>
  <c r="E97" i="32"/>
  <c r="E94" i="32"/>
  <c r="E96" i="32"/>
  <c r="E95" i="32"/>
  <c r="E98" i="32"/>
  <c r="E93" i="32"/>
  <c r="E99" i="32"/>
  <c r="J72" i="34" l="1"/>
  <c r="G49" i="34"/>
  <c r="E49" i="34"/>
  <c r="E119" i="34"/>
  <c r="G82" i="34" s="1"/>
  <c r="C61" i="34"/>
  <c r="G47" i="34"/>
  <c r="G67" i="34" s="1"/>
  <c r="G83" i="34" s="1"/>
  <c r="E47" i="34"/>
  <c r="G171" i="34"/>
  <c r="H171" i="34" s="1"/>
  <c r="I171" i="34" s="1"/>
  <c r="G171" i="33"/>
  <c r="H171" i="33" s="1"/>
  <c r="I171" i="33" s="1"/>
  <c r="G49" i="33"/>
  <c r="E49" i="33"/>
  <c r="G47" i="33"/>
  <c r="E47" i="33"/>
  <c r="E119" i="33"/>
  <c r="G82" i="33" s="1"/>
  <c r="E61" i="33"/>
  <c r="C109" i="33"/>
  <c r="E109" i="33" s="1"/>
  <c r="E111" i="33" s="1"/>
  <c r="C62" i="33"/>
  <c r="E62" i="33" s="1"/>
  <c r="J71" i="33" s="1"/>
  <c r="E104" i="33"/>
  <c r="G57" i="33" s="1"/>
  <c r="J72" i="33"/>
  <c r="E47" i="32"/>
  <c r="G47" i="32"/>
  <c r="C62" i="32"/>
  <c r="E62" i="32" s="1"/>
  <c r="H87" i="32" s="1"/>
  <c r="C109" i="32"/>
  <c r="E109" i="32" s="1"/>
  <c r="E111" i="32" s="1"/>
  <c r="E61" i="32"/>
  <c r="E104" i="32"/>
  <c r="G57" i="32" s="1"/>
  <c r="E67" i="32"/>
  <c r="E49" i="32"/>
  <c r="G49" i="32"/>
  <c r="E119" i="32"/>
  <c r="G82" i="32" s="1"/>
  <c r="G171" i="32"/>
  <c r="H171" i="32" s="1"/>
  <c r="I171" i="32" s="1"/>
  <c r="G64" i="32" s="1"/>
  <c r="C62" i="34" l="1"/>
  <c r="E62" i="34" s="1"/>
  <c r="C109" i="34"/>
  <c r="E109" i="34" s="1"/>
  <c r="E111" i="34" s="1"/>
  <c r="E61" i="34"/>
  <c r="E67" i="34" s="1"/>
  <c r="G67" i="33"/>
  <c r="G83" i="33" s="1"/>
  <c r="E67" i="33"/>
  <c r="J70" i="33" s="1"/>
  <c r="J73" i="33" s="1"/>
  <c r="J79" i="33" s="1"/>
  <c r="C80" i="33" s="1"/>
  <c r="G80" i="33" s="1"/>
  <c r="C87" i="32"/>
  <c r="G81" i="32"/>
  <c r="G67" i="32"/>
  <c r="G83" i="32" s="1"/>
  <c r="J70" i="34" l="1"/>
  <c r="G76" i="34"/>
  <c r="J71" i="34"/>
  <c r="C87" i="34"/>
  <c r="H87" i="34"/>
  <c r="C87" i="33"/>
  <c r="G76" i="33"/>
  <c r="G81" i="33" s="1"/>
  <c r="H87" i="33"/>
  <c r="J73" i="34" l="1"/>
  <c r="J79" i="34" s="1"/>
  <c r="C80" i="34" s="1"/>
  <c r="G80" i="34" s="1"/>
  <c r="G81" i="34" s="1"/>
  <c r="H67" i="23"/>
  <c r="G67" i="23"/>
  <c r="F67" i="23"/>
  <c r="D96" i="23" l="1"/>
  <c r="D95" i="23"/>
  <c r="D94" i="23"/>
  <c r="D93" i="23"/>
  <c r="D92" i="23"/>
  <c r="D91" i="23"/>
  <c r="D90" i="23"/>
  <c r="D89" i="23"/>
  <c r="D88" i="23"/>
  <c r="D87" i="23"/>
  <c r="C87" i="23"/>
  <c r="D86" i="23"/>
  <c r="D85" i="23"/>
  <c r="E85" i="23" s="1"/>
  <c r="G85" i="23" s="1"/>
  <c r="H85" i="23" s="1"/>
  <c r="C85" i="23"/>
  <c r="C86" i="23" s="1"/>
  <c r="E66" i="23"/>
  <c r="C66" i="23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L58" i="23"/>
  <c r="M58" i="23" s="1"/>
  <c r="G58" i="23"/>
  <c r="E58" i="23"/>
  <c r="L57" i="23"/>
  <c r="M57" i="23" s="1"/>
  <c r="G57" i="23"/>
  <c r="E57" i="23"/>
  <c r="L56" i="23"/>
  <c r="M56" i="23" s="1"/>
  <c r="G56" i="23"/>
  <c r="E56" i="23"/>
  <c r="L55" i="23"/>
  <c r="M55" i="23" s="1"/>
  <c r="G55" i="23"/>
  <c r="E55" i="23"/>
  <c r="L54" i="23"/>
  <c r="M54" i="23" s="1"/>
  <c r="G54" i="23"/>
  <c r="E54" i="23"/>
  <c r="L53" i="23"/>
  <c r="M53" i="23" s="1"/>
  <c r="G53" i="23"/>
  <c r="E53" i="23"/>
  <c r="L52" i="23"/>
  <c r="M52" i="23" s="1"/>
  <c r="G52" i="23"/>
  <c r="E52" i="23"/>
  <c r="L51" i="23"/>
  <c r="M51" i="23" s="1"/>
  <c r="G51" i="23"/>
  <c r="E51" i="23"/>
  <c r="L50" i="23"/>
  <c r="M50" i="23" s="1"/>
  <c r="G50" i="23"/>
  <c r="E50" i="23"/>
  <c r="L49" i="23"/>
  <c r="M49" i="23" s="1"/>
  <c r="G49" i="23"/>
  <c r="E49" i="23"/>
  <c r="L48" i="23"/>
  <c r="M48" i="23" s="1"/>
  <c r="G48" i="23"/>
  <c r="E48" i="23"/>
  <c r="L47" i="23"/>
  <c r="M47" i="23" s="1"/>
  <c r="G47" i="23"/>
  <c r="E47" i="23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C47" i="23"/>
  <c r="H47" i="23" s="1"/>
  <c r="I47" i="23" s="1"/>
  <c r="L41" i="23"/>
  <c r="M41" i="23" s="1"/>
  <c r="G41" i="23"/>
  <c r="E41" i="23"/>
  <c r="L40" i="23"/>
  <c r="M40" i="23" s="1"/>
  <c r="G40" i="23"/>
  <c r="E40" i="23"/>
  <c r="L39" i="23"/>
  <c r="M39" i="23" s="1"/>
  <c r="G39" i="23"/>
  <c r="E39" i="23"/>
  <c r="L38" i="23"/>
  <c r="M38" i="23" s="1"/>
  <c r="G38" i="23"/>
  <c r="E38" i="23"/>
  <c r="L37" i="23"/>
  <c r="M37" i="23" s="1"/>
  <c r="G37" i="23"/>
  <c r="E37" i="23"/>
  <c r="L36" i="23"/>
  <c r="M36" i="23" s="1"/>
  <c r="G36" i="23"/>
  <c r="E36" i="23"/>
  <c r="L35" i="23"/>
  <c r="M35" i="23" s="1"/>
  <c r="G35" i="23"/>
  <c r="E35" i="23"/>
  <c r="L34" i="23"/>
  <c r="M34" i="23" s="1"/>
  <c r="G34" i="23"/>
  <c r="E34" i="23"/>
  <c r="L33" i="23"/>
  <c r="M33" i="23" s="1"/>
  <c r="G33" i="23"/>
  <c r="E33" i="23"/>
  <c r="L32" i="23"/>
  <c r="M32" i="23" s="1"/>
  <c r="G32" i="23"/>
  <c r="E32" i="23"/>
  <c r="L31" i="23"/>
  <c r="M31" i="23" s="1"/>
  <c r="G31" i="23"/>
  <c r="E31" i="23"/>
  <c r="L30" i="23"/>
  <c r="M30" i="23" s="1"/>
  <c r="G30" i="23"/>
  <c r="E30" i="23"/>
  <c r="F30" i="23" s="1"/>
  <c r="C30" i="23"/>
  <c r="C31" i="23" s="1"/>
  <c r="D22" i="23"/>
  <c r="D21" i="23"/>
  <c r="D20" i="23"/>
  <c r="B20" i="23"/>
  <c r="D19" i="23"/>
  <c r="D18" i="23"/>
  <c r="D17" i="23"/>
  <c r="D16" i="23"/>
  <c r="D15" i="23"/>
  <c r="D14" i="23"/>
  <c r="D13" i="23"/>
  <c r="B13" i="23"/>
  <c r="D11" i="23"/>
  <c r="D12" i="23" s="1"/>
  <c r="C11" i="23"/>
  <c r="C12" i="23" s="1"/>
  <c r="F31" i="23" l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J47" i="23"/>
  <c r="N47" i="23"/>
  <c r="O47" i="23" s="1"/>
  <c r="P47" i="23" s="1"/>
  <c r="E11" i="23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C13" i="23"/>
  <c r="E67" i="23"/>
  <c r="F66" i="23"/>
  <c r="G66" i="23" s="1"/>
  <c r="H66" i="23" s="1"/>
  <c r="C48" i="23"/>
  <c r="C88" i="23"/>
  <c r="C32" i="23"/>
  <c r="H31" i="23"/>
  <c r="H30" i="23"/>
  <c r="I30" i="23" s="1"/>
  <c r="F85" i="23"/>
  <c r="E86" i="23"/>
  <c r="G86" i="23" s="1"/>
  <c r="H86" i="23" s="1"/>
  <c r="F12" i="23" l="1"/>
  <c r="G12" i="23" s="1"/>
  <c r="H12" i="23" s="1"/>
  <c r="I31" i="23"/>
  <c r="J31" i="23" s="1"/>
  <c r="F11" i="23"/>
  <c r="G11" i="23" s="1"/>
  <c r="H11" i="23" s="1"/>
  <c r="N30" i="23"/>
  <c r="O30" i="23" s="1"/>
  <c r="P30" i="23" s="1"/>
  <c r="J30" i="23"/>
  <c r="E68" i="23"/>
  <c r="E87" i="23"/>
  <c r="F86" i="23"/>
  <c r="C89" i="23"/>
  <c r="C14" i="23"/>
  <c r="F13" i="23"/>
  <c r="G13" i="23" s="1"/>
  <c r="H13" i="23" s="1"/>
  <c r="H32" i="23"/>
  <c r="I32" i="23" s="1"/>
  <c r="C33" i="23"/>
  <c r="H48" i="23"/>
  <c r="I48" i="23" s="1"/>
  <c r="C49" i="23"/>
  <c r="N31" i="23" l="1"/>
  <c r="O31" i="23" s="1"/>
  <c r="P31" i="23" s="1"/>
  <c r="C34" i="23"/>
  <c r="H33" i="23"/>
  <c r="I33" i="23" s="1"/>
  <c r="C90" i="23"/>
  <c r="F68" i="23"/>
  <c r="G68" i="23" s="1"/>
  <c r="H68" i="23" s="1"/>
  <c r="E69" i="23"/>
  <c r="J48" i="23"/>
  <c r="N48" i="23"/>
  <c r="O48" i="23" s="1"/>
  <c r="P48" i="23" s="1"/>
  <c r="F14" i="23"/>
  <c r="G14" i="23" s="1"/>
  <c r="H14" i="23" s="1"/>
  <c r="C15" i="23"/>
  <c r="F87" i="23"/>
  <c r="E88" i="23"/>
  <c r="G87" i="23"/>
  <c r="H87" i="23" s="1"/>
  <c r="N32" i="23"/>
  <c r="O32" i="23" s="1"/>
  <c r="P32" i="23" s="1"/>
  <c r="J32" i="23"/>
  <c r="H49" i="23"/>
  <c r="I49" i="23" s="1"/>
  <c r="C50" i="23"/>
  <c r="C91" i="23" l="1"/>
  <c r="J49" i="23"/>
  <c r="N49" i="23"/>
  <c r="O49" i="23" s="1"/>
  <c r="P49" i="23" s="1"/>
  <c r="E89" i="23"/>
  <c r="F88" i="23"/>
  <c r="G88" i="23"/>
  <c r="H88" i="23" s="1"/>
  <c r="C16" i="23"/>
  <c r="F15" i="23"/>
  <c r="G15" i="23" s="1"/>
  <c r="H15" i="23" s="1"/>
  <c r="E70" i="23"/>
  <c r="F69" i="23"/>
  <c r="G69" i="23" s="1"/>
  <c r="H69" i="23" s="1"/>
  <c r="J33" i="23"/>
  <c r="N33" i="23"/>
  <c r="O33" i="23" s="1"/>
  <c r="P33" i="23" s="1"/>
  <c r="H50" i="23"/>
  <c r="I50" i="23" s="1"/>
  <c r="C51" i="23"/>
  <c r="C35" i="23"/>
  <c r="H34" i="23"/>
  <c r="I34" i="23" s="1"/>
  <c r="H35" i="23" l="1"/>
  <c r="I35" i="23" s="1"/>
  <c r="C36" i="23"/>
  <c r="C17" i="23"/>
  <c r="F16" i="23"/>
  <c r="G16" i="23" s="1"/>
  <c r="H16" i="23" s="1"/>
  <c r="H51" i="23"/>
  <c r="I51" i="23" s="1"/>
  <c r="C52" i="23"/>
  <c r="J50" i="23"/>
  <c r="N50" i="23"/>
  <c r="O50" i="23" s="1"/>
  <c r="P50" i="23" s="1"/>
  <c r="E71" i="23"/>
  <c r="F70" i="23"/>
  <c r="G70" i="23" s="1"/>
  <c r="H70" i="23" s="1"/>
  <c r="C92" i="23"/>
  <c r="J34" i="23"/>
  <c r="N34" i="23"/>
  <c r="O34" i="23" s="1"/>
  <c r="P34" i="23" s="1"/>
  <c r="F89" i="23"/>
  <c r="E90" i="23"/>
  <c r="G89" i="23"/>
  <c r="H89" i="23" s="1"/>
  <c r="E91" i="23" l="1"/>
  <c r="F90" i="23"/>
  <c r="G90" i="23"/>
  <c r="H90" i="23" s="1"/>
  <c r="C93" i="23"/>
  <c r="H52" i="23"/>
  <c r="I52" i="23" s="1"/>
  <c r="C53" i="23"/>
  <c r="H36" i="23"/>
  <c r="I36" i="23" s="1"/>
  <c r="C37" i="23"/>
  <c r="C18" i="23"/>
  <c r="F17" i="23"/>
  <c r="G17" i="23" s="1"/>
  <c r="H17" i="23" s="1"/>
  <c r="E72" i="23"/>
  <c r="F71" i="23"/>
  <c r="G71" i="23" s="1"/>
  <c r="H71" i="23" s="1"/>
  <c r="J51" i="23"/>
  <c r="N51" i="23"/>
  <c r="O51" i="23" s="1"/>
  <c r="P51" i="23" s="1"/>
  <c r="J35" i="23"/>
  <c r="N35" i="23"/>
  <c r="O35" i="23" s="1"/>
  <c r="P35" i="23" s="1"/>
  <c r="H53" i="23" l="1"/>
  <c r="I53" i="23" s="1"/>
  <c r="C54" i="23"/>
  <c r="N36" i="23"/>
  <c r="O36" i="23" s="1"/>
  <c r="P36" i="23" s="1"/>
  <c r="J36" i="23"/>
  <c r="C19" i="23"/>
  <c r="F18" i="23"/>
  <c r="G18" i="23" s="1"/>
  <c r="H18" i="23" s="1"/>
  <c r="J52" i="23"/>
  <c r="N52" i="23"/>
  <c r="O52" i="23" s="1"/>
  <c r="P52" i="23" s="1"/>
  <c r="E73" i="23"/>
  <c r="F72" i="23"/>
  <c r="G72" i="23" s="1"/>
  <c r="H72" i="23" s="1"/>
  <c r="H37" i="23"/>
  <c r="I37" i="23" s="1"/>
  <c r="C38" i="23"/>
  <c r="C94" i="23"/>
  <c r="F91" i="23"/>
  <c r="E92" i="23"/>
  <c r="G91" i="23"/>
  <c r="H91" i="23" s="1"/>
  <c r="E93" i="23" l="1"/>
  <c r="F92" i="23"/>
  <c r="G92" i="23"/>
  <c r="H92" i="23" s="1"/>
  <c r="H38" i="23"/>
  <c r="I38" i="23" s="1"/>
  <c r="C39" i="23"/>
  <c r="H54" i="23"/>
  <c r="I54" i="23" s="1"/>
  <c r="C55" i="23"/>
  <c r="J37" i="23"/>
  <c r="N37" i="23"/>
  <c r="O37" i="23" s="1"/>
  <c r="P37" i="23" s="1"/>
  <c r="C95" i="23"/>
  <c r="F73" i="23"/>
  <c r="G73" i="23" s="1"/>
  <c r="H73" i="23" s="1"/>
  <c r="E74" i="23"/>
  <c r="C20" i="23"/>
  <c r="F19" i="23"/>
  <c r="G19" i="23" s="1"/>
  <c r="H19" i="23" s="1"/>
  <c r="J53" i="23"/>
  <c r="N53" i="23"/>
  <c r="O53" i="23" s="1"/>
  <c r="P53" i="23" s="1"/>
  <c r="J38" i="23" l="1"/>
  <c r="N38" i="23"/>
  <c r="O38" i="23" s="1"/>
  <c r="P38" i="23" s="1"/>
  <c r="J54" i="23"/>
  <c r="N54" i="23"/>
  <c r="O54" i="23" s="1"/>
  <c r="P54" i="23" s="1"/>
  <c r="C96" i="23"/>
  <c r="H55" i="23"/>
  <c r="I55" i="23" s="1"/>
  <c r="C56" i="23"/>
  <c r="F20" i="23"/>
  <c r="G20" i="23" s="1"/>
  <c r="H20" i="23" s="1"/>
  <c r="C21" i="23"/>
  <c r="E75" i="23"/>
  <c r="F74" i="23"/>
  <c r="G74" i="23" s="1"/>
  <c r="H74" i="23" s="1"/>
  <c r="H39" i="23"/>
  <c r="I39" i="23" s="1"/>
  <c r="C40" i="23"/>
  <c r="F93" i="23"/>
  <c r="E94" i="23"/>
  <c r="G93" i="23"/>
  <c r="H93" i="23" s="1"/>
  <c r="J55" i="23" l="1"/>
  <c r="N55" i="23"/>
  <c r="O55" i="23" s="1"/>
  <c r="P55" i="23" s="1"/>
  <c r="E95" i="23"/>
  <c r="F94" i="23"/>
  <c r="G94" i="23"/>
  <c r="H94" i="23" s="1"/>
  <c r="E76" i="23"/>
  <c r="F75" i="23"/>
  <c r="G75" i="23" s="1"/>
  <c r="H75" i="23" s="1"/>
  <c r="H40" i="23"/>
  <c r="I40" i="23" s="1"/>
  <c r="C41" i="23"/>
  <c r="H41" i="23" s="1"/>
  <c r="C22" i="23"/>
  <c r="F22" i="23" s="1"/>
  <c r="F21" i="23"/>
  <c r="G21" i="23" s="1"/>
  <c r="H21" i="23" s="1"/>
  <c r="H56" i="23"/>
  <c r="I56" i="23" s="1"/>
  <c r="C57" i="23"/>
  <c r="J39" i="23"/>
  <c r="N39" i="23"/>
  <c r="O39" i="23" s="1"/>
  <c r="P39" i="23" s="1"/>
  <c r="J56" i="23" l="1"/>
  <c r="N56" i="23"/>
  <c r="O56" i="23" s="1"/>
  <c r="P56" i="23" s="1"/>
  <c r="F95" i="23"/>
  <c r="E96" i="23"/>
  <c r="G95" i="23"/>
  <c r="H95" i="23" s="1"/>
  <c r="J40" i="23"/>
  <c r="N40" i="23"/>
  <c r="O40" i="23" s="1"/>
  <c r="P40" i="23" s="1"/>
  <c r="G22" i="23"/>
  <c r="H22" i="23" s="1"/>
  <c r="F76" i="23"/>
  <c r="G76" i="23" s="1"/>
  <c r="H76" i="23" s="1"/>
  <c r="E77" i="23"/>
  <c r="F77" i="23" s="1"/>
  <c r="G77" i="23" s="1"/>
  <c r="H57" i="23"/>
  <c r="I57" i="23" s="1"/>
  <c r="C58" i="23"/>
  <c r="H58" i="23" s="1"/>
  <c r="I41" i="23"/>
  <c r="I58" i="23" l="1"/>
  <c r="H77" i="23"/>
  <c r="J58" i="23"/>
  <c r="N58" i="23"/>
  <c r="O58" i="23" s="1"/>
  <c r="P58" i="23" s="1"/>
  <c r="F96" i="23"/>
  <c r="G96" i="23"/>
  <c r="H96" i="23" s="1"/>
  <c r="J57" i="23"/>
  <c r="N57" i="23"/>
  <c r="O57" i="23" s="1"/>
  <c r="P57" i="23" s="1"/>
  <c r="J41" i="23"/>
  <c r="N41" i="23"/>
  <c r="O41" i="23" s="1"/>
  <c r="P41" i="23" s="1"/>
</calcChain>
</file>

<file path=xl/sharedStrings.xml><?xml version="1.0" encoding="utf-8"?>
<sst xmlns="http://schemas.openxmlformats.org/spreadsheetml/2006/main" count="1633" uniqueCount="377">
  <si>
    <t>Salaire de base</t>
  </si>
  <si>
    <t>Taux de prélèvement à la source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</si>
  <si>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</si>
  <si>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</si>
  <si>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</si>
  <si>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</si>
  <si>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</si>
  <si>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</si>
  <si>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</si>
  <si>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</si>
  <si>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</si>
  <si>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</si>
  <si>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</si>
  <si>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</si>
  <si>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Effectif</t>
  </si>
  <si>
    <t>Code postal :</t>
  </si>
  <si>
    <t>Taux accident du travail</t>
  </si>
  <si>
    <t>Ville :</t>
  </si>
  <si>
    <t>CP/ Ville</t>
  </si>
  <si>
    <t>N° SIRET :</t>
  </si>
  <si>
    <t>Emploi :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</si>
  <si>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</si>
  <si>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</si>
  <si>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</si>
  <si>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</si>
  <si>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</si>
  <si>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</si>
  <si>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</si>
  <si>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</si>
  <si>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</si>
  <si>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</si>
  <si>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</si>
  <si>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</si>
  <si>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</si>
  <si>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</si>
  <si>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</si>
  <si>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</si>
  <si>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</si>
  <si>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</si>
  <si>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</si>
  <si>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</si>
  <si>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</si>
  <si>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</si>
  <si>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</si>
  <si>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</si>
  <si>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</si>
  <si>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</si>
  <si>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</si>
  <si>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</si>
  <si>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</si>
  <si>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</si>
  <si>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Retenues pour congés payés</t>
  </si>
  <si>
    <t>Retenue absence arrêt de travail</t>
  </si>
  <si>
    <t xml:space="preserve">IJSS </t>
  </si>
  <si>
    <t>Maintien de salaire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</si>
  <si>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</si>
  <si>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</si>
  <si>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</si>
  <si>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</si>
  <si>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</si>
  <si>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</si>
  <si>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</si>
  <si>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</si>
  <si>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</si>
  <si>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</si>
  <si>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</si>
  <si>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</si>
  <si>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</si>
  <si>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</si>
  <si>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</si>
  <si>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</si>
  <si>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</si>
  <si>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</si>
  <si>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</si>
  <si>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</si>
  <si>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</si>
  <si>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</si>
  <si>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</si>
  <si>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</si>
  <si>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</si>
  <si>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</si>
  <si>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</si>
  <si>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</si>
  <si>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</si>
  <si>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</si>
  <si>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</si>
  <si>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</si>
  <si>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</si>
  <si>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</si>
  <si>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</si>
  <si>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</si>
  <si>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</si>
  <si>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</si>
  <si>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</si>
  <si>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</si>
  <si>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</si>
  <si>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</si>
  <si>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personnalisé</t>
  </si>
  <si>
    <t>Impôt sur le revenu prélevé à la source</t>
  </si>
  <si>
    <t xml:space="preserve">Net payé en euros                                  </t>
  </si>
  <si>
    <t>NET FISCAL</t>
  </si>
  <si>
    <t>Allègement de cotisations 
employeur</t>
  </si>
  <si>
    <t xml:space="preserve">Payé le </t>
  </si>
  <si>
    <t>Total versé</t>
  </si>
  <si>
    <t>par l'employeur</t>
  </si>
  <si>
    <t>Mois en cours</t>
  </si>
  <si>
    <t>Cumuls annuel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</si>
  <si>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</si>
  <si>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</si>
  <si>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</si>
  <si>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</si>
  <si>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</si>
  <si>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</si>
  <si>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</si>
  <si>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</si>
  <si>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</si>
  <si>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</si>
  <si>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</si>
  <si>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</si>
  <si>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Maladie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</si>
  <si>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</si>
  <si>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</si>
  <si>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</si>
  <si>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</si>
  <si>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</si>
  <si>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</si>
  <si>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</si>
  <si>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</si>
  <si>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ARRET DE TRAVAIL MALADIE</t>
  </si>
  <si>
    <t>Retenues sur salaires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</si>
  <si>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</si>
  <si>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</si>
  <si>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</si>
  <si>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</si>
  <si>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</si>
  <si>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</si>
  <si>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</si>
  <si>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</si>
  <si>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</si>
  <si>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</si>
  <si>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</si>
  <si>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</si>
  <si>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</si>
  <si>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</si>
  <si>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</si>
  <si>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</si>
  <si>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</si>
  <si>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</si>
  <si>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</si>
  <si>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</si>
  <si>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</si>
  <si>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</si>
  <si>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</si>
  <si>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</si>
  <si>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</si>
  <si>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</si>
  <si>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</si>
  <si>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</si>
  <si>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</si>
  <si>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</si>
  <si>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février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</si>
  <si>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</si>
  <si>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</si>
  <si>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</si>
  <si>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</si>
  <si>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</si>
  <si>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</si>
  <si>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</si>
  <si>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</si>
  <si>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Regularisation mensuelle progressive des cotisations de maladie</t>
  </si>
  <si>
    <t>2,5 SMIC</t>
  </si>
  <si>
    <t>CUMUL 2,5 SMIC</t>
  </si>
  <si>
    <t>Assiette 6%
Cumulée</t>
  </si>
  <si>
    <t>Assiette 6%
du mois</t>
  </si>
  <si>
    <t>Regularisation mensuelle progressive des cotisations d'allocations familiales</t>
  </si>
  <si>
    <t>3,5 SMIC</t>
  </si>
  <si>
    <t>CUMUL 3,5 SMIC</t>
  </si>
  <si>
    <t>Assiette 1,80%
Cumulée</t>
  </si>
  <si>
    <t>Assiette 1,8%
du mois</t>
  </si>
  <si>
    <t>Cotisation
Familiale
totale</t>
  </si>
  <si>
    <t>ALLEGEMENT GENERAL DE COTISATIONS = ALLEGEMENT FILLON</t>
  </si>
  <si>
    <t>Regularisation mensuelle progressive de la cotisation CET</t>
  </si>
  <si>
    <t>CET à payer</t>
  </si>
  <si>
    <t>CET 
cumulées</t>
  </si>
  <si>
    <t>Total</t>
  </si>
  <si>
    <t>Assiette 
 7%</t>
  </si>
  <si>
    <t>Cotisation Patronale
maladie</t>
  </si>
  <si>
    <t>Assiette 
 3,45%</t>
  </si>
  <si>
    <t>Assiette CET 
du mois</t>
  </si>
  <si>
    <t>Synthèse de la cotisation principale et de son complément</t>
  </si>
  <si>
    <t>Salaire bruts</t>
  </si>
  <si>
    <t>Cotisation
de 7%</t>
  </si>
  <si>
    <t>Assiette de cotisation complémentaire de 6%</t>
  </si>
  <si>
    <t>Cotisation
de 6%</t>
  </si>
  <si>
    <t>Cotisation
de 3,45%</t>
  </si>
  <si>
    <t>Assiette de cotisation complémentaire de1,8%</t>
  </si>
  <si>
    <t>Cotisation
de 1,8%</t>
  </si>
  <si>
    <t>1er cas</t>
  </si>
  <si>
    <t>ARRET DE TRAVAIL</t>
  </si>
  <si>
    <t>Salaire de base en 2022</t>
  </si>
  <si>
    <t>Salaire de base en 2021</t>
  </si>
  <si>
    <t>Treizième mois en décembre 21</t>
  </si>
  <si>
    <t>Prime exceptionnelle en janvier 22</t>
  </si>
  <si>
    <t>14 salariés</t>
  </si>
  <si>
    <t>Prélèvement à la source</t>
  </si>
  <si>
    <t>Mutuelle salariale</t>
  </si>
  <si>
    <t>1,1% sur brut</t>
  </si>
  <si>
    <t>Mutuelle patronale</t>
  </si>
  <si>
    <t>1,5% sur brut</t>
  </si>
  <si>
    <t>Maladie sans subrogation</t>
  </si>
  <si>
    <t>Maintien selon la loi de mensualisation</t>
  </si>
  <si>
    <t>Retenues sur la base des jours calendaires</t>
  </si>
  <si>
    <t>2ème cas</t>
  </si>
  <si>
    <t>Idem cas numéro 1 mais avec subrogation</t>
  </si>
  <si>
    <t>3ème cas</t>
  </si>
  <si>
    <t>4eme cas</t>
  </si>
  <si>
    <t>5ème cas</t>
  </si>
  <si>
    <t>6ème cas</t>
  </si>
  <si>
    <t>Heures supplémentaires en janvier</t>
  </si>
  <si>
    <t>3 heures supplémentaires</t>
  </si>
  <si>
    <t>Idem cas numéro 2 mais avec retenue sur salaire calculée en jours réels et non calendaires</t>
  </si>
  <si>
    <t>Taux de versement de mobilité</t>
  </si>
  <si>
    <t>Le versement de mobilité ne peut pas être appliqué car l'effectif est inférieur à 11 salariés.</t>
  </si>
  <si>
    <t>Gérant</t>
  </si>
  <si>
    <t>Durée hebdomadaire</t>
  </si>
  <si>
    <t>Taux de la prime d'ancienneté</t>
  </si>
  <si>
    <t>Salaire minimum de la catégorie du salarié SMIC</t>
  </si>
  <si>
    <t>Indemnité pour congés payés</t>
  </si>
  <si>
    <t>Frais de déplacement professionnel</t>
  </si>
  <si>
    <t>Formation : %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</si>
  <si>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</si>
  <si>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</si>
  <si>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</si>
  <si>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</si>
  <si>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</si>
  <si>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</si>
  <si>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</si>
  <si>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</si>
  <si>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</si>
  <si>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</si>
  <si>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</si>
  <si>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</si>
  <si>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Nombre de jours d'arret pris en charge</t>
  </si>
  <si>
    <t>COEFF</t>
  </si>
  <si>
    <t xml:space="preserve">CSG non déductible </t>
  </si>
  <si>
    <t>Salaire imposable</t>
  </si>
  <si>
    <t>IJSS NETTES</t>
  </si>
  <si>
    <t>IJSS brutes</t>
  </si>
  <si>
    <t>IJSS imposables</t>
  </si>
  <si>
    <t>Assiette prélèvement à la source</t>
  </si>
  <si>
    <t>ARRET DE TRAVAIL ACCIDENT DU TRAVAIL</t>
  </si>
  <si>
    <t>Accident du travail</t>
  </si>
  <si>
    <t>Décembre</t>
  </si>
  <si>
    <t>novembre</t>
  </si>
  <si>
    <t>décembre</t>
  </si>
  <si>
    <t>hs</t>
  </si>
  <si>
    <t>prime</t>
  </si>
  <si>
    <t>17-3</t>
  </si>
  <si>
    <t>17-7</t>
  </si>
  <si>
    <t>10,48*151,6666*1,8</t>
  </si>
  <si>
    <t>Apprentissage : 0,59%</t>
  </si>
  <si>
    <t>CSG déductibble 3,80%</t>
  </si>
  <si>
    <t>NON DEDUCTIBLE</t>
  </si>
  <si>
    <t>DEDUCTIBLE</t>
  </si>
  <si>
    <t>Accident du travail sans subrogation</t>
  </si>
  <si>
    <t>prorata 13eme mois</t>
  </si>
  <si>
    <t>JANVIER</t>
  </si>
  <si>
    <t>IJSS imposables : 50%</t>
  </si>
  <si>
    <t>DONNEES DE CE CAS</t>
  </si>
  <si>
    <t>5EME SEMAINE</t>
  </si>
  <si>
    <t>JOURS OUVRABLES MOYENS</t>
  </si>
  <si>
    <t>26/MOIS</t>
  </si>
  <si>
    <t xml:space="preserve">PERIODE PRINCIPALE </t>
  </si>
  <si>
    <t>En maintien</t>
  </si>
  <si>
    <t>REGULARISATION SUR 5EME SEMAINE</t>
  </si>
  <si>
    <t>Salaire 2020</t>
  </si>
  <si>
    <t>Salaire 2021</t>
  </si>
  <si>
    <t>Salaire 2022</t>
  </si>
  <si>
    <t>COMPARAISON ENTRE LES DEUX SYSTEMES</t>
  </si>
  <si>
    <t>1) APPLICATION SYSTEMATIQUE DE COMPARAISON ENTRE MAINTIEN ET DIXIEME</t>
  </si>
  <si>
    <t>2) 4 SEMAINES EN MAINTIEN PUIS LA REGULARISATION DES 5 SEMAINES EN 10EME</t>
  </si>
  <si>
    <t>COMPARAISON DES DEUX</t>
  </si>
  <si>
    <t>REGLE DU DIXIEME</t>
  </si>
  <si>
    <t>Période de référence du 1/6/20 au 31/5/21</t>
  </si>
  <si>
    <t>Retenue sur salaire</t>
  </si>
  <si>
    <t>Indemnité de CP</t>
  </si>
  <si>
    <t>Salaires du 1/6/20 au 31/12/20</t>
  </si>
  <si>
    <t>BRUT</t>
  </si>
  <si>
    <t>Salaires du 1/1/21 au 31/5/21</t>
  </si>
  <si>
    <t>TOTAL</t>
  </si>
  <si>
    <t>1/10</t>
  </si>
  <si>
    <t>2810/30</t>
  </si>
  <si>
    <t>Salaire</t>
  </si>
  <si>
    <t>par jour</t>
  </si>
  <si>
    <t>2400/26</t>
  </si>
  <si>
    <t>2500/26</t>
  </si>
  <si>
    <t>Régularisation au 1/10</t>
  </si>
  <si>
    <t>4 eme semaine 24 jours ouvrables</t>
  </si>
  <si>
    <t>5 MOIS * 3050</t>
  </si>
  <si>
    <t>REGLE DU MAINTIEN EN AOUT 21</t>
  </si>
  <si>
    <t>REGLE DU MAINTIEN EN JANVIER 22</t>
  </si>
  <si>
    <t>SALAIRE DE AOUT 21</t>
  </si>
  <si>
    <t>7 MOIS *3000</t>
  </si>
  <si>
    <t>SALAIRE DE JANVIER 22</t>
  </si>
  <si>
    <t>Vérification : Et si tous tous les calculs avaient été faits en comparant systématiquement les règles du maintien et du dixième, aurions-nous obtenus les mêmes résultats en cumuls des mois de mars et aour ????</t>
  </si>
  <si>
    <t>DONNEES</t>
  </si>
  <si>
    <t>Prime en avril</t>
  </si>
  <si>
    <t>Férié chômé</t>
  </si>
  <si>
    <t>Prime de rendement en février</t>
  </si>
  <si>
    <t>Prime de rendement en mars</t>
  </si>
  <si>
    <t>Prime de rendement en avril</t>
  </si>
  <si>
    <t>Prime de rendement en mai</t>
  </si>
  <si>
    <t>Prime de froid en janvier</t>
  </si>
  <si>
    <t>Prime dimanches</t>
  </si>
  <si>
    <t>Heures bonifiées du dimanche</t>
  </si>
  <si>
    <t>Abonnement transport</t>
  </si>
  <si>
    <t>IJSS</t>
  </si>
  <si>
    <t>Apprentissage : 0,68%</t>
  </si>
  <si>
    <t>21-3</t>
  </si>
  <si>
    <t>Jours rémunérés</t>
  </si>
  <si>
    <t>31-3</t>
  </si>
  <si>
    <t>prime ancienneté = 4 000 * 6%</t>
  </si>
  <si>
    <t>prime ancienneté = 4 000 * 7%</t>
  </si>
  <si>
    <t>FÉVRIER</t>
  </si>
  <si>
    <t>MARS</t>
  </si>
  <si>
    <t>AVRIL</t>
  </si>
  <si>
    <t>MAI</t>
  </si>
  <si>
    <t>3428*27/31</t>
  </si>
  <si>
    <t xml:space="preserve">Complément
6% </t>
  </si>
  <si>
    <t>Assiette cumulé
6%</t>
  </si>
  <si>
    <t>Patronale
maladie</t>
  </si>
  <si>
    <t xml:space="preserve">Complément
1,8% </t>
  </si>
  <si>
    <t>Assiette cumulée
1,8%</t>
  </si>
  <si>
    <t xml:space="preserve">ALLEGEMENT GENERAL DE COTISATIONS </t>
  </si>
  <si>
    <t>Remarque</t>
  </si>
  <si>
    <t>5eme semaine</t>
  </si>
  <si>
    <t>REGLE DU MAINTIEN EN JUILLET</t>
  </si>
  <si>
    <t>Règle du dixième</t>
  </si>
  <si>
    <t>Régularisation</t>
  </si>
  <si>
    <t>Nombre de jours</t>
  </si>
  <si>
    <t>REGLE DU MAINTIEN EN MARS</t>
  </si>
  <si>
    <t>CALCUL</t>
  </si>
  <si>
    <t>1) Retenue sur salaire en mars 22</t>
  </si>
  <si>
    <t>2) Règle du dixième</t>
  </si>
  <si>
    <t xml:space="preserve">3 ) Calculer des taux de maintien </t>
  </si>
  <si>
    <t>REGUL 1/10</t>
  </si>
  <si>
    <t>13 eme mois en décembre 20</t>
  </si>
  <si>
    <t>13 eme mois en décembre 21</t>
  </si>
  <si>
    <t>Prime de rendement en janvier 22</t>
  </si>
  <si>
    <t>CP 4 semaines 24 jours ouvrables</t>
  </si>
  <si>
    <t>((7*2100)+220</t>
  </si>
  <si>
    <t>(5*2200)</t>
  </si>
  <si>
    <t>Les primes exceptionnelles et primes de rendement n'entrent pas en ligne de compte</t>
  </si>
  <si>
    <t>Premier cas</t>
  </si>
  <si>
    <t>Etablir le bulletin du mois de mars</t>
  </si>
  <si>
    <t>Modes de calcul des congés</t>
  </si>
  <si>
    <t>Selon la règle stricte du droit du travail par comparaison systématique entre les règles du maintien et du dixième</t>
  </si>
  <si>
    <t>Deuxième cas</t>
  </si>
  <si>
    <t>Troisième cas</t>
  </si>
  <si>
    <t>EFFECTIF</t>
  </si>
  <si>
    <t>Salaire de base 2021</t>
  </si>
  <si>
    <t>MUTUELLE SALARIALE</t>
  </si>
  <si>
    <t>MUTUELLE PATRONALE</t>
  </si>
  <si>
    <t xml:space="preserve">DONNEES </t>
  </si>
  <si>
    <t>Le congé principal est déterminé selon la règle du maintien et la régularisation entre les règles de maintien et dixième s'effectue à la prise de la 5eme semaine</t>
  </si>
  <si>
    <t>1% du salaire brut</t>
  </si>
  <si>
    <t>92 Salariés</t>
  </si>
  <si>
    <t>Prime de rendement en septembre 20</t>
  </si>
  <si>
    <t>Prime de froid en décembre 21</t>
  </si>
  <si>
    <t>Prime exceptionnelle en juin 21</t>
  </si>
  <si>
    <t>Salaire de base en  2022</t>
  </si>
  <si>
    <t>Taux d'accident du travail</t>
  </si>
  <si>
    <t>Taux de la contribution mobilité</t>
  </si>
  <si>
    <t>26 jours /MOIS</t>
  </si>
  <si>
    <t>2% du salaire brut</t>
  </si>
  <si>
    <t>Etablir les bulletins des mois de mars et de mai</t>
  </si>
  <si>
    <t>Le congé principal est déterminé selon la règle du maintien et la régularisation entre les règles de maintien et dixième s'effectue au mois de mai de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</si>
</sst>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mmmm"/>
    <numFmt numFmtId="172" formatCode="#,##0.00\ [$€-40C];[Red]\-#,##0.00\ [$€-40C]"/>
    <numFmt numFmtId="173" formatCode="[$-F800]dddd\,\ mmmm\ dd\,\ yyyy"/>
    <numFmt numFmtId="174" formatCode="_-* #,##0_-;\-* #,##0_-;_-* &quot;-&quot;??_-;_-@_-"/>
    <numFmt numFmtId="175" formatCode="_-* #,##0.0000_-;\-* #,##0.00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615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7" fillId="3" borderId="12" xfId="4" applyFont="1" applyFill="1" applyBorder="1" applyAlignment="1">
      <alignment horizontal="centerContinuous" vertical="center"/>
    </xf>
    <xf numFmtId="0" fontId="8" fillId="3" borderId="13" xfId="0" applyFont="1" applyFill="1" applyBorder="1" applyAlignment="1">
      <alignment horizontal="centerContinuous" vertical="center"/>
    </xf>
    <xf numFmtId="0" fontId="8" fillId="3" borderId="14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1" xfId="4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6" fillId="0" borderId="4" xfId="4" applyNumberForma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4" fontId="8" fillId="0" borderId="3" xfId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8" fontId="8" fillId="0" borderId="6" xfId="0" applyNumberFormat="1" applyFont="1" applyBorder="1" applyAlignment="1">
      <alignment vertical="center"/>
    </xf>
    <xf numFmtId="9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4" borderId="10" xfId="4" applyFont="1" applyFill="1" applyBorder="1" applyAlignment="1">
      <alignment horizontal="center" vertical="center"/>
    </xf>
    <xf numFmtId="0" fontId="10" fillId="4" borderId="19" xfId="4" applyFont="1" applyFill="1" applyBorder="1" applyAlignment="1">
      <alignment horizontal="center" vertical="center"/>
    </xf>
    <xf numFmtId="44" fontId="11" fillId="0" borderId="6" xfId="1" applyFont="1" applyFill="1" applyBorder="1" applyAlignment="1">
      <alignment vertical="center"/>
    </xf>
    <xf numFmtId="0" fontId="7" fillId="3" borderId="10" xfId="4" applyFont="1" applyFill="1" applyBorder="1" applyAlignment="1">
      <alignment horizontal="centerContinuous" vertical="center"/>
    </xf>
    <xf numFmtId="0" fontId="8" fillId="3" borderId="19" xfId="0" applyFont="1" applyFill="1" applyBorder="1" applyAlignment="1">
      <alignment horizontal="centerContinuous" vertical="center"/>
    </xf>
    <xf numFmtId="0" fontId="8" fillId="3" borderId="11" xfId="0" applyFont="1" applyFill="1" applyBorder="1" applyAlignment="1">
      <alignment horizontal="centerContinuous" vertical="center"/>
    </xf>
    <xf numFmtId="44" fontId="11" fillId="0" borderId="6" xfId="0" applyNumberFormat="1" applyFont="1" applyBorder="1" applyAlignment="1">
      <alignment vertical="center"/>
    </xf>
    <xf numFmtId="0" fontId="10" fillId="0" borderId="20" xfId="4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2" fontId="8" fillId="0" borderId="2" xfId="0" applyNumberFormat="1" applyFont="1" applyBorder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44" fontId="8" fillId="6" borderId="3" xfId="1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2" fontId="8" fillId="0" borderId="22" xfId="0" applyNumberFormat="1" applyFont="1" applyBorder="1" applyAlignment="1">
      <alignment vertical="center"/>
    </xf>
    <xf numFmtId="166" fontId="8" fillId="0" borderId="22" xfId="0" applyNumberFormat="1" applyFont="1" applyBorder="1" applyAlignment="1">
      <alignment horizontal="right" vertical="center"/>
    </xf>
    <xf numFmtId="44" fontId="8" fillId="6" borderId="24" xfId="1" applyFont="1" applyFill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44" fontId="8" fillId="6" borderId="6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67" fontId="8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/>
    </xf>
    <xf numFmtId="167" fontId="8" fillId="6" borderId="26" xfId="0" applyNumberFormat="1" applyFont="1" applyFill="1" applyBorder="1" applyAlignment="1">
      <alignment vertical="center"/>
    </xf>
    <xf numFmtId="44" fontId="8" fillId="6" borderId="18" xfId="1" applyFont="1" applyFill="1" applyBorder="1" applyAlignment="1">
      <alignment vertical="center"/>
    </xf>
    <xf numFmtId="44" fontId="12" fillId="7" borderId="29" xfId="1" applyFont="1" applyFill="1" applyBorder="1" applyAlignment="1">
      <alignment horizontal="right" vertical="center" wrapText="1"/>
    </xf>
    <xf numFmtId="9" fontId="11" fillId="0" borderId="29" xfId="0" applyNumberFormat="1" applyFont="1" applyBorder="1" applyAlignment="1">
      <alignment vertical="center"/>
    </xf>
    <xf numFmtId="44" fontId="11" fillId="0" borderId="30" xfId="1" applyFont="1" applyBorder="1" applyAlignment="1">
      <alignment vertical="center"/>
    </xf>
    <xf numFmtId="9" fontId="11" fillId="6" borderId="0" xfId="0" applyNumberFormat="1" applyFont="1" applyFill="1" applyAlignment="1">
      <alignment vertical="center"/>
    </xf>
    <xf numFmtId="44" fontId="8" fillId="6" borderId="31" xfId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9" fillId="7" borderId="37" xfId="0" applyFont="1" applyFill="1" applyBorder="1" applyAlignment="1">
      <alignment horizontal="left" vertical="center" wrapText="1" readingOrder="1"/>
    </xf>
    <xf numFmtId="0" fontId="12" fillId="8" borderId="29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 readingOrder="1"/>
    </xf>
    <xf numFmtId="0" fontId="18" fillId="8" borderId="40" xfId="0" applyFont="1" applyFill="1" applyBorder="1" applyAlignment="1">
      <alignment horizontal="center" vertical="center" wrapText="1" readingOrder="1"/>
    </xf>
    <xf numFmtId="0" fontId="12" fillId="7" borderId="29" xfId="0" applyFont="1" applyFill="1" applyBorder="1" applyAlignment="1">
      <alignment vertical="center" wrapText="1"/>
    </xf>
    <xf numFmtId="44" fontId="12" fillId="7" borderId="29" xfId="1" applyFont="1" applyFill="1" applyBorder="1" applyAlignment="1">
      <alignment vertical="center" wrapText="1"/>
    </xf>
    <xf numFmtId="10" fontId="19" fillId="7" borderId="29" xfId="0" applyNumberFormat="1" applyFont="1" applyFill="1" applyBorder="1" applyAlignment="1">
      <alignment horizontal="center" vertical="center" wrapText="1" readingOrder="1"/>
    </xf>
    <xf numFmtId="44" fontId="19" fillId="7" borderId="29" xfId="1" applyFont="1" applyFill="1" applyBorder="1" applyAlignment="1">
      <alignment horizontal="right" vertical="center" wrapText="1" readingOrder="1"/>
    </xf>
    <xf numFmtId="168" fontId="19" fillId="7" borderId="40" xfId="1" applyNumberFormat="1" applyFont="1" applyFill="1" applyBorder="1" applyAlignment="1">
      <alignment horizontal="right" vertical="center" wrapText="1" readingOrder="1"/>
    </xf>
    <xf numFmtId="0" fontId="18" fillId="7" borderId="28" xfId="0" applyFont="1" applyFill="1" applyBorder="1" applyAlignment="1">
      <alignment horizontal="left" vertical="center" wrapText="1" readingOrder="1"/>
    </xf>
    <xf numFmtId="0" fontId="19" fillId="7" borderId="29" xfId="0" applyFont="1" applyFill="1" applyBorder="1" applyAlignment="1">
      <alignment horizontal="center" vertical="center" wrapText="1" readingOrder="1"/>
    </xf>
    <xf numFmtId="168" fontId="12" fillId="7" borderId="40" xfId="1" applyNumberFormat="1" applyFont="1" applyFill="1" applyBorder="1" applyAlignment="1">
      <alignment horizontal="right" vertical="center" wrapText="1"/>
    </xf>
    <xf numFmtId="168" fontId="19" fillId="7" borderId="29" xfId="0" applyNumberFormat="1" applyFont="1" applyFill="1" applyBorder="1" applyAlignment="1">
      <alignment horizontal="center" vertical="center" wrapText="1" readingOrder="1"/>
    </xf>
    <xf numFmtId="168" fontId="19" fillId="7" borderId="29" xfId="0" applyNumberFormat="1" applyFont="1" applyFill="1" applyBorder="1" applyAlignment="1">
      <alignment horizontal="right" vertical="center" wrapText="1" readingOrder="1"/>
    </xf>
    <xf numFmtId="0" fontId="18" fillId="7" borderId="29" xfId="0" applyFont="1" applyFill="1" applyBorder="1" applyAlignment="1">
      <alignment horizontal="center" vertical="center" wrapText="1" readingOrder="1"/>
    </xf>
    <xf numFmtId="44" fontId="18" fillId="7" borderId="29" xfId="1" applyFont="1" applyFill="1" applyBorder="1" applyAlignment="1">
      <alignment horizontal="right" vertical="center" wrapText="1" readingOrder="1"/>
    </xf>
    <xf numFmtId="44" fontId="18" fillId="7" borderId="40" xfId="1" applyFont="1" applyFill="1" applyBorder="1" applyAlignment="1">
      <alignment horizontal="right" vertical="center" wrapText="1" readingOrder="1"/>
    </xf>
    <xf numFmtId="44" fontId="12" fillId="2" borderId="42" xfId="1" applyFont="1" applyFill="1" applyBorder="1" applyAlignment="1">
      <alignment horizontal="right" vertical="center" wrapText="1"/>
    </xf>
    <xf numFmtId="0" fontId="18" fillId="9" borderId="27" xfId="0" applyFont="1" applyFill="1" applyBorder="1" applyAlignment="1">
      <alignment horizontal="center" vertical="center" wrapText="1" readingOrder="1"/>
    </xf>
    <xf numFmtId="0" fontId="18" fillId="9" borderId="44" xfId="0" applyFont="1" applyFill="1" applyBorder="1" applyAlignment="1">
      <alignment horizontal="right" vertical="center" wrapText="1" readingOrder="1"/>
    </xf>
    <xf numFmtId="44" fontId="12" fillId="7" borderId="46" xfId="0" applyNumberFormat="1" applyFont="1" applyFill="1" applyBorder="1" applyAlignment="1">
      <alignment horizontal="right" vertical="center" wrapText="1"/>
    </xf>
    <xf numFmtId="0" fontId="18" fillId="7" borderId="29" xfId="0" applyFont="1" applyFill="1" applyBorder="1" applyAlignment="1">
      <alignment horizontal="left" vertical="center" wrapText="1" readingOrder="1"/>
    </xf>
    <xf numFmtId="0" fontId="18" fillId="7" borderId="40" xfId="0" applyFont="1" applyFill="1" applyBorder="1" applyAlignment="1">
      <alignment horizontal="left" vertical="center" wrapText="1" readingOrder="1"/>
    </xf>
    <xf numFmtId="44" fontId="12" fillId="7" borderId="47" xfId="0" applyNumberFormat="1" applyFont="1" applyFill="1" applyBorder="1" applyAlignment="1">
      <alignment horizontal="right" vertical="center" wrapText="1"/>
    </xf>
    <xf numFmtId="44" fontId="12" fillId="7" borderId="27" xfId="1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justify" vertical="center" wrapText="1" readingOrder="1"/>
    </xf>
    <xf numFmtId="0" fontId="18" fillId="7" borderId="51" xfId="0" applyFont="1" applyFill="1" applyBorder="1" applyAlignment="1">
      <alignment horizontal="left" vertical="center" wrapText="1" readingOrder="1"/>
    </xf>
    <xf numFmtId="0" fontId="18" fillId="7" borderId="44" xfId="0" applyFont="1" applyFill="1" applyBorder="1" applyAlignment="1">
      <alignment horizontal="left" vertical="center" wrapText="1" readingOrder="1"/>
    </xf>
    <xf numFmtId="0" fontId="18" fillId="7" borderId="55" xfId="0" applyFont="1" applyFill="1" applyBorder="1" applyAlignment="1">
      <alignment horizontal="left" vertical="center" wrapText="1" readingOrder="1"/>
    </xf>
    <xf numFmtId="0" fontId="18" fillId="7" borderId="56" xfId="0" applyFont="1" applyFill="1" applyBorder="1" applyAlignment="1">
      <alignment horizontal="left" vertical="center" wrapText="1" readingOrder="1"/>
    </xf>
    <xf numFmtId="0" fontId="19" fillId="7" borderId="57" xfId="0" applyFont="1" applyFill="1" applyBorder="1" applyAlignment="1">
      <alignment horizontal="left" vertical="center" wrapText="1" readingOrder="1"/>
    </xf>
    <xf numFmtId="44" fontId="18" fillId="7" borderId="58" xfId="1" applyFont="1" applyFill="1" applyBorder="1" applyAlignment="1">
      <alignment horizontal="center" vertical="center" wrapText="1" readingOrder="1"/>
    </xf>
    <xf numFmtId="0" fontId="13" fillId="0" borderId="38" xfId="0" applyFont="1" applyBorder="1" applyAlignment="1">
      <alignment horizontal="center" vertical="center" wrapText="1" readingOrder="1"/>
    </xf>
    <xf numFmtId="0" fontId="18" fillId="7" borderId="59" xfId="0" applyFont="1" applyFill="1" applyBorder="1" applyAlignment="1">
      <alignment horizontal="left" vertical="center" wrapText="1" readingOrder="1"/>
    </xf>
    <xf numFmtId="0" fontId="18" fillId="7" borderId="36" xfId="0" applyFont="1" applyFill="1" applyBorder="1" applyAlignment="1">
      <alignment horizontal="left" vertical="center" wrapText="1" readingOrder="1"/>
    </xf>
    <xf numFmtId="44" fontId="12" fillId="7" borderId="38" xfId="0" applyNumberFormat="1" applyFont="1" applyFill="1" applyBorder="1" applyAlignment="1">
      <alignment horizontal="right" vertical="center" wrapText="1"/>
    </xf>
    <xf numFmtId="0" fontId="19" fillId="7" borderId="60" xfId="0" applyFont="1" applyFill="1" applyBorder="1" applyAlignment="1">
      <alignment horizontal="left" vertical="center" wrapText="1" readingOrder="1"/>
    </xf>
    <xf numFmtId="44" fontId="19" fillId="7" borderId="28" xfId="1" applyFont="1" applyFill="1" applyBorder="1" applyAlignment="1">
      <alignment horizontal="left" vertical="center" wrapText="1" readingOrder="1"/>
    </xf>
    <xf numFmtId="0" fontId="8" fillId="0" borderId="30" xfId="0" applyFont="1" applyBorder="1" applyAlignment="1">
      <alignment vertical="center" wrapText="1" readingOrder="1"/>
    </xf>
    <xf numFmtId="0" fontId="18" fillId="7" borderId="61" xfId="0" applyFont="1" applyFill="1" applyBorder="1" applyAlignment="1">
      <alignment horizontal="left" vertical="center" wrapText="1" readingOrder="1"/>
    </xf>
    <xf numFmtId="44" fontId="12" fillId="7" borderId="30" xfId="0" applyNumberFormat="1" applyFont="1" applyFill="1" applyBorder="1" applyAlignment="1">
      <alignment horizontal="right" vertical="center" wrapText="1"/>
    </xf>
    <xf numFmtId="0" fontId="19" fillId="7" borderId="62" xfId="0" applyFont="1" applyFill="1" applyBorder="1" applyAlignment="1">
      <alignment horizontal="left" vertical="center" wrapText="1" readingOrder="1"/>
    </xf>
    <xf numFmtId="44" fontId="19" fillId="7" borderId="33" xfId="1" applyFont="1" applyFill="1" applyBorder="1" applyAlignment="1">
      <alignment horizontal="left" vertical="center" wrapText="1" readingOrder="1"/>
    </xf>
    <xf numFmtId="0" fontId="8" fillId="0" borderId="41" xfId="0" applyFont="1" applyBorder="1" applyAlignment="1">
      <alignment vertical="center" wrapText="1" readingOrder="1"/>
    </xf>
    <xf numFmtId="0" fontId="22" fillId="0" borderId="63" xfId="4" applyFont="1" applyBorder="1" applyAlignment="1">
      <alignment horizontal="left" vertical="center"/>
    </xf>
    <xf numFmtId="0" fontId="22" fillId="0" borderId="6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44" fontId="21" fillId="7" borderId="4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169" fontId="24" fillId="7" borderId="2" xfId="2" applyNumberFormat="1" applyFont="1" applyFill="1" applyBorder="1" applyAlignment="1">
      <alignment horizontal="right" vertical="center"/>
    </xf>
    <xf numFmtId="8" fontId="25" fillId="7" borderId="3" xfId="0" applyNumberFormat="1" applyFont="1" applyFill="1" applyBorder="1" applyAlignment="1">
      <alignment horizontal="right" vertical="center"/>
    </xf>
    <xf numFmtId="0" fontId="24" fillId="7" borderId="4" xfId="0" applyFont="1" applyFill="1" applyBorder="1" applyAlignment="1">
      <alignment vertical="center" wrapText="1"/>
    </xf>
    <xf numFmtId="169" fontId="24" fillId="7" borderId="5" xfId="2" applyNumberFormat="1" applyFont="1" applyFill="1" applyBorder="1" applyAlignment="1">
      <alignment horizontal="right" vertical="center"/>
    </xf>
    <xf numFmtId="44" fontId="25" fillId="7" borderId="6" xfId="1" applyFont="1" applyFill="1" applyBorder="1" applyAlignment="1">
      <alignment horizontal="right" vertical="center"/>
    </xf>
    <xf numFmtId="167" fontId="8" fillId="0" borderId="5" xfId="0" applyNumberFormat="1" applyFont="1" applyBorder="1" applyAlignment="1">
      <alignment vertical="center"/>
    </xf>
    <xf numFmtId="10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0" borderId="8" xfId="0" applyNumberFormat="1" applyFont="1" applyBorder="1" applyAlignment="1">
      <alignment vertical="center"/>
    </xf>
    <xf numFmtId="10" fontId="8" fillId="0" borderId="8" xfId="0" applyNumberFormat="1" applyFont="1" applyBorder="1" applyAlignment="1">
      <alignment vertical="center"/>
    </xf>
    <xf numFmtId="167" fontId="8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4" fontId="15" fillId="2" borderId="11" xfId="0" applyNumberFormat="1" applyFont="1" applyFill="1" applyBorder="1" applyAlignment="1">
      <alignment vertical="center"/>
    </xf>
    <xf numFmtId="0" fontId="8" fillId="0" borderId="58" xfId="0" applyFont="1" applyBorder="1" applyAlignment="1">
      <alignment vertical="center"/>
    </xf>
    <xf numFmtId="44" fontId="8" fillId="0" borderId="29" xfId="0" applyNumberFormat="1" applyFont="1" applyBorder="1" applyAlignment="1">
      <alignment vertical="center"/>
    </xf>
    <xf numFmtId="10" fontId="8" fillId="0" borderId="36" xfId="0" applyNumberFormat="1" applyFont="1" applyBorder="1" applyAlignment="1">
      <alignment vertical="center"/>
    </xf>
    <xf numFmtId="44" fontId="8" fillId="0" borderId="38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0" fontId="8" fillId="0" borderId="29" xfId="0" applyNumberFormat="1" applyFont="1" applyBorder="1" applyAlignment="1">
      <alignment vertical="center"/>
    </xf>
    <xf numFmtId="44" fontId="8" fillId="0" borderId="30" xfId="0" applyNumberFormat="1" applyFont="1" applyBorder="1" applyAlignment="1">
      <alignment vertical="center"/>
    </xf>
    <xf numFmtId="167" fontId="19" fillId="7" borderId="29" xfId="0" applyNumberFormat="1" applyFont="1" applyFill="1" applyBorder="1" applyAlignment="1">
      <alignment horizontal="right" vertical="center" wrapText="1" readingOrder="1"/>
    </xf>
    <xf numFmtId="10" fontId="19" fillId="7" borderId="29" xfId="0" applyNumberFormat="1" applyFont="1" applyFill="1" applyBorder="1" applyAlignment="1">
      <alignment horizontal="right" vertical="center" wrapText="1" readingOrder="1"/>
    </xf>
    <xf numFmtId="8" fontId="19" fillId="7" borderId="29" xfId="0" applyNumberFormat="1" applyFont="1" applyFill="1" applyBorder="1" applyAlignment="1">
      <alignment horizontal="right" vertical="center" wrapText="1" readingOrder="1"/>
    </xf>
    <xf numFmtId="0" fontId="13" fillId="0" borderId="33" xfId="0" applyFont="1" applyBorder="1" applyAlignment="1">
      <alignment vertical="center"/>
    </xf>
    <xf numFmtId="44" fontId="8" fillId="0" borderId="34" xfId="0" applyNumberFormat="1" applyFont="1" applyBorder="1" applyAlignment="1">
      <alignment vertical="center"/>
    </xf>
    <xf numFmtId="170" fontId="8" fillId="0" borderId="34" xfId="0" applyNumberFormat="1" applyFont="1" applyBorder="1" applyAlignment="1">
      <alignment vertical="center"/>
    </xf>
    <xf numFmtId="44" fontId="15" fillId="2" borderId="41" xfId="1" applyFont="1" applyFill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44" fontId="11" fillId="0" borderId="38" xfId="1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43" fontId="11" fillId="0" borderId="29" xfId="0" applyNumberFormat="1" applyFont="1" applyBorder="1" applyAlignment="1">
      <alignment vertical="center"/>
    </xf>
    <xf numFmtId="8" fontId="8" fillId="0" borderId="29" xfId="0" applyNumberFormat="1" applyFont="1" applyBorder="1" applyAlignment="1">
      <alignment vertical="center"/>
    </xf>
    <xf numFmtId="44" fontId="11" fillId="0" borderId="29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44" fontId="26" fillId="2" borderId="41" xfId="1" applyFont="1" applyFill="1" applyBorder="1" applyAlignment="1">
      <alignment vertical="center"/>
    </xf>
    <xf numFmtId="0" fontId="12" fillId="0" borderId="28" xfId="0" applyFont="1" applyBorder="1" applyAlignment="1">
      <alignment horizontal="left" vertical="center" wrapText="1" readingOrder="1"/>
    </xf>
    <xf numFmtId="0" fontId="21" fillId="0" borderId="29" xfId="0" applyFont="1" applyBorder="1" applyAlignment="1">
      <alignment horizontal="left" vertical="center" wrapText="1" readingOrder="1"/>
    </xf>
    <xf numFmtId="43" fontId="21" fillId="0" borderId="30" xfId="3" applyFont="1" applyFill="1" applyBorder="1" applyAlignment="1">
      <alignment horizontal="left" vertical="center" wrapText="1" readingOrder="1"/>
    </xf>
    <xf numFmtId="0" fontId="12" fillId="0" borderId="33" xfId="0" applyFont="1" applyBorder="1" applyAlignment="1">
      <alignment horizontal="left" vertical="center" wrapText="1" readingOrder="1"/>
    </xf>
    <xf numFmtId="0" fontId="21" fillId="0" borderId="34" xfId="0" applyFont="1" applyBorder="1" applyAlignment="1">
      <alignment horizontal="left" vertical="center" wrapText="1" readingOrder="1"/>
    </xf>
    <xf numFmtId="0" fontId="21" fillId="0" borderId="35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 wrapText="1" readingOrder="1"/>
    </xf>
    <xf numFmtId="0" fontId="21" fillId="0" borderId="58" xfId="0" applyFont="1" applyBorder="1" applyAlignment="1">
      <alignment horizontal="left" vertical="center" wrapText="1" readingOrder="1"/>
    </xf>
    <xf numFmtId="0" fontId="8" fillId="0" borderId="36" xfId="0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8" fontId="2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/>
    <xf numFmtId="8" fontId="2" fillId="2" borderId="6" xfId="0" applyNumberFormat="1" applyFont="1" applyFill="1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171" fontId="2" fillId="0" borderId="4" xfId="0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vertical="center"/>
    </xf>
    <xf numFmtId="171" fontId="2" fillId="0" borderId="7" xfId="0" applyNumberFormat="1" applyFont="1" applyBorder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44" fontId="0" fillId="10" borderId="5" xfId="1" applyFont="1" applyFill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10" borderId="5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44" fontId="0" fillId="10" borderId="8" xfId="1" applyFont="1" applyFill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10" borderId="8" xfId="1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167" fontId="0" fillId="10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167" fontId="0" fillId="2" borderId="6" xfId="0" applyNumberFormat="1" applyFill="1" applyBorder="1" applyAlignment="1">
      <alignment horizontal="center" vertical="center"/>
    </xf>
    <xf numFmtId="8" fontId="0" fillId="2" borderId="5" xfId="0" applyNumberFormat="1" applyFill="1" applyBorder="1" applyAlignment="1">
      <alignment vertical="center"/>
    </xf>
    <xf numFmtId="167" fontId="0" fillId="10" borderId="8" xfId="0" applyNumberFormat="1" applyFill="1" applyBorder="1" applyAlignment="1">
      <alignment vertical="center"/>
    </xf>
    <xf numFmtId="167" fontId="0" fillId="0" borderId="8" xfId="0" applyNumberFormat="1" applyBorder="1" applyAlignment="1">
      <alignment vertical="center"/>
    </xf>
    <xf numFmtId="8" fontId="0" fillId="0" borderId="8" xfId="0" applyNumberFormat="1" applyBorder="1" applyAlignment="1">
      <alignment vertical="center"/>
    </xf>
    <xf numFmtId="167" fontId="0" fillId="2" borderId="9" xfId="0" applyNumberForma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171" fontId="0" fillId="0" borderId="4" xfId="0" applyNumberFormat="1" applyBorder="1" applyAlignment="1">
      <alignment horizontal="left"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29" fillId="2" borderId="5" xfId="0" applyNumberFormat="1" applyFont="1" applyFill="1" applyBorder="1" applyAlignment="1">
      <alignment vertical="center"/>
    </xf>
    <xf numFmtId="171" fontId="0" fillId="0" borderId="7" xfId="0" applyNumberFormat="1" applyBorder="1" applyAlignment="1">
      <alignment horizontal="left" vertical="center"/>
    </xf>
    <xf numFmtId="44" fontId="0" fillId="0" borderId="8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72" fontId="0" fillId="0" borderId="6" xfId="0" applyNumberForma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2" fontId="0" fillId="0" borderId="9" xfId="0" applyNumberFormat="1" applyBorder="1" applyAlignment="1">
      <alignment vertical="center"/>
    </xf>
    <xf numFmtId="44" fontId="8" fillId="0" borderId="6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44" fontId="8" fillId="0" borderId="0" xfId="1" applyFont="1" applyBorder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8" fillId="0" borderId="0" xfId="0" applyNumberFormat="1" applyFont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44" fontId="0" fillId="0" borderId="5" xfId="1" applyFont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2" fillId="2" borderId="6" xfId="1" applyFont="1" applyFill="1" applyBorder="1" applyAlignment="1">
      <alignment vertical="center"/>
    </xf>
    <xf numFmtId="44" fontId="31" fillId="11" borderId="5" xfId="1" applyFont="1" applyFill="1" applyBorder="1" applyAlignment="1">
      <alignment vertical="center"/>
    </xf>
    <xf numFmtId="44" fontId="2" fillId="12" borderId="5" xfId="1" applyFont="1" applyFill="1" applyBorder="1" applyAlignment="1">
      <alignment vertical="center"/>
    </xf>
    <xf numFmtId="44" fontId="0" fillId="2" borderId="9" xfId="1" applyFont="1" applyFill="1" applyBorder="1" applyAlignment="1">
      <alignment vertical="center"/>
    </xf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2" fillId="0" borderId="5" xfId="0" applyFont="1" applyBorder="1"/>
    <xf numFmtId="44" fontId="0" fillId="0" borderId="3" xfId="1" applyFont="1" applyBorder="1"/>
    <xf numFmtId="44" fontId="0" fillId="0" borderId="9" xfId="1" applyFont="1" applyBorder="1"/>
    <xf numFmtId="44" fontId="0" fillId="0" borderId="0" xfId="1" applyFont="1"/>
    <xf numFmtId="44" fontId="0" fillId="0" borderId="6" xfId="1" applyFont="1" applyBorder="1"/>
    <xf numFmtId="173" fontId="0" fillId="0" borderId="0" xfId="0" applyNumberFormat="1"/>
    <xf numFmtId="173" fontId="0" fillId="0" borderId="1" xfId="0" applyNumberFormat="1" applyBorder="1"/>
    <xf numFmtId="173" fontId="0" fillId="0" borderId="4" xfId="0" applyNumberFormat="1" applyBorder="1"/>
    <xf numFmtId="173" fontId="0" fillId="0" borderId="7" xfId="0" applyNumberFormat="1" applyBorder="1"/>
    <xf numFmtId="173" fontId="0" fillId="0" borderId="71" xfId="0" applyNumberFormat="1" applyBorder="1"/>
    <xf numFmtId="0" fontId="0" fillId="0" borderId="69" xfId="0" applyBorder="1"/>
    <xf numFmtId="0" fontId="0" fillId="0" borderId="24" xfId="0" applyBorder="1"/>
    <xf numFmtId="44" fontId="0" fillId="0" borderId="5" xfId="1" applyFont="1" applyBorder="1"/>
    <xf numFmtId="10" fontId="0" fillId="0" borderId="5" xfId="0" applyNumberFormat="1" applyBorder="1"/>
    <xf numFmtId="0" fontId="0" fillId="0" borderId="5" xfId="0" applyBorder="1" applyAlignment="1">
      <alignment horizontal="right"/>
    </xf>
    <xf numFmtId="0" fontId="0" fillId="0" borderId="75" xfId="0" applyBorder="1"/>
    <xf numFmtId="0" fontId="0" fillId="0" borderId="76" xfId="0" applyBorder="1"/>
    <xf numFmtId="0" fontId="0" fillId="0" borderId="0" xfId="0" applyBorder="1"/>
    <xf numFmtId="0" fontId="0" fillId="0" borderId="31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2" fillId="0" borderId="4" xfId="0" applyFont="1" applyBorder="1"/>
    <xf numFmtId="0" fontId="2" fillId="0" borderId="7" xfId="0" applyFont="1" applyBorder="1"/>
    <xf numFmtId="0" fontId="0" fillId="0" borderId="82" xfId="0" applyBorder="1"/>
    <xf numFmtId="0" fontId="0" fillId="0" borderId="70" xfId="0" applyBorder="1"/>
    <xf numFmtId="0" fontId="0" fillId="0" borderId="16" xfId="0" applyBorder="1"/>
    <xf numFmtId="2" fontId="8" fillId="0" borderId="6" xfId="0" applyNumberFormat="1" applyFont="1" applyBorder="1" applyAlignment="1">
      <alignment vertical="center"/>
    </xf>
    <xf numFmtId="174" fontId="8" fillId="0" borderId="6" xfId="3" applyNumberFormat="1" applyFont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8" fillId="0" borderId="5" xfId="0" applyNumberFormat="1" applyFont="1" applyBorder="1" applyAlignment="1">
      <alignment vertical="center"/>
    </xf>
    <xf numFmtId="14" fontId="8" fillId="0" borderId="6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6" borderId="80" xfId="0" applyFont="1" applyFill="1" applyBorder="1" applyAlignment="1">
      <alignment vertical="center"/>
    </xf>
    <xf numFmtId="165" fontId="16" fillId="0" borderId="6" xfId="0" applyNumberFormat="1" applyFont="1" applyBorder="1" applyAlignment="1">
      <alignment vertical="center"/>
    </xf>
    <xf numFmtId="44" fontId="8" fillId="0" borderId="24" xfId="1" applyFont="1" applyBorder="1" applyAlignment="1">
      <alignment vertical="center"/>
    </xf>
    <xf numFmtId="0" fontId="8" fillId="6" borderId="83" xfId="0" applyFont="1" applyFill="1" applyBorder="1" applyAlignment="1">
      <alignment vertical="center"/>
    </xf>
    <xf numFmtId="2" fontId="8" fillId="0" borderId="22" xfId="0" applyNumberFormat="1" applyFont="1" applyBorder="1" applyAlignment="1">
      <alignment horizontal="right" vertical="center"/>
    </xf>
    <xf numFmtId="0" fontId="8" fillId="6" borderId="81" xfId="0" applyFont="1" applyFill="1" applyBorder="1" applyAlignment="1">
      <alignment vertical="center"/>
    </xf>
    <xf numFmtId="165" fontId="8" fillId="0" borderId="9" xfId="2" applyNumberFormat="1" applyFont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33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167" fontId="8" fillId="6" borderId="81" xfId="0" applyNumberFormat="1" applyFont="1" applyFill="1" applyBorder="1" applyAlignment="1">
      <alignment vertical="center"/>
    </xf>
    <xf numFmtId="44" fontId="8" fillId="0" borderId="69" xfId="1" applyFont="1" applyBorder="1" applyAlignment="1">
      <alignment vertical="center"/>
    </xf>
    <xf numFmtId="167" fontId="8" fillId="6" borderId="84" xfId="0" applyNumberFormat="1" applyFont="1" applyFill="1" applyBorder="1" applyAlignment="1">
      <alignment vertical="center"/>
    </xf>
    <xf numFmtId="0" fontId="8" fillId="0" borderId="77" xfId="0" applyFont="1" applyBorder="1" applyAlignment="1">
      <alignment vertical="center"/>
    </xf>
    <xf numFmtId="43" fontId="12" fillId="7" borderId="27" xfId="3" applyFont="1" applyFill="1" applyBorder="1" applyAlignment="1">
      <alignment horizontal="right" vertical="center" wrapText="1"/>
    </xf>
    <xf numFmtId="44" fontId="11" fillId="0" borderId="25" xfId="0" applyNumberFormat="1" applyFont="1" applyBorder="1" applyAlignment="1">
      <alignment vertical="center"/>
    </xf>
    <xf numFmtId="44" fontId="11" fillId="0" borderId="69" xfId="1" applyFont="1" applyBorder="1" applyAlignment="1">
      <alignment vertical="center"/>
    </xf>
    <xf numFmtId="9" fontId="11" fillId="6" borderId="85" xfId="0" applyNumberFormat="1" applyFont="1" applyFill="1" applyBorder="1" applyAlignment="1">
      <alignment vertical="center"/>
    </xf>
    <xf numFmtId="44" fontId="11" fillId="0" borderId="86" xfId="1" applyFont="1" applyBorder="1" applyAlignment="1">
      <alignment vertical="center"/>
    </xf>
    <xf numFmtId="44" fontId="11" fillId="0" borderId="87" xfId="1" applyFont="1" applyBorder="1" applyAlignment="1">
      <alignment vertical="center"/>
    </xf>
    <xf numFmtId="44" fontId="11" fillId="0" borderId="20" xfId="1" applyFont="1" applyBorder="1" applyAlignment="1">
      <alignment vertical="center"/>
    </xf>
    <xf numFmtId="44" fontId="11" fillId="0" borderId="88" xfId="1" applyFont="1" applyBorder="1" applyAlignment="1">
      <alignment vertical="center"/>
    </xf>
    <xf numFmtId="0" fontId="18" fillId="7" borderId="89" xfId="0" applyFont="1" applyFill="1" applyBorder="1" applyAlignment="1">
      <alignment horizontal="left" vertical="center" wrapText="1" readingOrder="1"/>
    </xf>
    <xf numFmtId="0" fontId="8" fillId="0" borderId="27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44" fontId="8" fillId="2" borderId="90" xfId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12" fillId="7" borderId="92" xfId="0" applyFont="1" applyFill="1" applyBorder="1" applyAlignment="1">
      <alignment horizontal="right" vertical="center" wrapText="1"/>
    </xf>
    <xf numFmtId="0" fontId="19" fillId="7" borderId="92" xfId="0" applyFont="1" applyFill="1" applyBorder="1" applyAlignment="1">
      <alignment horizontal="left" vertical="center" wrapText="1" readingOrder="1"/>
    </xf>
    <xf numFmtId="0" fontId="19" fillId="7" borderId="93" xfId="0" applyFont="1" applyFill="1" applyBorder="1" applyAlignment="1">
      <alignment horizontal="left" vertical="center" wrapText="1" readingOrder="1"/>
    </xf>
    <xf numFmtId="44" fontId="19" fillId="7" borderId="94" xfId="0" applyNumberFormat="1" applyFont="1" applyFill="1" applyBorder="1" applyAlignment="1">
      <alignment horizontal="left" vertical="center" wrapText="1" readingOrder="1"/>
    </xf>
    <xf numFmtId="0" fontId="18" fillId="3" borderId="95" xfId="0" applyFont="1" applyFill="1" applyBorder="1" applyAlignment="1">
      <alignment horizontal="left" vertical="center" wrapText="1" readingOrder="1"/>
    </xf>
    <xf numFmtId="0" fontId="18" fillId="3" borderId="96" xfId="0" applyFont="1" applyFill="1" applyBorder="1" applyAlignment="1">
      <alignment horizontal="center" vertical="center" wrapText="1" readingOrder="1"/>
    </xf>
    <xf numFmtId="0" fontId="18" fillId="3" borderId="97" xfId="0" applyFont="1" applyFill="1" applyBorder="1" applyAlignment="1">
      <alignment horizontal="center" vertical="center" wrapText="1" readingOrder="1"/>
    </xf>
    <xf numFmtId="0" fontId="18" fillId="8" borderId="86" xfId="0" applyFont="1" applyFill="1" applyBorder="1" applyAlignment="1">
      <alignment horizontal="left" vertical="center" wrapText="1" readingOrder="1"/>
    </xf>
    <xf numFmtId="0" fontId="18" fillId="8" borderId="87" xfId="0" applyFont="1" applyFill="1" applyBorder="1" applyAlignment="1">
      <alignment horizontal="center" vertical="center" wrapText="1" readingOrder="1"/>
    </xf>
    <xf numFmtId="0" fontId="19" fillId="7" borderId="86" xfId="0" applyFont="1" applyFill="1" applyBorder="1" applyAlignment="1">
      <alignment horizontal="left" vertical="center" wrapText="1" readingOrder="1"/>
    </xf>
    <xf numFmtId="10" fontId="11" fillId="0" borderId="6" xfId="0" applyNumberFormat="1" applyFont="1" applyBorder="1" applyAlignment="1">
      <alignment vertical="center"/>
    </xf>
    <xf numFmtId="44" fontId="12" fillId="7" borderId="87" xfId="1" applyFont="1" applyFill="1" applyBorder="1" applyAlignment="1">
      <alignment horizontal="right" vertical="center" wrapText="1"/>
    </xf>
    <xf numFmtId="0" fontId="18" fillId="7" borderId="86" xfId="0" applyFont="1" applyFill="1" applyBorder="1" applyAlignment="1">
      <alignment horizontal="left" vertical="center" wrapText="1" readingOrder="1"/>
    </xf>
    <xf numFmtId="168" fontId="19" fillId="0" borderId="29" xfId="0" applyNumberFormat="1" applyFont="1" applyBorder="1" applyAlignment="1">
      <alignment horizontal="right" vertical="center" wrapText="1" readingOrder="1"/>
    </xf>
    <xf numFmtId="44" fontId="14" fillId="2" borderId="87" xfId="1" applyFont="1" applyFill="1" applyBorder="1" applyAlignment="1">
      <alignment horizontal="right" vertical="center" wrapText="1"/>
    </xf>
    <xf numFmtId="10" fontId="12" fillId="7" borderId="40" xfId="1" applyNumberFormat="1" applyFont="1" applyFill="1" applyBorder="1" applyAlignment="1">
      <alignment horizontal="right" vertical="center" wrapText="1"/>
    </xf>
    <xf numFmtId="44" fontId="12" fillId="2" borderId="29" xfId="1" applyFont="1" applyFill="1" applyBorder="1" applyAlignment="1">
      <alignment horizontal="right" vertical="center" wrapText="1"/>
    </xf>
    <xf numFmtId="44" fontId="12" fillId="2" borderId="87" xfId="1" applyFont="1" applyFill="1" applyBorder="1" applyAlignment="1">
      <alignment horizontal="right" vertical="center" wrapText="1"/>
    </xf>
    <xf numFmtId="8" fontId="12" fillId="7" borderId="87" xfId="1" applyNumberFormat="1" applyFont="1" applyFill="1" applyBorder="1" applyAlignment="1">
      <alignment horizontal="right" vertical="center" wrapText="1"/>
    </xf>
    <xf numFmtId="0" fontId="20" fillId="8" borderId="86" xfId="0" applyFont="1" applyFill="1" applyBorder="1" applyAlignment="1">
      <alignment horizontal="left" vertical="center" wrapText="1" readingOrder="1"/>
    </xf>
    <xf numFmtId="0" fontId="20" fillId="7" borderId="86" xfId="0" applyFont="1" applyFill="1" applyBorder="1" applyAlignment="1">
      <alignment horizontal="left" vertical="center" wrapText="1" readingOrder="1"/>
    </xf>
    <xf numFmtId="0" fontId="18" fillId="7" borderId="98" xfId="0" applyFont="1" applyFill="1" applyBorder="1" applyAlignment="1">
      <alignment horizontal="left" vertical="center" wrapText="1" readingOrder="1"/>
    </xf>
    <xf numFmtId="43" fontId="12" fillId="7" borderId="99" xfId="3" applyFont="1" applyFill="1" applyBorder="1" applyAlignment="1">
      <alignment horizontal="right" vertical="center" wrapText="1"/>
    </xf>
    <xf numFmtId="0" fontId="8" fillId="0" borderId="78" xfId="0" applyFont="1" applyBorder="1" applyAlignment="1">
      <alignment vertical="center"/>
    </xf>
    <xf numFmtId="44" fontId="19" fillId="7" borderId="99" xfId="1" applyFont="1" applyFill="1" applyBorder="1" applyAlignment="1">
      <alignment horizontal="right" vertical="center" wrapText="1" readingOrder="1"/>
    </xf>
    <xf numFmtId="44" fontId="19" fillId="7" borderId="100" xfId="1" applyFont="1" applyFill="1" applyBorder="1" applyAlignment="1">
      <alignment horizontal="right" vertical="center" wrapText="1" readingOrder="1"/>
    </xf>
    <xf numFmtId="44" fontId="12" fillId="7" borderId="101" xfId="1" applyFont="1" applyFill="1" applyBorder="1" applyAlignment="1">
      <alignment horizontal="right" vertical="center" wrapText="1"/>
    </xf>
    <xf numFmtId="0" fontId="18" fillId="7" borderId="91" xfId="0" applyFont="1" applyFill="1" applyBorder="1" applyAlignment="1">
      <alignment horizontal="left" vertical="center" wrapText="1" readingOrder="1"/>
    </xf>
    <xf numFmtId="44" fontId="19" fillId="7" borderId="92" xfId="1" applyFont="1" applyFill="1" applyBorder="1" applyAlignment="1">
      <alignment horizontal="right" vertical="center" wrapText="1" readingOrder="1"/>
    </xf>
    <xf numFmtId="0" fontId="18" fillId="7" borderId="92" xfId="0" applyFont="1" applyFill="1" applyBorder="1" applyAlignment="1">
      <alignment horizontal="center" vertical="center" wrapText="1" readingOrder="1"/>
    </xf>
    <xf numFmtId="44" fontId="18" fillId="7" borderId="92" xfId="1" applyFont="1" applyFill="1" applyBorder="1" applyAlignment="1">
      <alignment horizontal="right" vertical="center" wrapText="1" readingOrder="1"/>
    </xf>
    <xf numFmtId="44" fontId="18" fillId="7" borderId="93" xfId="1" applyFont="1" applyFill="1" applyBorder="1" applyAlignment="1">
      <alignment horizontal="right" vertical="center" wrapText="1" readingOrder="1"/>
    </xf>
    <xf numFmtId="44" fontId="18" fillId="7" borderId="94" xfId="1" applyFont="1" applyFill="1" applyBorder="1" applyAlignment="1">
      <alignment horizontal="right" vertical="center" wrapText="1" readingOrder="1"/>
    </xf>
    <xf numFmtId="0" fontId="18" fillId="7" borderId="95" xfId="0" applyFont="1" applyFill="1" applyBorder="1" applyAlignment="1">
      <alignment horizontal="left" vertical="center" wrapText="1" readingOrder="1"/>
    </xf>
    <xf numFmtId="44" fontId="19" fillId="7" borderId="96" xfId="1" applyFont="1" applyFill="1" applyBorder="1" applyAlignment="1">
      <alignment horizontal="right" vertical="center" wrapText="1" readingOrder="1"/>
    </xf>
    <xf numFmtId="0" fontId="18" fillId="7" borderId="96" xfId="0" applyFont="1" applyFill="1" applyBorder="1" applyAlignment="1">
      <alignment horizontal="center" vertical="center" wrapText="1" readingOrder="1"/>
    </xf>
    <xf numFmtId="44" fontId="18" fillId="7" borderId="96" xfId="1" applyFont="1" applyFill="1" applyBorder="1" applyAlignment="1">
      <alignment horizontal="right" vertical="center" wrapText="1" readingOrder="1"/>
    </xf>
    <xf numFmtId="44" fontId="18" fillId="7" borderId="102" xfId="1" applyFont="1" applyFill="1" applyBorder="1" applyAlignment="1">
      <alignment horizontal="right" vertical="center" wrapText="1" readingOrder="1"/>
    </xf>
    <xf numFmtId="44" fontId="18" fillId="7" borderId="103" xfId="1" applyFont="1" applyFill="1" applyBorder="1" applyAlignment="1">
      <alignment horizontal="right" vertical="center" wrapText="1" readingOrder="1"/>
    </xf>
    <xf numFmtId="44" fontId="18" fillId="7" borderId="88" xfId="1" applyFont="1" applyFill="1" applyBorder="1" applyAlignment="1">
      <alignment horizontal="right" vertical="center" wrapText="1" readingOrder="1"/>
    </xf>
    <xf numFmtId="0" fontId="19" fillId="7" borderId="89" xfId="0" applyFont="1" applyFill="1" applyBorder="1" applyAlignment="1">
      <alignment horizontal="left" vertical="center" wrapText="1" readingOrder="1"/>
    </xf>
    <xf numFmtId="44" fontId="18" fillId="7" borderId="27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40" xfId="0" applyFont="1" applyFill="1" applyBorder="1" applyAlignment="1">
      <alignment horizontal="center" vertical="center" wrapText="1" readingOrder="1"/>
    </xf>
    <xf numFmtId="6" fontId="8" fillId="0" borderId="5" xfId="0" applyNumberFormat="1" applyFont="1" applyBorder="1" applyAlignment="1">
      <alignment horizontal="right" vertical="center"/>
    </xf>
    <xf numFmtId="44" fontId="18" fillId="7" borderId="104" xfId="1" applyFont="1" applyFill="1" applyBorder="1" applyAlignment="1">
      <alignment horizontal="right" vertical="center" wrapText="1" readingOrder="1"/>
    </xf>
    <xf numFmtId="44" fontId="18" fillId="7" borderId="37" xfId="1" applyFont="1" applyFill="1" applyBorder="1" applyAlignment="1">
      <alignment horizontal="right" vertical="center" wrapText="1" readingOrder="1"/>
    </xf>
    <xf numFmtId="0" fontId="18" fillId="7" borderId="99" xfId="0" applyFont="1" applyFill="1" applyBorder="1" applyAlignment="1">
      <alignment horizontal="center" vertical="center" wrapText="1" readingOrder="1"/>
    </xf>
    <xf numFmtId="44" fontId="18" fillId="7" borderId="99" xfId="1" applyFont="1" applyFill="1" applyBorder="1" applyAlignment="1">
      <alignment horizontal="right" vertical="center" wrapText="1" readingOrder="1"/>
    </xf>
    <xf numFmtId="44" fontId="18" fillId="7" borderId="100" xfId="1" applyFont="1" applyFill="1" applyBorder="1" applyAlignment="1">
      <alignment horizontal="right" vertical="center" wrapText="1" readingOrder="1"/>
    </xf>
    <xf numFmtId="0" fontId="15" fillId="7" borderId="91" xfId="0" applyFont="1" applyFill="1" applyBorder="1" applyAlignment="1">
      <alignment horizontal="left" vertical="center" wrapText="1" readingOrder="1"/>
    </xf>
    <xf numFmtId="44" fontId="21" fillId="7" borderId="106" xfId="1" applyFont="1" applyFill="1" applyBorder="1" applyAlignment="1">
      <alignment horizontal="right" vertical="center" wrapText="1"/>
    </xf>
    <xf numFmtId="0" fontId="18" fillId="7" borderId="39" xfId="0" applyFont="1" applyFill="1" applyBorder="1" applyAlignment="1">
      <alignment horizontal="left" vertical="center" wrapText="1" readingOrder="1"/>
    </xf>
    <xf numFmtId="44" fontId="19" fillId="2" borderId="37" xfId="1" applyFont="1" applyFill="1" applyBorder="1" applyAlignment="1">
      <alignment horizontal="right" vertical="center" wrapText="1" readingOrder="1"/>
    </xf>
    <xf numFmtId="0" fontId="18" fillId="2" borderId="37" xfId="0" applyFont="1" applyFill="1" applyBorder="1" applyAlignment="1">
      <alignment horizontal="center" vertical="center" wrapText="1" readingOrder="1"/>
    </xf>
    <xf numFmtId="44" fontId="18" fillId="2" borderId="37" xfId="1" applyFont="1" applyFill="1" applyBorder="1" applyAlignment="1">
      <alignment horizontal="right" vertical="center" wrapText="1" readingOrder="1"/>
    </xf>
    <xf numFmtId="44" fontId="18" fillId="2" borderId="45" xfId="1" applyFont="1" applyFill="1" applyBorder="1" applyAlignment="1">
      <alignment horizontal="right" vertical="center" wrapText="1" readingOrder="1"/>
    </xf>
    <xf numFmtId="0" fontId="18" fillId="9" borderId="108" xfId="0" applyFont="1" applyFill="1" applyBorder="1" applyAlignment="1">
      <alignment horizontal="center" vertical="center" wrapText="1" readingOrder="1"/>
    </xf>
    <xf numFmtId="0" fontId="18" fillId="9" borderId="56" xfId="0" applyFont="1" applyFill="1" applyBorder="1" applyAlignment="1">
      <alignment horizontal="right" vertical="center" wrapText="1" readingOrder="1"/>
    </xf>
    <xf numFmtId="0" fontId="18" fillId="7" borderId="92" xfId="0" applyFont="1" applyFill="1" applyBorder="1" applyAlignment="1">
      <alignment horizontal="right" vertical="center" wrapText="1" readingOrder="1"/>
    </xf>
    <xf numFmtId="0" fontId="18" fillId="7" borderId="93" xfId="0" applyFont="1" applyFill="1" applyBorder="1" applyAlignment="1">
      <alignment horizontal="right" vertical="center" wrapText="1" readingOrder="1"/>
    </xf>
    <xf numFmtId="44" fontId="12" fillId="7" borderId="106" xfId="0" applyNumberFormat="1" applyFont="1" applyFill="1" applyBorder="1" applyAlignment="1">
      <alignment horizontal="right" vertical="center" wrapText="1"/>
    </xf>
    <xf numFmtId="0" fontId="19" fillId="7" borderId="39" xfId="0" applyFont="1" applyFill="1" applyBorder="1" applyAlignment="1">
      <alignment horizontal="left" vertical="center" wrapText="1" readingOrder="1"/>
    </xf>
    <xf numFmtId="44" fontId="12" fillId="7" borderId="37" xfId="1" applyFont="1" applyFill="1" applyBorder="1" applyAlignment="1">
      <alignment vertical="center" wrapText="1"/>
    </xf>
    <xf numFmtId="0" fontId="18" fillId="7" borderId="37" xfId="0" applyFont="1" applyFill="1" applyBorder="1" applyAlignment="1">
      <alignment horizontal="left" vertical="center" wrapText="1" readingOrder="1"/>
    </xf>
    <xf numFmtId="0" fontId="18" fillId="7" borderId="45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25" xfId="0" applyBorder="1"/>
    <xf numFmtId="0" fontId="0" fillId="0" borderId="20" xfId="0" applyBorder="1"/>
    <xf numFmtId="0" fontId="0" fillId="0" borderId="7" xfId="0" applyBorder="1"/>
    <xf numFmtId="0" fontId="2" fillId="0" borderId="111" xfId="0" applyFont="1" applyBorder="1"/>
    <xf numFmtId="0" fontId="2" fillId="0" borderId="112" xfId="0" applyFont="1" applyBorder="1"/>
    <xf numFmtId="44" fontId="0" fillId="0" borderId="0" xfId="0" applyNumberFormat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44" fontId="21" fillId="0" borderId="30" xfId="1" applyFont="1" applyBorder="1" applyAlignment="1">
      <alignment horizontal="left" vertical="center" wrapText="1" readingOrder="1"/>
    </xf>
    <xf numFmtId="44" fontId="21" fillId="0" borderId="30" xfId="1" applyFont="1" applyFill="1" applyBorder="1" applyAlignment="1">
      <alignment horizontal="left" vertical="center" wrapText="1" readingOrder="1"/>
    </xf>
    <xf numFmtId="0" fontId="21" fillId="0" borderId="32" xfId="0" applyFont="1" applyBorder="1" applyAlignment="1">
      <alignment horizontal="right" vertical="center" wrapText="1" readingOrder="1"/>
    </xf>
    <xf numFmtId="44" fontId="21" fillId="2" borderId="68" xfId="1" applyFont="1" applyFill="1" applyBorder="1" applyAlignment="1">
      <alignment horizontal="left" vertical="center" wrapText="1" readingOrder="1"/>
    </xf>
    <xf numFmtId="17" fontId="8" fillId="0" borderId="29" xfId="0" applyNumberFormat="1" applyFont="1" applyBorder="1" applyAlignment="1">
      <alignment vertical="center"/>
    </xf>
    <xf numFmtId="44" fontId="8" fillId="0" borderId="29" xfId="1" applyFont="1" applyBorder="1" applyAlignment="1">
      <alignment vertical="center"/>
    </xf>
    <xf numFmtId="44" fontId="8" fillId="0" borderId="30" xfId="1" applyFont="1" applyBorder="1" applyAlignment="1">
      <alignment vertical="center"/>
    </xf>
    <xf numFmtId="16" fontId="8" fillId="0" borderId="29" xfId="0" quotePrefix="1" applyNumberFormat="1" applyFont="1" applyBorder="1" applyAlignment="1">
      <alignment horizontal="center" vertical="center"/>
    </xf>
    <xf numFmtId="44" fontId="13" fillId="2" borderId="30" xfId="0" applyNumberFormat="1" applyFont="1" applyFill="1" applyBorder="1" applyAlignment="1">
      <alignment vertical="center"/>
    </xf>
    <xf numFmtId="44" fontId="8" fillId="2" borderId="41" xfId="0" applyNumberFormat="1" applyFont="1" applyFill="1" applyBorder="1" applyAlignment="1">
      <alignment vertical="center"/>
    </xf>
    <xf numFmtId="0" fontId="21" fillId="0" borderId="30" xfId="0" applyFont="1" applyBorder="1" applyAlignment="1">
      <alignment horizontal="right" vertical="center" wrapText="1" readingOrder="1"/>
    </xf>
    <xf numFmtId="44" fontId="21" fillId="0" borderId="30" xfId="0" applyNumberFormat="1" applyFont="1" applyBorder="1" applyAlignment="1">
      <alignment horizontal="left" vertical="center" wrapText="1" readingOrder="1"/>
    </xf>
    <xf numFmtId="0" fontId="21" fillId="0" borderId="34" xfId="0" applyFont="1" applyBorder="1" applyAlignment="1">
      <alignment horizontal="right" vertical="center" wrapText="1" readingOrder="1"/>
    </xf>
    <xf numFmtId="44" fontId="21" fillId="0" borderId="34" xfId="0" quotePrefix="1" applyNumberFormat="1" applyFont="1" applyBorder="1" applyAlignment="1">
      <alignment horizontal="left" vertical="center" wrapText="1" readingOrder="1"/>
    </xf>
    <xf numFmtId="17" fontId="2" fillId="0" borderId="0" xfId="0" applyNumberFormat="1" applyFont="1" applyAlignment="1">
      <alignment horizontal="left" vertical="center"/>
    </xf>
    <xf numFmtId="175" fontId="0" fillId="0" borderId="0" xfId="3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0" fontId="21" fillId="7" borderId="92" xfId="2" applyNumberFormat="1" applyFont="1" applyFill="1" applyBorder="1" applyAlignment="1">
      <alignment horizontal="center" vertical="center" wrapText="1"/>
    </xf>
    <xf numFmtId="44" fontId="15" fillId="2" borderId="29" xfId="1" applyFont="1" applyFill="1" applyBorder="1" applyAlignment="1">
      <alignment vertical="center"/>
    </xf>
    <xf numFmtId="0" fontId="21" fillId="0" borderId="29" xfId="0" quotePrefix="1" applyFont="1" applyBorder="1" applyAlignment="1">
      <alignment horizontal="left" vertical="center" wrapText="1" readingOrder="1"/>
    </xf>
    <xf numFmtId="0" fontId="13" fillId="2" borderId="0" xfId="0" applyFont="1" applyFill="1" applyAlignment="1">
      <alignment vertical="center"/>
    </xf>
    <xf numFmtId="44" fontId="8" fillId="0" borderId="0" xfId="1" applyFont="1" applyAlignment="1">
      <alignment vertical="center"/>
    </xf>
    <xf numFmtId="44" fontId="13" fillId="0" borderId="0" xfId="1" applyFont="1" applyAlignment="1">
      <alignment vertical="center"/>
    </xf>
    <xf numFmtId="44" fontId="13" fillId="2" borderId="0" xfId="1" applyFont="1" applyFill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6" xfId="0" applyNumberFormat="1" applyFont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4" fontId="13" fillId="2" borderId="9" xfId="0" applyNumberFormat="1" applyFont="1" applyFill="1" applyBorder="1" applyAlignment="1">
      <alignment vertical="center"/>
    </xf>
    <xf numFmtId="44" fontId="21" fillId="2" borderId="92" xfId="1" applyFont="1" applyFill="1" applyBorder="1" applyAlignment="1">
      <alignment horizontal="center" vertical="center" wrapText="1"/>
    </xf>
    <xf numFmtId="44" fontId="21" fillId="7" borderId="110" xfId="0" applyNumberFormat="1" applyFont="1" applyFill="1" applyBorder="1" applyAlignment="1">
      <alignment horizontal="right" vertical="center" wrapText="1"/>
    </xf>
    <xf numFmtId="0" fontId="18" fillId="7" borderId="105" xfId="0" applyFont="1" applyFill="1" applyBorder="1" applyAlignment="1">
      <alignment horizontal="left" vertical="center" wrapText="1" readingOrder="1"/>
    </xf>
    <xf numFmtId="44" fontId="13" fillId="2" borderId="41" xfId="0" applyNumberFormat="1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vertical="center"/>
    </xf>
    <xf numFmtId="44" fontId="13" fillId="2" borderId="3" xfId="1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44" fontId="13" fillId="2" borderId="6" xfId="1" applyFont="1" applyFill="1" applyBorder="1" applyAlignment="1">
      <alignment vertical="center"/>
    </xf>
    <xf numFmtId="44" fontId="13" fillId="2" borderId="9" xfId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32" fillId="0" borderId="0" xfId="0" applyFont="1"/>
    <xf numFmtId="0" fontId="0" fillId="0" borderId="1" xfId="0" applyBorder="1"/>
    <xf numFmtId="17" fontId="0" fillId="0" borderId="9" xfId="0" applyNumberFormat="1" applyBorder="1"/>
    <xf numFmtId="0" fontId="29" fillId="2" borderId="113" xfId="0" applyFont="1" applyFill="1" applyBorder="1"/>
    <xf numFmtId="0" fontId="29" fillId="2" borderId="114" xfId="0" applyFont="1" applyFill="1" applyBorder="1"/>
    <xf numFmtId="0" fontId="0" fillId="2" borderId="115" xfId="0" applyFill="1" applyBorder="1"/>
    <xf numFmtId="44" fontId="0" fillId="0" borderId="2" xfId="1" applyFont="1" applyBorder="1"/>
    <xf numFmtId="44" fontId="0" fillId="2" borderId="5" xfId="1" applyFont="1" applyFill="1" applyBorder="1"/>
    <xf numFmtId="44" fontId="0" fillId="0" borderId="8" xfId="1" applyFont="1" applyBorder="1"/>
    <xf numFmtId="0" fontId="0" fillId="0" borderId="4" xfId="0" quotePrefix="1" applyBorder="1"/>
    <xf numFmtId="0" fontId="29" fillId="2" borderId="7" xfId="0" applyFont="1" applyFill="1" applyBorder="1"/>
    <xf numFmtId="0" fontId="29" fillId="2" borderId="8" xfId="0" applyFont="1" applyFill="1" applyBorder="1"/>
    <xf numFmtId="44" fontId="0" fillId="2" borderId="9" xfId="1" applyFont="1" applyFill="1" applyBorder="1"/>
    <xf numFmtId="44" fontId="29" fillId="2" borderId="116" xfId="0" applyNumberFormat="1" applyFont="1" applyFill="1" applyBorder="1"/>
    <xf numFmtId="0" fontId="2" fillId="0" borderId="1" xfId="0" applyFont="1" applyBorder="1"/>
    <xf numFmtId="44" fontId="0" fillId="0" borderId="17" xfId="1" applyFont="1" applyBorder="1"/>
    <xf numFmtId="0" fontId="4" fillId="0" borderId="0" xfId="0" applyFont="1"/>
    <xf numFmtId="0" fontId="34" fillId="13" borderId="113" xfId="0" applyFont="1" applyFill="1" applyBorder="1"/>
    <xf numFmtId="0" fontId="2" fillId="13" borderId="114" xfId="0" applyFont="1" applyFill="1" applyBorder="1"/>
    <xf numFmtId="0" fontId="2" fillId="13" borderId="115" xfId="0" applyFont="1" applyFill="1" applyBorder="1"/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/>
    <xf numFmtId="43" fontId="11" fillId="0" borderId="6" xfId="3" applyFont="1" applyBorder="1" applyAlignment="1">
      <alignment vertical="center"/>
    </xf>
    <xf numFmtId="44" fontId="8" fillId="0" borderId="5" xfId="0" applyNumberFormat="1" applyFont="1" applyBorder="1" applyAlignment="1">
      <alignment vertical="center"/>
    </xf>
    <xf numFmtId="44" fontId="12" fillId="7" borderId="27" xfId="1" applyFont="1" applyFill="1" applyBorder="1" applyAlignment="1">
      <alignment horizontal="right" vertical="center" wrapText="1"/>
    </xf>
    <xf numFmtId="9" fontId="11" fillId="0" borderId="25" xfId="0" applyNumberFormat="1" applyFont="1" applyBorder="1" applyAlignment="1">
      <alignment vertical="center"/>
    </xf>
    <xf numFmtId="44" fontId="21" fillId="7" borderId="87" xfId="1" applyFont="1" applyFill="1" applyBorder="1" applyAlignment="1">
      <alignment horizontal="right" vertical="center" wrapText="1"/>
    </xf>
    <xf numFmtId="44" fontId="15" fillId="2" borderId="87" xfId="1" applyFont="1" applyFill="1" applyBorder="1" applyAlignment="1">
      <alignment horizontal="right" vertical="center" wrapText="1"/>
    </xf>
    <xf numFmtId="43" fontId="19" fillId="7" borderId="29" xfId="3" applyFont="1" applyFill="1" applyBorder="1" applyAlignment="1">
      <alignment horizontal="right" vertical="center" wrapText="1" readingOrder="1"/>
    </xf>
    <xf numFmtId="9" fontId="18" fillId="7" borderId="40" xfId="0" applyNumberFormat="1" applyFont="1" applyFill="1" applyBorder="1" applyAlignment="1">
      <alignment horizontal="center" vertical="center" wrapText="1" readingOrder="1"/>
    </xf>
    <xf numFmtId="0" fontId="19" fillId="7" borderId="105" xfId="0" applyFont="1" applyFill="1" applyBorder="1" applyAlignment="1">
      <alignment horizontal="left" vertical="center" wrapText="1" readingOrder="1"/>
    </xf>
    <xf numFmtId="44" fontId="12" fillId="7" borderId="92" xfId="1" applyFont="1" applyFill="1" applyBorder="1" applyAlignment="1">
      <alignment horizontal="center" vertical="center" wrapText="1"/>
    </xf>
    <xf numFmtId="44" fontId="12" fillId="7" borderId="110" xfId="0" applyNumberFormat="1" applyFont="1" applyFill="1" applyBorder="1" applyAlignment="1">
      <alignment horizontal="right" vertical="center" wrapText="1"/>
    </xf>
    <xf numFmtId="0" fontId="2" fillId="0" borderId="1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1" fillId="0" borderId="0" xfId="5" applyAlignment="1">
      <alignment vertical="center"/>
    </xf>
    <xf numFmtId="0" fontId="1" fillId="0" borderId="1" xfId="5" applyBorder="1" applyAlignment="1">
      <alignment vertical="center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71" fontId="1" fillId="0" borderId="4" xfId="5" applyNumberFormat="1" applyBorder="1" applyAlignment="1">
      <alignment horizontal="left" vertical="center"/>
    </xf>
    <xf numFmtId="164" fontId="2" fillId="0" borderId="5" xfId="6" applyNumberFormat="1" applyFont="1" applyFill="1" applyBorder="1" applyAlignment="1">
      <alignment vertical="center"/>
    </xf>
    <xf numFmtId="44" fontId="1" fillId="0" borderId="5" xfId="5" applyNumberFormat="1" applyBorder="1" applyAlignment="1">
      <alignment vertical="center"/>
    </xf>
    <xf numFmtId="44" fontId="0" fillId="0" borderId="5" xfId="6" applyFont="1" applyFill="1" applyBorder="1" applyAlignment="1">
      <alignment vertical="center"/>
    </xf>
    <xf numFmtId="0" fontId="1" fillId="0" borderId="5" xfId="5" applyBorder="1" applyAlignment="1">
      <alignment vertical="center"/>
    </xf>
    <xf numFmtId="44" fontId="2" fillId="0" borderId="6" xfId="5" applyNumberFormat="1" applyFont="1" applyBorder="1" applyAlignment="1">
      <alignment vertical="center"/>
    </xf>
    <xf numFmtId="44" fontId="2" fillId="0" borderId="5" xfId="5" applyNumberFormat="1" applyFont="1" applyBorder="1" applyAlignment="1">
      <alignment vertical="center"/>
    </xf>
    <xf numFmtId="8" fontId="2" fillId="0" borderId="6" xfId="5" applyNumberFormat="1" applyFont="1" applyBorder="1" applyAlignment="1">
      <alignment vertical="center"/>
    </xf>
    <xf numFmtId="171" fontId="1" fillId="0" borderId="7" xfId="5" applyNumberFormat="1" applyBorder="1" applyAlignment="1">
      <alignment horizontal="left" vertical="center"/>
    </xf>
    <xf numFmtId="16" fontId="2" fillId="0" borderId="0" xfId="0" quotePrefix="1" applyNumberFormat="1" applyFont="1" applyAlignment="1">
      <alignment vertical="center"/>
    </xf>
    <xf numFmtId="17" fontId="2" fillId="0" borderId="4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31" fillId="0" borderId="5" xfId="0" applyNumberFormat="1" applyFont="1" applyBorder="1" applyAlignment="1">
      <alignment vertical="center"/>
    </xf>
    <xf numFmtId="17" fontId="2" fillId="0" borderId="7" xfId="0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31" fillId="0" borderId="8" xfId="0" applyNumberFormat="1" applyFont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36" fillId="2" borderId="0" xfId="0" applyFont="1" applyFill="1" applyAlignment="1">
      <alignment vertical="center"/>
    </xf>
    <xf numFmtId="0" fontId="0" fillId="10" borderId="5" xfId="0" applyFill="1" applyBorder="1" applyAlignment="1">
      <alignment horizontal="center" vertical="center"/>
    </xf>
    <xf numFmtId="167" fontId="0" fillId="10" borderId="5" xfId="0" applyNumberFormat="1" applyFill="1" applyBorder="1" applyAlignment="1">
      <alignment horizontal="center" vertical="center"/>
    </xf>
    <xf numFmtId="167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8" fontId="2" fillId="2" borderId="5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43" fontId="0" fillId="10" borderId="5" xfId="3" applyFont="1" applyFill="1" applyBorder="1" applyAlignment="1">
      <alignment vertical="center"/>
    </xf>
    <xf numFmtId="44" fontId="0" fillId="0" borderId="119" xfId="1" applyFont="1" applyBorder="1"/>
    <xf numFmtId="44" fontId="0" fillId="0" borderId="4" xfId="1" applyFont="1" applyBorder="1"/>
    <xf numFmtId="44" fontId="0" fillId="0" borderId="8" xfId="0" applyNumberFormat="1" applyBorder="1"/>
    <xf numFmtId="0" fontId="29" fillId="2" borderId="17" xfId="0" applyFont="1" applyFill="1" applyBorder="1" applyAlignment="1">
      <alignment horizontal="center"/>
    </xf>
    <xf numFmtId="44" fontId="0" fillId="0" borderId="69" xfId="1" applyFont="1" applyBorder="1"/>
    <xf numFmtId="44" fontId="2" fillId="2" borderId="116" xfId="1" applyFont="1" applyFill="1" applyBorder="1"/>
    <xf numFmtId="44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0" applyNumberFormat="1" applyBorder="1"/>
    <xf numFmtId="0" fontId="0" fillId="0" borderId="0" xfId="0" applyBorder="1" applyAlignment="1">
      <alignment horizontal="center"/>
    </xf>
    <xf numFmtId="44" fontId="2" fillId="2" borderId="113" xfId="1" applyFont="1" applyFill="1" applyBorder="1"/>
    <xf numFmtId="0" fontId="2" fillId="0" borderId="3" xfId="0" applyFont="1" applyFill="1" applyBorder="1" applyAlignment="1">
      <alignment horizontal="center"/>
    </xf>
    <xf numFmtId="44" fontId="0" fillId="0" borderId="9" xfId="0" applyNumberFormat="1" applyBorder="1"/>
    <xf numFmtId="44" fontId="0" fillId="0" borderId="69" xfId="0" applyNumberFormat="1" applyBorder="1"/>
    <xf numFmtId="44" fontId="3" fillId="2" borderId="116" xfId="0" applyNumberFormat="1" applyFont="1" applyFill="1" applyBorder="1"/>
    <xf numFmtId="0" fontId="0" fillId="0" borderId="10" xfId="0" applyBorder="1" applyAlignment="1">
      <alignment horizontal="center"/>
    </xf>
    <xf numFmtId="44" fontId="0" fillId="0" borderId="11" xfId="0" applyNumberFormat="1" applyBorder="1"/>
    <xf numFmtId="0" fontId="29" fillId="2" borderId="0" xfId="0" applyFont="1" applyFill="1"/>
    <xf numFmtId="0" fontId="2" fillId="2" borderId="0" xfId="0" applyFont="1" applyFill="1"/>
    <xf numFmtId="0" fontId="2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2" borderId="58" xfId="0" applyFont="1" applyFill="1" applyBorder="1" applyAlignment="1">
      <alignment horizontal="left" vertical="center" wrapText="1" readingOrder="1"/>
    </xf>
    <xf numFmtId="0" fontId="15" fillId="2" borderId="36" xfId="0" applyFont="1" applyFill="1" applyBorder="1" applyAlignment="1">
      <alignment horizontal="left" vertical="center" wrapText="1" readingOrder="1"/>
    </xf>
    <xf numFmtId="0" fontId="15" fillId="2" borderId="38" xfId="0" applyFont="1" applyFill="1" applyBorder="1" applyAlignment="1">
      <alignment horizontal="left" vertical="center" wrapText="1" readingOrder="1"/>
    </xf>
    <xf numFmtId="0" fontId="19" fillId="7" borderId="48" xfId="0" applyFont="1" applyFill="1" applyBorder="1" applyAlignment="1">
      <alignment horizontal="left" vertical="center" wrapText="1" readingOrder="1"/>
    </xf>
    <xf numFmtId="0" fontId="19" fillId="7" borderId="52" xfId="0" applyFont="1" applyFill="1" applyBorder="1" applyAlignment="1">
      <alignment horizontal="left" vertical="center" wrapText="1" readingOrder="1"/>
    </xf>
    <xf numFmtId="44" fontId="19" fillId="7" borderId="49" xfId="1" applyFont="1" applyFill="1" applyBorder="1" applyAlignment="1">
      <alignment horizontal="left" vertical="center" wrapText="1" readingOrder="1"/>
    </xf>
    <xf numFmtId="0" fontId="8" fillId="0" borderId="50" xfId="0" applyFont="1" applyBorder="1" applyAlignment="1">
      <alignment vertical="center" wrapText="1" readingOrder="1"/>
    </xf>
    <xf numFmtId="44" fontId="19" fillId="7" borderId="53" xfId="1" applyFont="1" applyFill="1" applyBorder="1" applyAlignment="1">
      <alignment horizontal="left" vertical="center" wrapText="1" readingOrder="1"/>
    </xf>
    <xf numFmtId="0" fontId="8" fillId="0" borderId="54" xfId="0" applyFont="1" applyBorder="1" applyAlignment="1">
      <alignment vertical="center" wrapText="1" readingOrder="1"/>
    </xf>
    <xf numFmtId="0" fontId="23" fillId="2" borderId="52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4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5" fillId="2" borderId="65" xfId="0" applyFont="1" applyFill="1" applyBorder="1" applyAlignment="1">
      <alignment horizontal="left" vertical="center" wrapText="1" readingOrder="1"/>
    </xf>
    <xf numFmtId="0" fontId="15" fillId="2" borderId="66" xfId="0" applyFont="1" applyFill="1" applyBorder="1" applyAlignment="1">
      <alignment horizontal="left" vertical="center" wrapText="1" readingOrder="1"/>
    </xf>
    <xf numFmtId="0" fontId="15" fillId="2" borderId="67" xfId="0" applyFont="1" applyFill="1" applyBorder="1" applyAlignment="1">
      <alignment horizontal="left" vertical="center" wrapText="1" readingOrder="1"/>
    </xf>
    <xf numFmtId="14" fontId="10" fillId="5" borderId="19" xfId="4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7" borderId="43" xfId="0" applyFont="1" applyFill="1" applyBorder="1" applyAlignment="1">
      <alignment horizontal="center" vertical="center" wrapText="1" readingOrder="1"/>
    </xf>
    <xf numFmtId="0" fontId="18" fillId="7" borderId="107" xfId="0" applyFont="1" applyFill="1" applyBorder="1" applyAlignment="1">
      <alignment horizontal="center" vertical="center" wrapText="1" readingOrder="1"/>
    </xf>
    <xf numFmtId="44" fontId="19" fillId="9" borderId="27" xfId="1" applyFont="1" applyFill="1" applyBorder="1" applyAlignment="1">
      <alignment horizontal="center" vertical="center" wrapText="1" readingOrder="1"/>
    </xf>
    <xf numFmtId="44" fontId="19" fillId="9" borderId="108" xfId="1" applyFont="1" applyFill="1" applyBorder="1" applyAlignment="1">
      <alignment horizontal="center" vertical="center" wrapText="1" readingOrder="1"/>
    </xf>
    <xf numFmtId="0" fontId="18" fillId="9" borderId="27" xfId="0" applyFont="1" applyFill="1" applyBorder="1" applyAlignment="1">
      <alignment horizontal="right" vertical="center" wrapText="1" readingOrder="1"/>
    </xf>
    <xf numFmtId="0" fontId="18" fillId="9" borderId="108" xfId="0" applyFont="1" applyFill="1" applyBorder="1" applyAlignment="1">
      <alignment horizontal="right" vertical="center" wrapText="1" readingOrder="1"/>
    </xf>
    <xf numFmtId="0" fontId="18" fillId="9" borderId="32" xfId="0" applyFont="1" applyFill="1" applyBorder="1" applyAlignment="1">
      <alignment horizontal="center" vertical="center" wrapText="1" readingOrder="1"/>
    </xf>
    <xf numFmtId="0" fontId="18" fillId="9" borderId="109" xfId="0" applyFont="1" applyFill="1" applyBorder="1" applyAlignment="1">
      <alignment horizontal="center" vertical="center" wrapText="1" readingOrder="1"/>
    </xf>
    <xf numFmtId="0" fontId="3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5" fillId="2" borderId="0" xfId="0" applyFont="1" applyFill="1" applyAlignment="1">
      <alignment wrapText="1"/>
    </xf>
    <xf numFmtId="0" fontId="32" fillId="2" borderId="0" xfId="5" applyFont="1" applyFill="1" applyAlignment="1">
      <alignment horizontal="center" vertical="center"/>
    </xf>
    <xf numFmtId="0" fontId="1" fillId="2" borderId="0" xfId="5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117" xfId="0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173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vertical="center"/>
    </xf>
    <xf numFmtId="173" fontId="0" fillId="0" borderId="4" xfId="0" applyNumberFormat="1" applyBorder="1" applyAlignment="1">
      <alignment horizontal="left" vertical="center"/>
    </xf>
    <xf numFmtId="44" fontId="0" fillId="0" borderId="7" xfId="1" applyFont="1" applyBorder="1" applyAlignment="1">
      <alignment vertical="center"/>
    </xf>
    <xf numFmtId="173" fontId="0" fillId="0" borderId="7" xfId="0" applyNumberForma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" fillId="2" borderId="69" xfId="0" applyFont="1" applyFill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44" fontId="1" fillId="0" borderId="6" xfId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44" fontId="1" fillId="0" borderId="6" xfId="1" applyFont="1" applyBorder="1" applyAlignment="1">
      <alignment vertical="center"/>
    </xf>
    <xf numFmtId="44" fontId="1" fillId="0" borderId="6" xfId="1" applyFont="1" applyFill="1" applyBorder="1" applyAlignment="1">
      <alignment vertical="center"/>
    </xf>
    <xf numFmtId="10" fontId="1" fillId="0" borderId="6" xfId="1" applyNumberFormat="1" applyFont="1" applyBorder="1" applyAlignment="1">
      <alignment vertical="center"/>
    </xf>
    <xf numFmtId="17" fontId="0" fillId="0" borderId="9" xfId="0" applyNumberFormat="1" applyFont="1" applyBorder="1" applyAlignment="1">
      <alignment vertical="center"/>
    </xf>
    <xf numFmtId="0" fontId="2" fillId="0" borderId="69" xfId="0" applyFont="1" applyBorder="1" applyAlignment="1">
      <alignment vertical="center" wrapText="1"/>
    </xf>
    <xf numFmtId="0" fontId="2" fillId="0" borderId="112" xfId="0" applyFont="1" applyBorder="1" applyAlignment="1">
      <alignment vertical="center" wrapText="1"/>
    </xf>
  </cellXfs>
  <cellStyles count="7">
    <cellStyle name="Milliers" xfId="3" builtinId="3"/>
    <cellStyle name="Monétaire" xfId="1" builtinId="4"/>
    <cellStyle name="Monétaire 2" xfId="6" xr:uid="{405CD704-8F7A-4335-88A8-FAEF02375CEF}"/>
    <cellStyle name="Normal" xfId="0" builtinId="0"/>
    <cellStyle name="Normal 2" xfId="5" xr:uid="{DADA9258-CE2F-4D9A-84A2-48032992F5A8}"/>
    <cellStyle name="Normal_Fiche de paie TEPA plus 20 salariés" xfId="4" xr:uid="{287036B5-5522-41F9-857C-ECD09C9F5E3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BE37114-8770-4EDE-A439-D8EBA94DBE27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621F01B-7EFC-488F-A148-53450B51532A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5044660-72B4-407B-A183-BC78EC06CE20}"/>
            </a:ext>
          </a:extLst>
        </xdr:cNvPr>
        <xdr:cNvSpPr txBox="1"/>
      </xdr:nvSpPr>
      <xdr:spPr>
        <a:xfrm>
          <a:off x="12296775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14B3553-2EDA-4C91-9F44-C132A19881FC}"/>
            </a:ext>
          </a:extLst>
        </xdr:cNvPr>
        <xdr:cNvSpPr txBox="1"/>
      </xdr:nvSpPr>
      <xdr:spPr>
        <a:xfrm>
          <a:off x="9505950" y="28384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96D2C64-6F4E-4418-A2F5-8721F6978F99}"/>
            </a:ext>
          </a:extLst>
        </xdr:cNvPr>
        <xdr:cNvSpPr txBox="1"/>
      </xdr:nvSpPr>
      <xdr:spPr>
        <a:xfrm>
          <a:off x="11010900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7EF72E2-04B5-4184-8328-2EF4A596391B}"/>
            </a:ext>
          </a:extLst>
        </xdr:cNvPr>
        <xdr:cNvSpPr txBox="1"/>
      </xdr:nvSpPr>
      <xdr:spPr>
        <a:xfrm>
          <a:off x="12296775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2919171-6D1C-428A-9D46-7787688DB020}"/>
            </a:ext>
          </a:extLst>
        </xdr:cNvPr>
        <xdr:cNvSpPr txBox="1"/>
      </xdr:nvSpPr>
      <xdr:spPr>
        <a:xfrm>
          <a:off x="9505950" y="28384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254AFA5-7DC1-43AD-A619-383CFE529FFA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KHOS/Desktop/BUREAU%202/foad%20paie%202020/PAIE%20N1%20-%20renum&#233;rot&#233;/8-PAIE%20M1%20V7%20ANNUALISATION%20DES%20ASSIETTES/DOCUMENTS/TRANCHES%20DE%20SALAI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oncé exemple"/>
      <sheetName val="Corrigé exemple"/>
    </sheetNames>
    <sheetDataSet>
      <sheetData sheetId="0" refreshError="1">
        <row r="7">
          <cell r="C7">
            <v>2000</v>
          </cell>
        </row>
        <row r="8">
          <cell r="C8">
            <v>4000</v>
          </cell>
        </row>
        <row r="15">
          <cell r="C15">
            <v>3100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50C3-F19E-46AE-9FBE-D59BA306EB26}">
  <dimension ref="B2:J31"/>
  <sheetViews>
    <sheetView topLeftCell="A13" workbookViewId="0">
      <selection activeCell="M20" sqref="M20"/>
    </sheetView>
    <sheetView workbookViewId="1"/>
    <sheetView workbookViewId="2"/>
  </sheetViews>
  <sheetFormatPr baseColWidth="10" defaultRowHeight="15" x14ac:dyDescent="0.25"/>
  <cols>
    <col min="2" max="2" width="23.28515625" bestFit="1" customWidth="1"/>
    <col min="5" max="5" width="33" customWidth="1"/>
    <col min="6" max="6" width="25.28515625" customWidth="1"/>
    <col min="7" max="7" width="14.85546875" customWidth="1"/>
    <col min="10" max="10" width="19.5703125" customWidth="1"/>
  </cols>
  <sheetData>
    <row r="2" spans="2:10" ht="15.75" thickBot="1" x14ac:dyDescent="0.3"/>
    <row r="3" spans="2:10" x14ac:dyDescent="0.25">
      <c r="B3" s="267">
        <v>44592</v>
      </c>
      <c r="C3" s="6"/>
      <c r="E3" s="261" t="s">
        <v>200</v>
      </c>
      <c r="F3" s="273">
        <v>2700</v>
      </c>
    </row>
    <row r="4" spans="2:10" x14ac:dyDescent="0.25">
      <c r="B4" s="268">
        <v>44593</v>
      </c>
      <c r="C4" s="3"/>
      <c r="E4" s="261" t="s">
        <v>199</v>
      </c>
      <c r="F4" s="273">
        <v>2800</v>
      </c>
    </row>
    <row r="5" spans="2:10" ht="15.75" thickBot="1" x14ac:dyDescent="0.3">
      <c r="B5" s="268">
        <v>44594</v>
      </c>
      <c r="C5" s="271"/>
      <c r="E5" s="261" t="s">
        <v>201</v>
      </c>
      <c r="F5" s="273">
        <v>2700</v>
      </c>
    </row>
    <row r="6" spans="2:10" ht="15.75" thickTop="1" x14ac:dyDescent="0.25">
      <c r="B6" s="270">
        <v>44595</v>
      </c>
      <c r="C6" s="545" t="s">
        <v>198</v>
      </c>
      <c r="E6" s="261" t="s">
        <v>202</v>
      </c>
      <c r="F6" s="273">
        <v>165</v>
      </c>
    </row>
    <row r="7" spans="2:10" x14ac:dyDescent="0.25">
      <c r="B7" s="270">
        <v>44596</v>
      </c>
      <c r="C7" s="546"/>
      <c r="E7" s="261" t="s">
        <v>218</v>
      </c>
      <c r="F7" s="273" t="s">
        <v>219</v>
      </c>
    </row>
    <row r="8" spans="2:10" x14ac:dyDescent="0.25">
      <c r="B8" s="270">
        <v>44597</v>
      </c>
      <c r="C8" s="546"/>
      <c r="E8" s="261" t="s">
        <v>16</v>
      </c>
      <c r="F8" s="274">
        <v>3.5999999999999997E-2</v>
      </c>
    </row>
    <row r="9" spans="2:10" x14ac:dyDescent="0.25">
      <c r="B9" s="270">
        <v>44598</v>
      </c>
      <c r="C9" s="546"/>
      <c r="E9" s="261" t="s">
        <v>14</v>
      </c>
      <c r="F9" s="258" t="s">
        <v>203</v>
      </c>
    </row>
    <row r="10" spans="2:10" x14ac:dyDescent="0.25">
      <c r="B10" s="270">
        <v>44599</v>
      </c>
      <c r="C10" s="546"/>
      <c r="E10" s="261" t="s">
        <v>204</v>
      </c>
      <c r="F10" s="274">
        <v>4.9000000000000002E-2</v>
      </c>
    </row>
    <row r="11" spans="2:10" x14ac:dyDescent="0.25">
      <c r="B11" s="270">
        <v>44600</v>
      </c>
      <c r="C11" s="546"/>
      <c r="E11" s="261" t="s">
        <v>205</v>
      </c>
      <c r="F11" s="275" t="s">
        <v>206</v>
      </c>
    </row>
    <row r="12" spans="2:10" x14ac:dyDescent="0.25">
      <c r="B12" s="270">
        <v>44601</v>
      </c>
      <c r="C12" s="546"/>
      <c r="E12" s="261" t="s">
        <v>207</v>
      </c>
      <c r="F12" s="275" t="s">
        <v>208</v>
      </c>
    </row>
    <row r="13" spans="2:10" ht="15.75" thickBot="1" x14ac:dyDescent="0.3">
      <c r="B13" s="270">
        <v>44602</v>
      </c>
      <c r="C13" s="546"/>
    </row>
    <row r="14" spans="2:10" x14ac:dyDescent="0.25">
      <c r="B14" s="270">
        <v>44603</v>
      </c>
      <c r="C14" s="546"/>
      <c r="E14" s="548" t="s">
        <v>197</v>
      </c>
      <c r="F14" s="282" t="s">
        <v>209</v>
      </c>
      <c r="G14" s="287"/>
      <c r="H14" s="276"/>
      <c r="I14" s="276"/>
      <c r="J14" s="277"/>
    </row>
    <row r="15" spans="2:10" x14ac:dyDescent="0.25">
      <c r="B15" s="270">
        <v>44604</v>
      </c>
      <c r="C15" s="546"/>
      <c r="E15" s="549"/>
      <c r="F15" s="283" t="s">
        <v>210</v>
      </c>
      <c r="G15" s="288"/>
      <c r="H15" s="278"/>
      <c r="I15" s="278"/>
      <c r="J15" s="279"/>
    </row>
    <row r="16" spans="2:10" x14ac:dyDescent="0.25">
      <c r="B16" s="270">
        <v>44605</v>
      </c>
      <c r="C16" s="546"/>
      <c r="E16" s="549"/>
      <c r="F16" s="283" t="s">
        <v>211</v>
      </c>
      <c r="G16" s="288"/>
      <c r="H16" s="278"/>
      <c r="I16" s="278"/>
      <c r="J16" s="279"/>
    </row>
    <row r="17" spans="2:10" x14ac:dyDescent="0.25">
      <c r="B17" s="270">
        <v>44606</v>
      </c>
      <c r="C17" s="546"/>
      <c r="E17" s="284"/>
      <c r="F17" s="283"/>
      <c r="G17" s="288"/>
      <c r="H17" s="278"/>
      <c r="I17" s="278"/>
      <c r="J17" s="279"/>
    </row>
    <row r="18" spans="2:10" x14ac:dyDescent="0.25">
      <c r="B18" s="270">
        <v>44607</v>
      </c>
      <c r="C18" s="546"/>
      <c r="E18" s="284" t="s">
        <v>212</v>
      </c>
      <c r="F18" s="283" t="s">
        <v>213</v>
      </c>
      <c r="G18" s="288"/>
      <c r="H18" s="278"/>
      <c r="I18" s="278"/>
      <c r="J18" s="279"/>
    </row>
    <row r="19" spans="2:10" x14ac:dyDescent="0.25">
      <c r="B19" s="270">
        <v>44608</v>
      </c>
      <c r="C19" s="546"/>
      <c r="E19" s="284"/>
      <c r="F19" s="283"/>
      <c r="G19" s="288"/>
      <c r="H19" s="278"/>
      <c r="I19" s="278"/>
      <c r="J19" s="279"/>
    </row>
    <row r="20" spans="2:10" ht="15.75" thickBot="1" x14ac:dyDescent="0.3">
      <c r="B20" s="270">
        <v>44609</v>
      </c>
      <c r="C20" s="546"/>
      <c r="E20" s="285" t="s">
        <v>214</v>
      </c>
      <c r="F20" s="286" t="s">
        <v>220</v>
      </c>
      <c r="G20" s="286"/>
      <c r="H20" s="280"/>
      <c r="I20" s="280"/>
      <c r="J20" s="281"/>
    </row>
    <row r="21" spans="2:10" x14ac:dyDescent="0.25">
      <c r="B21" s="270">
        <v>44610</v>
      </c>
      <c r="C21" s="546"/>
      <c r="E21" s="260"/>
    </row>
    <row r="22" spans="2:10" ht="15.75" thickBot="1" x14ac:dyDescent="0.3">
      <c r="B22" s="270">
        <v>44611</v>
      </c>
      <c r="C22" s="547"/>
      <c r="E22" s="260"/>
    </row>
    <row r="23" spans="2:10" ht="15.75" thickTop="1" x14ac:dyDescent="0.25">
      <c r="B23" s="268">
        <v>44612</v>
      </c>
      <c r="C23" s="272"/>
      <c r="E23" s="548" t="s">
        <v>215</v>
      </c>
      <c r="F23" s="282" t="s">
        <v>264</v>
      </c>
      <c r="G23" s="287"/>
      <c r="H23" s="276"/>
      <c r="I23" s="276"/>
      <c r="J23" s="277"/>
    </row>
    <row r="24" spans="2:10" x14ac:dyDescent="0.25">
      <c r="B24" s="268">
        <v>44613</v>
      </c>
      <c r="C24" s="3"/>
      <c r="E24" s="549"/>
      <c r="F24" s="283" t="s">
        <v>210</v>
      </c>
      <c r="G24" s="288"/>
      <c r="H24" s="278"/>
      <c r="I24" s="278"/>
      <c r="J24" s="279"/>
    </row>
    <row r="25" spans="2:10" x14ac:dyDescent="0.25">
      <c r="B25" s="268">
        <v>44614</v>
      </c>
      <c r="C25" s="3"/>
      <c r="E25" s="549"/>
      <c r="F25" s="283" t="s">
        <v>211</v>
      </c>
      <c r="G25" s="288"/>
      <c r="H25" s="278"/>
      <c r="I25" s="278"/>
      <c r="J25" s="279"/>
    </row>
    <row r="26" spans="2:10" x14ac:dyDescent="0.25">
      <c r="B26" s="268">
        <v>44615</v>
      </c>
      <c r="C26" s="3"/>
      <c r="E26" s="284"/>
      <c r="F26" s="283"/>
      <c r="G26" s="288"/>
      <c r="H26" s="278"/>
      <c r="I26" s="278"/>
      <c r="J26" s="279"/>
    </row>
    <row r="27" spans="2:10" x14ac:dyDescent="0.25">
      <c r="B27" s="268">
        <v>44616</v>
      </c>
      <c r="C27" s="3"/>
      <c r="E27" s="284" t="s">
        <v>216</v>
      </c>
      <c r="F27" s="283" t="s">
        <v>213</v>
      </c>
      <c r="G27" s="288"/>
      <c r="H27" s="278"/>
      <c r="I27" s="278"/>
      <c r="J27" s="279"/>
    </row>
    <row r="28" spans="2:10" x14ac:dyDescent="0.25">
      <c r="B28" s="268">
        <v>44617</v>
      </c>
      <c r="C28" s="3"/>
      <c r="E28" s="284"/>
      <c r="F28" s="283"/>
      <c r="G28" s="288"/>
      <c r="H28" s="278"/>
      <c r="I28" s="278"/>
      <c r="J28" s="279"/>
    </row>
    <row r="29" spans="2:10" ht="15.75" thickBot="1" x14ac:dyDescent="0.3">
      <c r="B29" s="268">
        <v>44618</v>
      </c>
      <c r="C29" s="3"/>
      <c r="E29" s="285" t="s">
        <v>217</v>
      </c>
      <c r="F29" s="286" t="s">
        <v>220</v>
      </c>
      <c r="G29" s="286"/>
      <c r="H29" s="280"/>
      <c r="I29" s="280"/>
      <c r="J29" s="281"/>
    </row>
    <row r="30" spans="2:10" x14ac:dyDescent="0.25">
      <c r="B30" s="268">
        <v>44619</v>
      </c>
      <c r="C30" s="3"/>
    </row>
    <row r="31" spans="2:10" ht="15.75" thickBot="1" x14ac:dyDescent="0.3">
      <c r="B31" s="269">
        <v>44620</v>
      </c>
      <c r="C31" s="180"/>
    </row>
  </sheetData>
  <mergeCells count="3">
    <mergeCell ref="C6:C22"/>
    <mergeCell ref="E14:E16"/>
    <mergeCell ref="E23:E25"/>
  </mergeCells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8830-E374-44E4-9245-5C902B3C7975}">
  <dimension ref="A1:P166"/>
  <sheetViews>
    <sheetView topLeftCell="A19"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2480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8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v>4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0"/>
      <c r="D17" s="571"/>
      <c r="E17" s="34" t="s">
        <v>38</v>
      </c>
      <c r="F17" s="570"/>
      <c r="G17" s="572"/>
      <c r="I17" s="23" t="s">
        <v>39</v>
      </c>
      <c r="J17" s="434">
        <f>+E37</f>
        <v>2691.0083788245965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4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2480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v>3</v>
      </c>
      <c r="D22" s="302">
        <f>E20/J5</f>
        <v>16.870748299319729</v>
      </c>
      <c r="E22" s="300">
        <f>-D22*C22</f>
        <v>-50.612244897959187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8</v>
      </c>
      <c r="D24" s="54">
        <f>IF($J$4&gt;=151.67,$J$3/151.67*1.25,0)</f>
        <v>20.439111228324656</v>
      </c>
      <c r="E24" s="233">
        <f>D24*C24</f>
        <v>163.51288982659725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4</v>
      </c>
      <c r="D25" s="54">
        <f>IF($J$4&gt;=151.67,$J$3/151.67*1.5,0)</f>
        <v>24.526933473989587</v>
      </c>
      <c r="E25" s="233">
        <f>D25*C25</f>
        <v>98.107733895958347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5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6"/>
      <c r="D32" s="477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2691.0083788245965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2691.0083788245965</v>
      </c>
      <c r="D41" s="74"/>
      <c r="E41" s="75"/>
      <c r="F41" s="336">
        <v>7.0000000000000007E-2</v>
      </c>
      <c r="G41" s="478">
        <f>F41*C41</f>
        <v>188.37058651772179</v>
      </c>
    </row>
    <row r="42" spans="2:7" x14ac:dyDescent="0.25">
      <c r="B42" s="335" t="s">
        <v>64</v>
      </c>
      <c r="C42" s="64">
        <f>$J$17</f>
        <v>2691.0083788245965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2691.0083788245965</v>
      </c>
      <c r="E45" s="64"/>
      <c r="F45" s="339">
        <f>J7</f>
        <v>3.9E-2</v>
      </c>
      <c r="G45" s="337">
        <f>F45*C45</f>
        <v>104.94932677415926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2691.0083788245965</v>
      </c>
      <c r="D47" s="76">
        <v>6.9000000000000006E-2</v>
      </c>
      <c r="E47" s="77">
        <f>D47*C47</f>
        <v>185.67957813889717</v>
      </c>
      <c r="F47" s="78">
        <v>8.5500000000000007E-2</v>
      </c>
      <c r="G47" s="337">
        <f>F47*C47</f>
        <v>230.08121638950303</v>
      </c>
    </row>
    <row r="48" spans="2:7" x14ac:dyDescent="0.25">
      <c r="B48" s="335" t="s">
        <v>70</v>
      </c>
      <c r="C48" s="64">
        <f>$E$37</f>
        <v>2691.0083788245965</v>
      </c>
      <c r="D48" s="76">
        <v>4.0000000000000001E-3</v>
      </c>
      <c r="E48" s="77">
        <f t="shared" ref="E48:E51" si="1">D48*C48</f>
        <v>10.764033515298387</v>
      </c>
      <c r="F48" s="78">
        <v>1.9E-2</v>
      </c>
      <c r="G48" s="337">
        <f t="shared" ref="G48:G51" si="2">F48*C48</f>
        <v>51.129159197667335</v>
      </c>
    </row>
    <row r="49" spans="2:7" x14ac:dyDescent="0.25">
      <c r="B49" s="335" t="s">
        <v>71</v>
      </c>
      <c r="C49" s="64">
        <f>$J$17</f>
        <v>2691.0083788245965</v>
      </c>
      <c r="D49" s="76">
        <v>4.0099999999999997E-2</v>
      </c>
      <c r="E49" s="77">
        <f t="shared" si="1"/>
        <v>107.90943599086631</v>
      </c>
      <c r="F49" s="78">
        <v>6.0100000000000001E-2</v>
      </c>
      <c r="G49" s="337">
        <f t="shared" si="2"/>
        <v>161.72960356735825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2691.0083788245965</v>
      </c>
      <c r="D53" s="80"/>
      <c r="E53" s="64"/>
      <c r="F53" s="78">
        <v>3.4500000000000003E-2</v>
      </c>
      <c r="G53" s="479">
        <f>F53*C53</f>
        <v>92.839789069448585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2691.0083788245965</v>
      </c>
      <c r="D55" s="80"/>
      <c r="E55" s="64"/>
      <c r="F55" s="341">
        <v>4.2000000000000003E-2</v>
      </c>
      <c r="G55" s="337">
        <f t="shared" ref="G55" si="3">F55*C55</f>
        <v>113.02235191063306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41.872090374510726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2436.6</v>
      </c>
      <c r="D61" s="76">
        <v>6.8000000000000005E-2</v>
      </c>
      <c r="E61" s="77">
        <f>D61*C61</f>
        <v>165.68880000000001</v>
      </c>
      <c r="F61" s="78"/>
      <c r="G61" s="337"/>
    </row>
    <row r="62" spans="2:7" x14ac:dyDescent="0.25">
      <c r="B62" s="338" t="s">
        <v>82</v>
      </c>
      <c r="C62" s="64">
        <f>C61</f>
        <v>2436.6</v>
      </c>
      <c r="D62" s="76">
        <v>2.9000000000000001E-2</v>
      </c>
      <c r="E62" s="77">
        <f>D62*C62</f>
        <v>70.6614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257.04226280741091</v>
      </c>
      <c r="D63" s="76">
        <v>9.7000000000000003E-2</v>
      </c>
      <c r="E63" s="77">
        <f>D63*C63</f>
        <v>24.93309949231886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>
        <f>-H146</f>
        <v>65.783823752696165</v>
      </c>
    </row>
    <row r="65" spans="2:7" x14ac:dyDescent="0.25">
      <c r="B65" s="346" t="s">
        <v>85</v>
      </c>
      <c r="C65" s="236">
        <v>100.41</v>
      </c>
      <c r="D65" s="76">
        <v>-0.11310000000000001</v>
      </c>
      <c r="E65" s="77">
        <f>D65*C65</f>
        <v>-11.356371000000001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12</v>
      </c>
      <c r="D66" s="349"/>
      <c r="E66" s="350"/>
      <c r="F66" s="351">
        <v>-1.5</v>
      </c>
      <c r="G66" s="352">
        <f>F66*C66</f>
        <v>-18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554.2799761373808</v>
      </c>
      <c r="F67" s="357"/>
      <c r="G67" s="358">
        <f>SUM(G41:G66)</f>
        <v>1031.7779475536981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0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1">
        <v>0.5</v>
      </c>
      <c r="E73" s="370">
        <f>C73*D73</f>
        <v>0</v>
      </c>
      <c r="F73" s="371"/>
      <c r="G73" s="365"/>
    </row>
    <row r="74" spans="2:7" x14ac:dyDescent="0.25">
      <c r="B74" s="482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2136.7284026872157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73" t="s">
        <v>94</v>
      </c>
      <c r="C78" s="575" t="s">
        <v>95</v>
      </c>
      <c r="D78" s="88" t="s">
        <v>59</v>
      </c>
      <c r="E78" s="577"/>
      <c r="F78" s="89"/>
      <c r="G78" s="579" t="s">
        <v>96</v>
      </c>
    </row>
    <row r="79" spans="2:7" ht="15.75" thickBot="1" x14ac:dyDescent="0.3">
      <c r="B79" s="574"/>
      <c r="C79" s="576"/>
      <c r="D79" s="383" t="s">
        <v>97</v>
      </c>
      <c r="E79" s="578"/>
      <c r="F79" s="384"/>
      <c r="G79" s="580"/>
    </row>
    <row r="80" spans="2:7" ht="15.75" thickBot="1" x14ac:dyDescent="0.3">
      <c r="B80" s="376" t="s">
        <v>98</v>
      </c>
      <c r="C80" s="483">
        <f>C87</f>
        <v>1970.702278456979</v>
      </c>
      <c r="D80" s="426">
        <f>J20</f>
        <v>6.9000000000000006E-2</v>
      </c>
      <c r="E80" s="385"/>
      <c r="F80" s="386"/>
      <c r="G80" s="387">
        <f>D80*C80</f>
        <v>135.97845721353156</v>
      </c>
    </row>
    <row r="81" spans="2:7" x14ac:dyDescent="0.25">
      <c r="B81" s="388"/>
      <c r="C81" s="389"/>
      <c r="D81" s="70"/>
      <c r="E81" s="390" t="s">
        <v>99</v>
      </c>
      <c r="F81" s="391"/>
      <c r="G81" s="484">
        <f>G76-G80</f>
        <v>2000.7499454736842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227.89865354831852</v>
      </c>
    </row>
    <row r="83" spans="2:7" ht="15.75" thickTop="1" x14ac:dyDescent="0.25">
      <c r="B83" s="557" t="s">
        <v>102</v>
      </c>
      <c r="C83" s="559"/>
      <c r="D83" s="560"/>
      <c r="E83" s="96" t="s">
        <v>103</v>
      </c>
      <c r="F83" s="97"/>
      <c r="G83" s="93">
        <f>E37+G67</f>
        <v>3722.7863263782947</v>
      </c>
    </row>
    <row r="84" spans="2:7" ht="15.75" thickBot="1" x14ac:dyDescent="0.3">
      <c r="B84" s="558"/>
      <c r="C84" s="561"/>
      <c r="D84" s="562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2691.0083788245965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1970.702278456979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63" t="s">
        <v>79</v>
      </c>
      <c r="C91" s="564"/>
      <c r="D91" s="10"/>
      <c r="E91" s="10"/>
    </row>
    <row r="92" spans="2:7" s="118" customFormat="1" x14ac:dyDescent="0.25">
      <c r="B92" s="119"/>
      <c r="C92" s="120"/>
      <c r="D92" s="565">
        <f>+E37</f>
        <v>2691.0083788245965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566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566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66"/>
      <c r="E95" s="124">
        <f t="shared" si="4"/>
        <v>0.43056134061193546</v>
      </c>
    </row>
    <row r="96" spans="2:7" s="118" customFormat="1" x14ac:dyDescent="0.25">
      <c r="B96" s="122" t="s">
        <v>113</v>
      </c>
      <c r="C96" s="123">
        <v>3.0000000000000001E-3</v>
      </c>
      <c r="D96" s="566"/>
      <c r="E96" s="124">
        <f t="shared" si="4"/>
        <v>8.0730251364737899</v>
      </c>
    </row>
    <row r="97" spans="2:5" s="118" customFormat="1" x14ac:dyDescent="0.25">
      <c r="B97" s="122" t="s">
        <v>317</v>
      </c>
      <c r="C97" s="123">
        <v>5.8999999999999999E-3</v>
      </c>
      <c r="D97" s="566"/>
      <c r="E97" s="124">
        <f t="shared" si="4"/>
        <v>15.87694943506512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66"/>
      <c r="E98" s="124">
        <f t="shared" si="4"/>
        <v>14.800546083535282</v>
      </c>
    </row>
    <row r="99" spans="2:5" s="118" customFormat="1" x14ac:dyDescent="0.25">
      <c r="B99" s="122"/>
      <c r="C99" s="123">
        <f>IF(J6&lt;=50,0,0.45%)</f>
        <v>0</v>
      </c>
      <c r="D99" s="566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2691.0083788245965</v>
      </c>
      <c r="D102" s="129">
        <v>1E-3</v>
      </c>
      <c r="E102" s="130">
        <f>D102*C102</f>
        <v>2.6910083788245966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41.872090374510726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67" t="s">
        <v>117</v>
      </c>
      <c r="C106" s="568"/>
      <c r="D106" s="568"/>
      <c r="E106" s="569"/>
    </row>
    <row r="107" spans="2:5" s="118" customFormat="1" x14ac:dyDescent="0.25">
      <c r="B107" s="134" t="s">
        <v>118</v>
      </c>
      <c r="C107" s="135">
        <f>E37</f>
        <v>2691.0083788245965</v>
      </c>
      <c r="D107" s="136">
        <v>2.4E-2</v>
      </c>
      <c r="E107" s="137">
        <f>D107*C107</f>
        <v>64.58420109179032</v>
      </c>
    </row>
    <row r="108" spans="2:5" s="118" customFormat="1" x14ac:dyDescent="0.25">
      <c r="B108" s="138" t="s">
        <v>119</v>
      </c>
      <c r="C108" s="135">
        <f>C107</f>
        <v>2691.0083788245965</v>
      </c>
      <c r="D108" s="139">
        <v>7.4999999999999997E-3</v>
      </c>
      <c r="E108" s="140">
        <f t="shared" ref="E108:E109" si="5">D108*C108</f>
        <v>20.182562841184474</v>
      </c>
    </row>
    <row r="109" spans="2:5" s="118" customFormat="1" x14ac:dyDescent="0.25">
      <c r="B109" s="138" t="s">
        <v>120</v>
      </c>
      <c r="C109" s="135">
        <f>C61+C63</f>
        <v>2693.6422628074106</v>
      </c>
      <c r="D109" s="139">
        <v>-1.7000000000000001E-2</v>
      </c>
      <c r="E109" s="140">
        <f t="shared" si="5"/>
        <v>-45.791918467725985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38.974845465248812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67" t="s">
        <v>122</v>
      </c>
      <c r="C114" s="568"/>
      <c r="D114" s="568"/>
      <c r="E114" s="569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12</v>
      </c>
      <c r="D116" s="153">
        <v>1.5</v>
      </c>
      <c r="E116" s="66">
        <f>D116*C116</f>
        <v>18</v>
      </c>
    </row>
    <row r="117" spans="2:9" s="118" customFormat="1" ht="15.75" customHeight="1" x14ac:dyDescent="0.25">
      <c r="B117" s="151" t="s">
        <v>125</v>
      </c>
      <c r="C117" s="154">
        <f>C41</f>
        <v>2691.0083788245965</v>
      </c>
      <c r="D117" s="139">
        <v>1.7999999999999999E-2</v>
      </c>
      <c r="E117" s="66">
        <f>D117*C117</f>
        <v>48.438150818842736</v>
      </c>
    </row>
    <row r="118" spans="2:9" s="118" customFormat="1" ht="15.75" customHeight="1" x14ac:dyDescent="0.25">
      <c r="B118" s="151" t="s">
        <v>126</v>
      </c>
      <c r="C118" s="154">
        <f>C117</f>
        <v>2691.0083788245965</v>
      </c>
      <c r="D118" s="139">
        <v>0.06</v>
      </c>
      <c r="E118" s="66">
        <f>D118*C118</f>
        <v>161.46050272947579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227.89865354831852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0" t="s">
        <v>230</v>
      </c>
      <c r="C128" s="551"/>
      <c r="D128" s="551"/>
      <c r="E128" s="551"/>
    </row>
    <row r="129" spans="1:8" hidden="1" x14ac:dyDescent="0.25"/>
    <row r="130" spans="1:8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1:8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1:8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1:8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1:8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1:8" ht="15.75" hidden="1" thickBot="1" x14ac:dyDescent="0.3">
      <c r="B135" s="399" t="s">
        <v>240</v>
      </c>
      <c r="C135" s="397"/>
      <c r="D135" s="552" t="s">
        <v>241</v>
      </c>
      <c r="E135" s="552"/>
      <c r="F135" s="553"/>
    </row>
    <row r="136" spans="1:8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1:8" hidden="1" x14ac:dyDescent="0.25"/>
    <row r="138" spans="1:8" s="469" customFormat="1" ht="21.75" thickBot="1" x14ac:dyDescent="0.3">
      <c r="A138" s="587" t="s">
        <v>180</v>
      </c>
      <c r="B138" s="588"/>
      <c r="C138" s="588"/>
      <c r="D138" s="588"/>
      <c r="E138" s="588"/>
      <c r="F138" s="588"/>
      <c r="G138" s="588"/>
      <c r="H138" s="588"/>
    </row>
    <row r="139" spans="1:8" s="469" customFormat="1" ht="15.75" thickBot="1" x14ac:dyDescent="0.3">
      <c r="A139" s="485" t="s">
        <v>150</v>
      </c>
      <c r="B139" s="486">
        <v>0.31950000000000001</v>
      </c>
      <c r="C139" s="487"/>
      <c r="D139" s="487"/>
      <c r="E139" s="487"/>
      <c r="F139" s="487"/>
      <c r="G139" s="487"/>
      <c r="H139" s="487"/>
    </row>
    <row r="140" spans="1:8" s="469" customFormat="1" ht="15.75" thickBot="1" x14ac:dyDescent="0.3">
      <c r="A140" s="487"/>
      <c r="B140" s="487"/>
      <c r="C140" s="487"/>
      <c r="D140" s="487"/>
      <c r="E140" s="487"/>
      <c r="F140" s="487"/>
      <c r="G140" s="487"/>
      <c r="H140" s="487"/>
    </row>
    <row r="141" spans="1:8" s="469" customFormat="1" ht="30" x14ac:dyDescent="0.25">
      <c r="A141" s="488" t="s">
        <v>151</v>
      </c>
      <c r="B141" s="489" t="s">
        <v>152</v>
      </c>
      <c r="C141" s="489" t="s">
        <v>153</v>
      </c>
      <c r="D141" s="490" t="s">
        <v>154</v>
      </c>
      <c r="E141" s="490" t="s">
        <v>155</v>
      </c>
      <c r="F141" s="490" t="s">
        <v>156</v>
      </c>
      <c r="G141" s="490" t="s">
        <v>157</v>
      </c>
      <c r="H141" s="491" t="s">
        <v>158</v>
      </c>
    </row>
    <row r="142" spans="1:8" s="469" customFormat="1" x14ac:dyDescent="0.25">
      <c r="A142" s="492">
        <v>43831</v>
      </c>
      <c r="B142" s="493">
        <f>E20</f>
        <v>2480</v>
      </c>
      <c r="C142" s="494">
        <f>B142</f>
        <v>2480</v>
      </c>
      <c r="D142" s="495">
        <v>1603.12</v>
      </c>
      <c r="E142" s="495">
        <f>+D142</f>
        <v>1603.12</v>
      </c>
      <c r="F142" s="496">
        <f>ROUND((0.3195/0.6)*((1.6*E142/C142)-1),4)</f>
        <v>1.8200000000000001E-2</v>
      </c>
      <c r="G142" s="494">
        <f>IF(F142&gt;0,F142*C142,0)</f>
        <v>45.136000000000003</v>
      </c>
      <c r="H142" s="497">
        <f>G142</f>
        <v>45.136000000000003</v>
      </c>
    </row>
    <row r="143" spans="1:8" s="469" customFormat="1" x14ac:dyDescent="0.25">
      <c r="A143" s="492">
        <v>43862</v>
      </c>
      <c r="B143" s="493">
        <f>B142</f>
        <v>2480</v>
      </c>
      <c r="C143" s="494">
        <f>C142+B143</f>
        <v>4960</v>
      </c>
      <c r="D143" s="495">
        <v>1603.12</v>
      </c>
      <c r="E143" s="495">
        <f>D143+E142</f>
        <v>3206.24</v>
      </c>
      <c r="F143" s="496">
        <f t="shared" ref="F143:F146" si="9">ROUND((0.3195/0.6)*((1.6*E143/C143)-1),4)</f>
        <v>1.8200000000000001E-2</v>
      </c>
      <c r="G143" s="494">
        <f>IF(F143&gt;0,F143*C143,0)</f>
        <v>90.272000000000006</v>
      </c>
      <c r="H143" s="497">
        <f>G143-G142</f>
        <v>45.136000000000003</v>
      </c>
    </row>
    <row r="144" spans="1:8" s="469" customFormat="1" x14ac:dyDescent="0.25">
      <c r="A144" s="492">
        <v>43891</v>
      </c>
      <c r="B144" s="493">
        <f t="shared" ref="B144:B145" si="10">B143</f>
        <v>2480</v>
      </c>
      <c r="C144" s="494">
        <f>C143+B144</f>
        <v>7440</v>
      </c>
      <c r="D144" s="495">
        <v>1603.12</v>
      </c>
      <c r="E144" s="495">
        <f>D144+E143</f>
        <v>4809.3599999999997</v>
      </c>
      <c r="F144" s="496">
        <f t="shared" si="9"/>
        <v>1.8200000000000001E-2</v>
      </c>
      <c r="G144" s="498">
        <f>IF(F144&gt;0,F144*C144,0)</f>
        <v>135.40800000000002</v>
      </c>
      <c r="H144" s="499">
        <f>G144-G143</f>
        <v>45.13600000000001</v>
      </c>
    </row>
    <row r="145" spans="1:8" s="469" customFormat="1" x14ac:dyDescent="0.25">
      <c r="A145" s="492">
        <v>43922</v>
      </c>
      <c r="B145" s="493">
        <f t="shared" si="10"/>
        <v>2480</v>
      </c>
      <c r="C145" s="494">
        <f>C144+B145</f>
        <v>9920</v>
      </c>
      <c r="D145" s="495">
        <v>1603.12</v>
      </c>
      <c r="E145" s="495">
        <f>D145+E144</f>
        <v>6412.48</v>
      </c>
      <c r="F145" s="496">
        <f t="shared" si="9"/>
        <v>1.8200000000000001E-2</v>
      </c>
      <c r="G145" s="494">
        <f>IF(F145&gt;0,F145*C145,0)</f>
        <v>180.54400000000001</v>
      </c>
      <c r="H145" s="499">
        <f>G145-G144</f>
        <v>45.135999999999996</v>
      </c>
    </row>
    <row r="146" spans="1:8" s="469" customFormat="1" ht="15.75" thickBot="1" x14ac:dyDescent="0.3">
      <c r="A146" s="500">
        <v>43952</v>
      </c>
      <c r="B146" s="225">
        <f>E37</f>
        <v>2691.0083788245965</v>
      </c>
      <c r="C146" s="494">
        <f>C145+B146</f>
        <v>12611.008378824597</v>
      </c>
      <c r="D146" s="495">
        <v>1604.12</v>
      </c>
      <c r="E146" s="495">
        <f>D146+E145</f>
        <v>8016.5999999999995</v>
      </c>
      <c r="F146" s="496">
        <f t="shared" si="9"/>
        <v>9.1000000000000004E-3</v>
      </c>
      <c r="G146" s="494">
        <f>IF(F146&gt;0,F146*C146,0)</f>
        <v>114.76017624730385</v>
      </c>
      <c r="H146" s="499">
        <f>G146-G145</f>
        <v>-65.783823752696165</v>
      </c>
    </row>
    <row r="147" spans="1:8" s="469" customFormat="1" x14ac:dyDescent="0.25"/>
    <row r="148" spans="1:8" s="469" customFormat="1" x14ac:dyDescent="0.25"/>
    <row r="149" spans="1:8" s="469" customFormat="1" x14ac:dyDescent="0.25"/>
    <row r="150" spans="1:8" s="469" customFormat="1" x14ac:dyDescent="0.25"/>
    <row r="151" spans="1:8" hidden="1" x14ac:dyDescent="0.25">
      <c r="B151" s="138" t="s">
        <v>138</v>
      </c>
      <c r="C151" s="410">
        <v>44531</v>
      </c>
      <c r="D151" s="411">
        <v>3000</v>
      </c>
      <c r="E151" s="412">
        <f t="shared" ref="E151:E152" si="11">1.8*1603.12</f>
        <v>2885.616</v>
      </c>
    </row>
    <row r="152" spans="1:8" hidden="1" x14ac:dyDescent="0.25">
      <c r="B152" s="138" t="s">
        <v>139</v>
      </c>
      <c r="C152" s="410">
        <v>44501</v>
      </c>
      <c r="D152" s="411">
        <v>2900</v>
      </c>
      <c r="E152" s="412">
        <f t="shared" si="11"/>
        <v>2885.616</v>
      </c>
    </row>
    <row r="153" spans="1:8" hidden="1" x14ac:dyDescent="0.25">
      <c r="B153" s="138" t="s">
        <v>140</v>
      </c>
      <c r="C153" s="169"/>
      <c r="D153" s="169"/>
      <c r="E153" s="140">
        <f>SUM(E150:E152)</f>
        <v>5771.232</v>
      </c>
    </row>
    <row r="154" spans="1:8" hidden="1" x14ac:dyDescent="0.25">
      <c r="B154" s="138" t="s">
        <v>141</v>
      </c>
      <c r="C154" s="169"/>
      <c r="D154" s="169"/>
      <c r="E154" s="140">
        <f>E153/91.25*0.5</f>
        <v>31.623189041095891</v>
      </c>
    </row>
    <row r="155" spans="1:8" hidden="1" x14ac:dyDescent="0.25">
      <c r="B155" s="138" t="s">
        <v>242</v>
      </c>
      <c r="C155" s="169"/>
      <c r="D155" s="413" t="s">
        <v>318</v>
      </c>
      <c r="E155" s="170">
        <f>E145-3</f>
        <v>6409.48</v>
      </c>
    </row>
    <row r="156" spans="1:8" hidden="1" x14ac:dyDescent="0.25">
      <c r="B156" s="138" t="s">
        <v>142</v>
      </c>
      <c r="C156" s="169"/>
      <c r="D156" s="169"/>
      <c r="E156" s="414">
        <f>E155*E154</f>
        <v>202688.19769512326</v>
      </c>
    </row>
    <row r="157" spans="1:8" hidden="1" x14ac:dyDescent="0.25">
      <c r="B157" s="138" t="s">
        <v>143</v>
      </c>
      <c r="C157" s="169"/>
      <c r="D157" s="169"/>
      <c r="E157" s="140">
        <f>E156*6.7%</f>
        <v>13580.10924557326</v>
      </c>
    </row>
    <row r="158" spans="1:8" ht="15.75" hidden="1" thickBot="1" x14ac:dyDescent="0.3">
      <c r="B158" s="171" t="s">
        <v>144</v>
      </c>
      <c r="C158" s="69"/>
      <c r="D158" s="69"/>
      <c r="E158" s="415">
        <f>E156-E157</f>
        <v>189108.08844955001</v>
      </c>
    </row>
    <row r="159" spans="1:8" hidden="1" x14ac:dyDescent="0.25"/>
    <row r="160" spans="1:8" hidden="1" x14ac:dyDescent="0.25">
      <c r="B160" s="554" t="s">
        <v>54</v>
      </c>
      <c r="C160" s="555"/>
      <c r="D160" s="555"/>
      <c r="E160" s="556"/>
    </row>
    <row r="161" spans="2:5" hidden="1" x14ac:dyDescent="0.25">
      <c r="B161" s="158" t="s">
        <v>145</v>
      </c>
      <c r="C161" s="159"/>
      <c r="D161" s="159"/>
      <c r="E161" s="416">
        <f>E145-7</f>
        <v>6405.48</v>
      </c>
    </row>
    <row r="162" spans="2:5" hidden="1" x14ac:dyDescent="0.25">
      <c r="B162" s="158" t="s">
        <v>146</v>
      </c>
      <c r="C162" s="159"/>
      <c r="D162" s="159"/>
      <c r="E162" s="160">
        <f>E144*0.9</f>
        <v>4328.424</v>
      </c>
    </row>
    <row r="163" spans="2:5" ht="16.5" hidden="1" thickTop="1" thickBot="1" x14ac:dyDescent="0.3">
      <c r="B163" s="158" t="s">
        <v>147</v>
      </c>
      <c r="C163" s="159"/>
      <c r="D163" s="159"/>
      <c r="E163" s="409">
        <f>E161*E162</f>
        <v>27725633.363519996</v>
      </c>
    </row>
    <row r="164" spans="2:5" hidden="1" x14ac:dyDescent="0.25">
      <c r="B164" s="138" t="s">
        <v>148</v>
      </c>
      <c r="C164" s="159"/>
      <c r="D164" s="159"/>
      <c r="E164" s="417">
        <f>E154</f>
        <v>31.623189041095891</v>
      </c>
    </row>
    <row r="165" spans="2:5" ht="16.5" hidden="1" thickTop="1" thickBot="1" x14ac:dyDescent="0.3">
      <c r="B165" s="161" t="s">
        <v>149</v>
      </c>
      <c r="C165" s="418">
        <f>E161</f>
        <v>6405.48</v>
      </c>
      <c r="D165" s="419">
        <f>E164</f>
        <v>31.623189041095891</v>
      </c>
      <c r="E165" s="409">
        <f>D165*C165</f>
        <v>202561.70493895889</v>
      </c>
    </row>
    <row r="166" spans="2:5" hidden="1" x14ac:dyDescent="0.25"/>
  </sheetData>
  <mergeCells count="16">
    <mergeCell ref="C17:D17"/>
    <mergeCell ref="F17:G17"/>
    <mergeCell ref="B78:B79"/>
    <mergeCell ref="C78:C79"/>
    <mergeCell ref="E78:E79"/>
    <mergeCell ref="G78:G79"/>
    <mergeCell ref="B128:E128"/>
    <mergeCell ref="D135:F135"/>
    <mergeCell ref="A138:H138"/>
    <mergeCell ref="B160:E160"/>
    <mergeCell ref="B83:B84"/>
    <mergeCell ref="C83:D84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5652-764D-4D71-A797-14EF8370EDE1}">
  <dimension ref="A2:K54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1.42578125" style="469" customWidth="1"/>
    <col min="2" max="2" width="13" style="469" bestFit="1" customWidth="1"/>
    <col min="3" max="3" width="12.7109375" style="469" bestFit="1" customWidth="1"/>
    <col min="4" max="5" width="16.85546875" style="469" bestFit="1" customWidth="1"/>
    <col min="6" max="6" width="12.42578125" style="469" bestFit="1" customWidth="1"/>
    <col min="7" max="7" width="12.85546875" style="469" customWidth="1"/>
    <col min="8" max="8" width="13" style="469" bestFit="1" customWidth="1"/>
    <col min="9" max="9" width="13.7109375" style="469" customWidth="1"/>
    <col min="10" max="10" width="14.42578125" style="469" customWidth="1"/>
    <col min="11" max="11" width="11.85546875" style="469" bestFit="1" customWidth="1"/>
    <col min="12" max="12" width="11.5703125" style="469" bestFit="1" customWidth="1"/>
    <col min="13" max="16384" width="11.42578125" style="469"/>
  </cols>
  <sheetData>
    <row r="2" spans="1:10" ht="23.25" x14ac:dyDescent="0.25">
      <c r="A2" s="183" t="s">
        <v>161</v>
      </c>
      <c r="B2" s="184"/>
      <c r="C2" s="184"/>
      <c r="D2" s="184"/>
      <c r="E2" s="184"/>
      <c r="F2" s="184"/>
      <c r="G2" s="184"/>
      <c r="H2" s="184"/>
    </row>
    <row r="4" spans="1:10" ht="18.75" x14ac:dyDescent="0.25">
      <c r="A4" s="185" t="s">
        <v>162</v>
      </c>
      <c r="D4" s="186">
        <v>3428</v>
      </c>
      <c r="F4" s="178" t="s">
        <v>319</v>
      </c>
      <c r="H4" s="501" t="s">
        <v>320</v>
      </c>
      <c r="I4" s="178">
        <v>21</v>
      </c>
    </row>
    <row r="5" spans="1:10" ht="15.75" thickBot="1" x14ac:dyDescent="0.3"/>
    <row r="6" spans="1:10" ht="30" x14ac:dyDescent="0.25">
      <c r="A6" s="5" t="s">
        <v>151</v>
      </c>
      <c r="B6" s="2" t="s">
        <v>107</v>
      </c>
      <c r="C6" s="2" t="s">
        <v>163</v>
      </c>
      <c r="D6" s="2" t="s">
        <v>164</v>
      </c>
      <c r="E6" s="175" t="s">
        <v>165</v>
      </c>
      <c r="F6" s="175" t="s">
        <v>166</v>
      </c>
      <c r="G6" s="175" t="s">
        <v>167</v>
      </c>
      <c r="H6" s="176" t="s">
        <v>168</v>
      </c>
      <c r="J6" s="178" t="s">
        <v>321</v>
      </c>
    </row>
    <row r="7" spans="1:10" x14ac:dyDescent="0.25">
      <c r="A7" s="502" t="s">
        <v>266</v>
      </c>
      <c r="B7" s="188">
        <v>3800</v>
      </c>
      <c r="C7" s="503">
        <f>B7</f>
        <v>3800</v>
      </c>
      <c r="D7" s="503">
        <v>3428</v>
      </c>
      <c r="E7" s="503">
        <f>D7</f>
        <v>3428</v>
      </c>
      <c r="F7" s="503">
        <f>MIN(C7,E7)</f>
        <v>3428</v>
      </c>
      <c r="G7" s="503">
        <f>F7</f>
        <v>3428</v>
      </c>
      <c r="H7" s="504">
        <f t="shared" ref="H7" si="0">B7-G7</f>
        <v>372</v>
      </c>
      <c r="J7" s="178" t="s">
        <v>322</v>
      </c>
    </row>
    <row r="8" spans="1:10" x14ac:dyDescent="0.25">
      <c r="A8" s="502" t="s">
        <v>323</v>
      </c>
      <c r="B8" s="188">
        <v>3800</v>
      </c>
      <c r="C8" s="503">
        <f>C7+B8</f>
        <v>7600</v>
      </c>
      <c r="D8" s="503">
        <v>3428</v>
      </c>
      <c r="E8" s="503">
        <f>E7+D8</f>
        <v>6856</v>
      </c>
      <c r="F8" s="505">
        <f t="shared" ref="F8:F11" si="1">MIN(C8,E8)</f>
        <v>6856</v>
      </c>
      <c r="G8" s="503">
        <f>F8-F7</f>
        <v>3428</v>
      </c>
      <c r="H8" s="504">
        <f>B8-G8</f>
        <v>372</v>
      </c>
    </row>
    <row r="9" spans="1:10" x14ac:dyDescent="0.25">
      <c r="A9" s="502" t="s">
        <v>324</v>
      </c>
      <c r="B9" s="188">
        <v>3800</v>
      </c>
      <c r="C9" s="503">
        <f t="shared" ref="C9:C11" si="2">C8+B9</f>
        <v>11400</v>
      </c>
      <c r="D9" s="503">
        <v>3428</v>
      </c>
      <c r="E9" s="503">
        <f t="shared" ref="E9:E11" si="3">E8+D9</f>
        <v>10284</v>
      </c>
      <c r="F9" s="505">
        <f t="shared" si="1"/>
        <v>10284</v>
      </c>
      <c r="G9" s="503">
        <f t="shared" ref="G9:G11" si="4">F9-F8</f>
        <v>3428</v>
      </c>
      <c r="H9" s="504">
        <f t="shared" ref="H9:H11" si="5">B9-G9</f>
        <v>372</v>
      </c>
    </row>
    <row r="10" spans="1:10" x14ac:dyDescent="0.25">
      <c r="A10" s="502" t="s">
        <v>325</v>
      </c>
      <c r="B10" s="188">
        <v>3800</v>
      </c>
      <c r="C10" s="503">
        <f t="shared" si="2"/>
        <v>15200</v>
      </c>
      <c r="D10" s="503">
        <v>3428</v>
      </c>
      <c r="E10" s="503">
        <f t="shared" si="3"/>
        <v>13712</v>
      </c>
      <c r="F10" s="505">
        <f t="shared" si="1"/>
        <v>13712</v>
      </c>
      <c r="G10" s="503">
        <f t="shared" si="4"/>
        <v>3428</v>
      </c>
      <c r="H10" s="504">
        <f t="shared" si="5"/>
        <v>372</v>
      </c>
    </row>
    <row r="11" spans="1:10" ht="15.75" thickBot="1" x14ac:dyDescent="0.3">
      <c r="A11" s="506" t="s">
        <v>326</v>
      </c>
      <c r="B11" s="507">
        <f>+'Bulletin 3'!E37</f>
        <v>3853.1886045114952</v>
      </c>
      <c r="C11" s="508">
        <f t="shared" si="2"/>
        <v>19053.188604511495</v>
      </c>
      <c r="D11" s="508">
        <f>3428*0.870967741935484</f>
        <v>2985.677419354839</v>
      </c>
      <c r="E11" s="508">
        <f t="shared" si="3"/>
        <v>16697.677419354841</v>
      </c>
      <c r="F11" s="509">
        <f t="shared" si="1"/>
        <v>16697.677419354841</v>
      </c>
      <c r="G11" s="510">
        <f t="shared" si="4"/>
        <v>2985.6774193548408</v>
      </c>
      <c r="H11" s="511">
        <f t="shared" si="5"/>
        <v>867.51118515665439</v>
      </c>
    </row>
    <row r="12" spans="1:10" x14ac:dyDescent="0.25">
      <c r="A12" s="420"/>
      <c r="B12" s="512"/>
      <c r="C12" s="422"/>
      <c r="D12" s="422" t="s">
        <v>327</v>
      </c>
    </row>
    <row r="14" spans="1:10" ht="23.25" hidden="1" x14ac:dyDescent="0.25">
      <c r="A14" s="513" t="s">
        <v>169</v>
      </c>
      <c r="B14" s="184"/>
      <c r="C14" s="184"/>
      <c r="D14" s="184"/>
      <c r="E14" s="184"/>
      <c r="F14" s="184"/>
      <c r="G14" s="184"/>
      <c r="H14" s="184"/>
    </row>
    <row r="15" spans="1:10" hidden="1" x14ac:dyDescent="0.25"/>
    <row r="16" spans="1:10" hidden="1" x14ac:dyDescent="0.25"/>
    <row r="17" spans="1:11" ht="45" hidden="1" x14ac:dyDescent="0.25">
      <c r="A17" s="193"/>
      <c r="B17" s="194" t="s">
        <v>107</v>
      </c>
      <c r="C17" s="194" t="s">
        <v>163</v>
      </c>
      <c r="D17" s="195" t="s">
        <v>185</v>
      </c>
      <c r="E17" s="195" t="s">
        <v>154</v>
      </c>
      <c r="F17" s="195" t="s">
        <v>170</v>
      </c>
      <c r="G17" s="195" t="s">
        <v>171</v>
      </c>
      <c r="H17" s="175" t="s">
        <v>328</v>
      </c>
      <c r="I17" s="195" t="s">
        <v>329</v>
      </c>
      <c r="J17" s="196" t="s">
        <v>173</v>
      </c>
      <c r="K17" s="197" t="s">
        <v>330</v>
      </c>
    </row>
    <row r="18" spans="1:11" hidden="1" x14ac:dyDescent="0.25">
      <c r="A18" s="502" t="s">
        <v>266</v>
      </c>
      <c r="B18" s="208">
        <f>+B7</f>
        <v>3800</v>
      </c>
      <c r="C18" s="208">
        <f>B18</f>
        <v>3800</v>
      </c>
      <c r="D18" s="209">
        <f>+B18</f>
        <v>3800</v>
      </c>
      <c r="E18" s="514">
        <v>1603.12</v>
      </c>
      <c r="F18" s="208">
        <f t="shared" ref="F18:F22" si="6">2.5*E18</f>
        <v>4007.7999999999997</v>
      </c>
      <c r="G18" s="208">
        <f>F18</f>
        <v>4007.7999999999997</v>
      </c>
      <c r="H18" s="294" t="str">
        <f t="shared" ref="H18" si="7">IF(C18&gt;G18,"OUI","")</f>
        <v/>
      </c>
      <c r="I18" s="515">
        <f>IF(H18="OUI",C18,0)</f>
        <v>0</v>
      </c>
      <c r="J18" s="209">
        <f>I18</f>
        <v>0</v>
      </c>
      <c r="K18" s="211">
        <f>(D18*7%)+(J18*6%)</f>
        <v>266</v>
      </c>
    </row>
    <row r="19" spans="1:11" hidden="1" x14ac:dyDescent="0.25">
      <c r="A19" s="502" t="s">
        <v>323</v>
      </c>
      <c r="B19" s="208">
        <f t="shared" ref="B19:B22" si="8">+B8</f>
        <v>3800</v>
      </c>
      <c r="C19" s="208">
        <f>C18+B19</f>
        <v>7600</v>
      </c>
      <c r="D19" s="209">
        <f t="shared" ref="D19:D22" si="9">+B19</f>
        <v>3800</v>
      </c>
      <c r="E19" s="514">
        <v>1603.12</v>
      </c>
      <c r="F19" s="208">
        <f t="shared" si="6"/>
        <v>4007.7999999999997</v>
      </c>
      <c r="G19" s="208">
        <f t="shared" ref="G19:G22" si="10">G18+F19</f>
        <v>8015.5999999999995</v>
      </c>
      <c r="H19" s="294" t="str">
        <f>IF(C19&gt;G19,"OUI","")</f>
        <v/>
      </c>
      <c r="I19" s="515">
        <f>IF(H19="OUI",C19,0)</f>
        <v>0</v>
      </c>
      <c r="J19" s="209">
        <f>I19-I18</f>
        <v>0</v>
      </c>
      <c r="K19" s="211">
        <f t="shared" ref="K19:K22" si="11">(D19*7%)+(J19*6%)</f>
        <v>266</v>
      </c>
    </row>
    <row r="20" spans="1:11" hidden="1" x14ac:dyDescent="0.25">
      <c r="A20" s="502" t="s">
        <v>324</v>
      </c>
      <c r="B20" s="208">
        <f t="shared" si="8"/>
        <v>3800</v>
      </c>
      <c r="C20" s="208">
        <f t="shared" ref="C20:C22" si="12">C19+B20</f>
        <v>11400</v>
      </c>
      <c r="D20" s="209">
        <f t="shared" si="9"/>
        <v>3800</v>
      </c>
      <c r="E20" s="514">
        <v>1603.12</v>
      </c>
      <c r="F20" s="208">
        <f t="shared" si="6"/>
        <v>4007.7999999999997</v>
      </c>
      <c r="G20" s="208">
        <f t="shared" si="10"/>
        <v>12023.4</v>
      </c>
      <c r="H20" s="294" t="str">
        <f t="shared" ref="H20:H22" si="13">IF(C20&gt;G20,"OUI","")</f>
        <v/>
      </c>
      <c r="I20" s="515">
        <f t="shared" ref="I20:I22" si="14">IF(H20="OUI",C20,0)</f>
        <v>0</v>
      </c>
      <c r="J20" s="209">
        <f t="shared" ref="J20:J22" si="15">I20-I19</f>
        <v>0</v>
      </c>
      <c r="K20" s="211">
        <f t="shared" si="11"/>
        <v>266</v>
      </c>
    </row>
    <row r="21" spans="1:11" hidden="1" x14ac:dyDescent="0.25">
      <c r="A21" s="502" t="s">
        <v>325</v>
      </c>
      <c r="B21" s="208">
        <f t="shared" si="8"/>
        <v>3800</v>
      </c>
      <c r="C21" s="208">
        <f t="shared" si="12"/>
        <v>15200</v>
      </c>
      <c r="D21" s="209">
        <f t="shared" si="9"/>
        <v>3800</v>
      </c>
      <c r="E21" s="514">
        <v>1603.12</v>
      </c>
      <c r="F21" s="208">
        <f t="shared" si="6"/>
        <v>4007.7999999999997</v>
      </c>
      <c r="G21" s="208">
        <f t="shared" si="10"/>
        <v>16031.199999999999</v>
      </c>
      <c r="H21" s="294" t="str">
        <f t="shared" si="13"/>
        <v/>
      </c>
      <c r="I21" s="515">
        <f t="shared" si="14"/>
        <v>0</v>
      </c>
      <c r="J21" s="209">
        <f t="shared" si="15"/>
        <v>0</v>
      </c>
      <c r="K21" s="211">
        <f t="shared" si="11"/>
        <v>266</v>
      </c>
    </row>
    <row r="22" spans="1:11" hidden="1" x14ac:dyDescent="0.25">
      <c r="A22" s="502" t="s">
        <v>326</v>
      </c>
      <c r="B22" s="208">
        <f t="shared" si="8"/>
        <v>3853.1886045114952</v>
      </c>
      <c r="C22" s="208">
        <f t="shared" si="12"/>
        <v>19053.188604511495</v>
      </c>
      <c r="D22" s="209">
        <f t="shared" si="9"/>
        <v>3853.1886045114952</v>
      </c>
      <c r="E22" s="514">
        <v>1603.12</v>
      </c>
      <c r="F22" s="208">
        <f t="shared" si="6"/>
        <v>4007.7999999999997</v>
      </c>
      <c r="G22" s="208">
        <f t="shared" si="10"/>
        <v>20039</v>
      </c>
      <c r="H22" s="294" t="str">
        <f t="shared" si="13"/>
        <v/>
      </c>
      <c r="I22" s="515">
        <f t="shared" si="14"/>
        <v>0</v>
      </c>
      <c r="J22" s="209">
        <f t="shared" si="15"/>
        <v>0</v>
      </c>
      <c r="K22" s="211">
        <f t="shared" si="11"/>
        <v>269.72320231580471</v>
      </c>
    </row>
    <row r="23" spans="1:11" hidden="1" x14ac:dyDescent="0.25">
      <c r="A23" s="420"/>
      <c r="B23" s="516"/>
      <c r="C23" s="516"/>
      <c r="D23" s="424"/>
      <c r="E23" s="517"/>
      <c r="F23" s="516"/>
      <c r="G23" s="516"/>
      <c r="H23" s="518"/>
      <c r="I23" s="519"/>
      <c r="J23" s="424"/>
    </row>
    <row r="24" spans="1:11" hidden="1" x14ac:dyDescent="0.25"/>
    <row r="25" spans="1:11" ht="23.25" hidden="1" x14ac:dyDescent="0.25">
      <c r="A25" s="513" t="s">
        <v>174</v>
      </c>
      <c r="B25" s="184"/>
      <c r="C25" s="184"/>
      <c r="D25" s="184"/>
      <c r="E25" s="184"/>
      <c r="F25" s="184"/>
      <c r="G25" s="184"/>
      <c r="H25" s="184"/>
    </row>
    <row r="26" spans="1:11" hidden="1" x14ac:dyDescent="0.25"/>
    <row r="27" spans="1:11" hidden="1" x14ac:dyDescent="0.25"/>
    <row r="28" spans="1:11" s="178" customFormat="1" ht="45" hidden="1" x14ac:dyDescent="0.25">
      <c r="A28" s="193"/>
      <c r="B28" s="194" t="s">
        <v>107</v>
      </c>
      <c r="C28" s="194" t="s">
        <v>163</v>
      </c>
      <c r="D28" s="195" t="s">
        <v>187</v>
      </c>
      <c r="E28" s="195" t="s">
        <v>154</v>
      </c>
      <c r="F28" s="195" t="s">
        <v>175</v>
      </c>
      <c r="G28" s="195" t="s">
        <v>176</v>
      </c>
      <c r="H28" s="175" t="s">
        <v>331</v>
      </c>
      <c r="I28" s="195" t="s">
        <v>332</v>
      </c>
      <c r="J28" s="196" t="s">
        <v>178</v>
      </c>
      <c r="K28" s="197" t="s">
        <v>330</v>
      </c>
    </row>
    <row r="29" spans="1:11" ht="21.75" hidden="1" customHeight="1" x14ac:dyDescent="0.25">
      <c r="A29" s="502" t="s">
        <v>266</v>
      </c>
      <c r="B29" s="208">
        <f>+B18</f>
        <v>3800</v>
      </c>
      <c r="C29" s="208">
        <f>B29</f>
        <v>3800</v>
      </c>
      <c r="D29" s="209">
        <f>+B29</f>
        <v>3800</v>
      </c>
      <c r="E29" s="514">
        <v>1603.12</v>
      </c>
      <c r="F29" s="208">
        <f>3.5*E29</f>
        <v>5610.92</v>
      </c>
      <c r="G29" s="208">
        <f>F29</f>
        <v>5610.92</v>
      </c>
      <c r="H29" s="294" t="str">
        <f>IF(C29&gt;G29,"OUI","")</f>
        <v/>
      </c>
      <c r="I29" s="515">
        <f>IF(H29="OUI",C29,0)</f>
        <v>0</v>
      </c>
      <c r="J29" s="209">
        <f>I29</f>
        <v>0</v>
      </c>
      <c r="K29" s="211">
        <f>(D29*3.45%)+(J29*1.8%)</f>
        <v>131.10000000000002</v>
      </c>
    </row>
    <row r="30" spans="1:11" ht="21.75" hidden="1" customHeight="1" x14ac:dyDescent="0.25">
      <c r="A30" s="502" t="s">
        <v>323</v>
      </c>
      <c r="B30" s="208">
        <f t="shared" ref="B30:B33" si="16">+B19</f>
        <v>3800</v>
      </c>
      <c r="C30" s="208">
        <f>C29+B30</f>
        <v>7600</v>
      </c>
      <c r="D30" s="209">
        <f t="shared" ref="D30:D33" si="17">B30</f>
        <v>3800</v>
      </c>
      <c r="E30" s="514">
        <v>1603.12</v>
      </c>
      <c r="F30" s="208">
        <f t="shared" ref="F30:F33" si="18">3.5*E30</f>
        <v>5610.92</v>
      </c>
      <c r="G30" s="208">
        <f t="shared" ref="G30:G33" si="19">G29+F30</f>
        <v>11221.84</v>
      </c>
      <c r="H30" s="294" t="str">
        <f t="shared" ref="H30:H33" si="20">IF(C30&gt;G30,"OUI","")</f>
        <v/>
      </c>
      <c r="I30" s="515">
        <f>IF(H30="OUI",C30,0)</f>
        <v>0</v>
      </c>
      <c r="J30" s="209">
        <f>I30-I29</f>
        <v>0</v>
      </c>
      <c r="K30" s="211">
        <f t="shared" ref="K30:K33" si="21">(D30*3.45%)+(J30*1.8%)</f>
        <v>131.10000000000002</v>
      </c>
    </row>
    <row r="31" spans="1:11" ht="21.75" hidden="1" customHeight="1" x14ac:dyDescent="0.25">
      <c r="A31" s="502" t="s">
        <v>324</v>
      </c>
      <c r="B31" s="208">
        <f t="shared" si="16"/>
        <v>3800</v>
      </c>
      <c r="C31" s="208">
        <f t="shared" ref="C31:C33" si="22">C30+B31</f>
        <v>11400</v>
      </c>
      <c r="D31" s="209">
        <f t="shared" si="17"/>
        <v>3800</v>
      </c>
      <c r="E31" s="514">
        <v>1603.12</v>
      </c>
      <c r="F31" s="208">
        <f t="shared" si="18"/>
        <v>5610.92</v>
      </c>
      <c r="G31" s="208">
        <f t="shared" si="19"/>
        <v>16832.760000000002</v>
      </c>
      <c r="H31" s="294" t="str">
        <f t="shared" si="20"/>
        <v/>
      </c>
      <c r="I31" s="515">
        <f t="shared" ref="I31:I33" si="23">IF(H31="OUI",C31,0)</f>
        <v>0</v>
      </c>
      <c r="J31" s="209">
        <f t="shared" ref="J31:J33" si="24">I31-I30</f>
        <v>0</v>
      </c>
      <c r="K31" s="211">
        <f t="shared" si="21"/>
        <v>131.10000000000002</v>
      </c>
    </row>
    <row r="32" spans="1:11" ht="21.75" hidden="1" customHeight="1" x14ac:dyDescent="0.25">
      <c r="A32" s="502" t="s">
        <v>325</v>
      </c>
      <c r="B32" s="208">
        <f t="shared" si="16"/>
        <v>3800</v>
      </c>
      <c r="C32" s="208">
        <f t="shared" si="22"/>
        <v>15200</v>
      </c>
      <c r="D32" s="209">
        <f t="shared" si="17"/>
        <v>3800</v>
      </c>
      <c r="E32" s="514">
        <v>1603.12</v>
      </c>
      <c r="F32" s="208">
        <f t="shared" si="18"/>
        <v>5610.92</v>
      </c>
      <c r="G32" s="208">
        <f t="shared" si="19"/>
        <v>22443.68</v>
      </c>
      <c r="H32" s="294" t="str">
        <f t="shared" si="20"/>
        <v/>
      </c>
      <c r="I32" s="515">
        <f t="shared" si="23"/>
        <v>0</v>
      </c>
      <c r="J32" s="209">
        <f t="shared" si="24"/>
        <v>0</v>
      </c>
      <c r="K32" s="211">
        <f t="shared" si="21"/>
        <v>131.10000000000002</v>
      </c>
    </row>
    <row r="33" spans="1:11" ht="21.75" hidden="1" customHeight="1" x14ac:dyDescent="0.25">
      <c r="A33" s="502" t="s">
        <v>326</v>
      </c>
      <c r="B33" s="208">
        <f t="shared" si="16"/>
        <v>3853.1886045114952</v>
      </c>
      <c r="C33" s="208">
        <f t="shared" si="22"/>
        <v>19053.188604511495</v>
      </c>
      <c r="D33" s="209">
        <f t="shared" si="17"/>
        <v>3853.1886045114952</v>
      </c>
      <c r="E33" s="514">
        <v>1603.12</v>
      </c>
      <c r="F33" s="208">
        <f t="shared" si="18"/>
        <v>5610.92</v>
      </c>
      <c r="G33" s="208">
        <f t="shared" si="19"/>
        <v>28054.6</v>
      </c>
      <c r="H33" s="294" t="str">
        <f t="shared" si="20"/>
        <v/>
      </c>
      <c r="I33" s="515">
        <f t="shared" si="23"/>
        <v>0</v>
      </c>
      <c r="J33" s="209">
        <f t="shared" si="24"/>
        <v>0</v>
      </c>
      <c r="K33" s="211">
        <f t="shared" si="21"/>
        <v>132.93500685564661</v>
      </c>
    </row>
    <row r="34" spans="1:11" ht="21.75" hidden="1" customHeight="1" x14ac:dyDescent="0.25">
      <c r="A34" s="420"/>
      <c r="B34" s="516"/>
      <c r="C34" s="516"/>
      <c r="D34" s="424"/>
      <c r="E34" s="520"/>
      <c r="F34" s="516"/>
      <c r="G34" s="516"/>
      <c r="H34" s="518"/>
      <c r="I34" s="519"/>
    </row>
    <row r="35" spans="1:11" ht="21" hidden="1" x14ac:dyDescent="0.25">
      <c r="A35" s="581" t="s">
        <v>333</v>
      </c>
      <c r="B35" s="581"/>
      <c r="C35" s="581"/>
      <c r="D35" s="581"/>
      <c r="E35" s="581"/>
      <c r="F35" s="581"/>
      <c r="G35" s="581"/>
      <c r="H35" s="581"/>
      <c r="I35" s="217"/>
    </row>
    <row r="36" spans="1:11" ht="21" hidden="1" customHeight="1" thickBot="1" x14ac:dyDescent="0.3">
      <c r="A36" s="172" t="s">
        <v>150</v>
      </c>
      <c r="B36" s="521">
        <v>0.31950000000000001</v>
      </c>
    </row>
    <row r="37" spans="1:11" hidden="1" x14ac:dyDescent="0.25"/>
    <row r="38" spans="1:11" ht="30" hidden="1" x14ac:dyDescent="0.25">
      <c r="A38" s="4" t="s">
        <v>151</v>
      </c>
      <c r="B38" s="2" t="s">
        <v>152</v>
      </c>
      <c r="C38" s="2" t="s">
        <v>153</v>
      </c>
      <c r="D38" s="195" t="s">
        <v>154</v>
      </c>
      <c r="E38" s="175" t="s">
        <v>155</v>
      </c>
      <c r="F38" s="175" t="s">
        <v>156</v>
      </c>
      <c r="G38" s="175" t="s">
        <v>157</v>
      </c>
      <c r="H38" s="175" t="s">
        <v>158</v>
      </c>
      <c r="I38" s="522" t="s">
        <v>334</v>
      </c>
    </row>
    <row r="39" spans="1:11" ht="21" hidden="1" customHeight="1" x14ac:dyDescent="0.25">
      <c r="A39" s="502" t="s">
        <v>266</v>
      </c>
      <c r="B39" s="199">
        <v>1700</v>
      </c>
      <c r="C39" s="220">
        <f>B39</f>
        <v>1700</v>
      </c>
      <c r="D39" s="514">
        <v>1603.12</v>
      </c>
      <c r="E39" s="199">
        <f>+D39</f>
        <v>1603.12</v>
      </c>
      <c r="F39" s="221">
        <f>ROUND(($B$36/0.6)*((1.6*E39/C39)-1),4)</f>
        <v>0.27089999999999997</v>
      </c>
      <c r="G39" s="220">
        <f>IF(F39&gt;0,F39*C39,0)</f>
        <v>460.53</v>
      </c>
      <c r="H39" s="523">
        <f>G39</f>
        <v>460.53</v>
      </c>
      <c r="I39" s="524" t="str">
        <f>IF(F39&gt;$B$36,"ERREUR","")</f>
        <v/>
      </c>
    </row>
    <row r="40" spans="1:11" ht="21" hidden="1" customHeight="1" x14ac:dyDescent="0.25">
      <c r="A40" s="502" t="s">
        <v>323</v>
      </c>
      <c r="B40" s="199">
        <v>3000</v>
      </c>
      <c r="C40" s="220">
        <f>C39+B40</f>
        <v>4700</v>
      </c>
      <c r="D40" s="525">
        <f>156.67*10.57</f>
        <v>1656.0019</v>
      </c>
      <c r="E40" s="199">
        <f>D40+E39</f>
        <v>3259.1219000000001</v>
      </c>
      <c r="F40" s="221">
        <f>ROUND(($B$36/0.6)*((1.6*E40/C40)-1),4)</f>
        <v>5.8299999999999998E-2</v>
      </c>
      <c r="G40" s="220">
        <f t="shared" ref="G40:G43" si="25">IF(F40&gt;0,F40*C40,0)</f>
        <v>274.01</v>
      </c>
      <c r="H40" s="523">
        <f>G40-G39</f>
        <v>-186.51999999999998</v>
      </c>
      <c r="I40" s="524" t="str">
        <f>IF(F40&gt;$B$36,"ERREUR","")</f>
        <v/>
      </c>
    </row>
    <row r="41" spans="1:11" ht="21" hidden="1" customHeight="1" x14ac:dyDescent="0.25">
      <c r="A41" s="502" t="s">
        <v>324</v>
      </c>
      <c r="B41" s="199"/>
      <c r="C41" s="220">
        <f t="shared" ref="C41:C43" si="26">C40+B41</f>
        <v>4700</v>
      </c>
      <c r="D41" s="514">
        <v>1603.12</v>
      </c>
      <c r="E41" s="199">
        <f t="shared" ref="E41:E43" si="27">D41+E40</f>
        <v>4862.2419</v>
      </c>
      <c r="F41" s="221">
        <f>ROUND(($B$36/0.6)*((1.6*E41/C41)-1),4)</f>
        <v>0.34889999999999999</v>
      </c>
      <c r="G41" s="222">
        <f t="shared" si="25"/>
        <v>1639.83</v>
      </c>
      <c r="H41" s="523">
        <f t="shared" ref="H41:H43" si="28">G41-G40</f>
        <v>1365.82</v>
      </c>
      <c r="I41" s="524" t="str">
        <f>IF(F41&gt;$B$36,"ERREUR","")</f>
        <v>ERREUR</v>
      </c>
    </row>
    <row r="42" spans="1:11" ht="21" hidden="1" customHeight="1" thickBot="1" x14ac:dyDescent="0.3">
      <c r="A42" s="502" t="s">
        <v>325</v>
      </c>
      <c r="B42" s="199"/>
      <c r="C42" s="220">
        <f t="shared" si="26"/>
        <v>4700</v>
      </c>
      <c r="D42" s="514">
        <v>1603.12</v>
      </c>
      <c r="E42" s="199">
        <f t="shared" si="27"/>
        <v>6465.3618999999999</v>
      </c>
      <c r="F42" s="221">
        <f>ROUND(($B$36/0.6)*((1.6*E42/C42)-1),4)</f>
        <v>0.63949999999999996</v>
      </c>
      <c r="G42" s="220">
        <f t="shared" si="25"/>
        <v>3005.6499999999996</v>
      </c>
      <c r="H42" s="523">
        <f t="shared" si="28"/>
        <v>1365.8199999999997</v>
      </c>
      <c r="I42" s="524" t="str">
        <f>IF(F42&gt;$B$36,"ERREUR","")</f>
        <v>ERREUR</v>
      </c>
    </row>
    <row r="43" spans="1:11" ht="21" hidden="1" customHeight="1" x14ac:dyDescent="0.25">
      <c r="A43" s="502" t="s">
        <v>326</v>
      </c>
      <c r="B43" s="199"/>
      <c r="C43" s="220">
        <f t="shared" si="26"/>
        <v>4700</v>
      </c>
      <c r="D43" s="514">
        <v>1603.12</v>
      </c>
      <c r="E43" s="199">
        <f t="shared" si="27"/>
        <v>8068.4818999999998</v>
      </c>
      <c r="F43" s="221">
        <f>ROUND(($B$36/0.6)*((1.6*E43/C43)-1),4)</f>
        <v>0.93010000000000004</v>
      </c>
      <c r="G43" s="220">
        <f t="shared" si="25"/>
        <v>4371.47</v>
      </c>
      <c r="H43" s="523">
        <f t="shared" si="28"/>
        <v>1365.8200000000006</v>
      </c>
      <c r="I43" s="524" t="str">
        <f>IF(F43&gt;$B$36,"ERREUR","")</f>
        <v>ERREUR</v>
      </c>
    </row>
    <row r="45" spans="1:11" ht="23.25" x14ac:dyDescent="0.25">
      <c r="A45" s="183" t="s">
        <v>181</v>
      </c>
      <c r="B45" s="184"/>
      <c r="C45" s="184"/>
      <c r="D45" s="184"/>
      <c r="E45" s="184"/>
      <c r="F45" s="184"/>
    </row>
    <row r="47" spans="1:11" ht="18.75" x14ac:dyDescent="0.25">
      <c r="A47" s="185" t="s">
        <v>162</v>
      </c>
      <c r="D47" s="186">
        <v>3428</v>
      </c>
    </row>
    <row r="48" spans="1:11" ht="15.75" thickBot="1" x14ac:dyDescent="0.3"/>
    <row r="49" spans="1:8" ht="30" x14ac:dyDescent="0.25">
      <c r="A49" s="5" t="s">
        <v>151</v>
      </c>
      <c r="B49" s="2" t="s">
        <v>107</v>
      </c>
      <c r="C49" s="2" t="s">
        <v>163</v>
      </c>
      <c r="D49" s="2" t="s">
        <v>164</v>
      </c>
      <c r="E49" s="175" t="s">
        <v>165</v>
      </c>
      <c r="F49" s="2" t="s">
        <v>182</v>
      </c>
      <c r="G49" s="175" t="s">
        <v>183</v>
      </c>
      <c r="H49" s="176" t="s">
        <v>188</v>
      </c>
    </row>
    <row r="50" spans="1:8" ht="26.25" customHeight="1" x14ac:dyDescent="0.25">
      <c r="A50" s="502" t="s">
        <v>266</v>
      </c>
      <c r="B50" s="208">
        <f>+B29</f>
        <v>3800</v>
      </c>
      <c r="C50" s="208">
        <f>B50</f>
        <v>3800</v>
      </c>
      <c r="D50" s="503">
        <v>3428</v>
      </c>
      <c r="E50" s="227">
        <f>D50</f>
        <v>3428</v>
      </c>
      <c r="F50" s="179" t="str">
        <f>IF(E50&gt;C50,"","OUI")</f>
        <v>OUI</v>
      </c>
      <c r="G50" s="209">
        <f t="shared" ref="G50:G54" si="29">IF(C50&gt;E50,C50,0)</f>
        <v>3800</v>
      </c>
      <c r="H50" s="228">
        <f>G50</f>
        <v>3800</v>
      </c>
    </row>
    <row r="51" spans="1:8" ht="26.25" customHeight="1" x14ac:dyDescent="0.25">
      <c r="A51" s="502" t="s">
        <v>323</v>
      </c>
      <c r="B51" s="208">
        <f t="shared" ref="B51:B54" si="30">+B30</f>
        <v>3800</v>
      </c>
      <c r="C51" s="208">
        <f>C50+B51</f>
        <v>7600</v>
      </c>
      <c r="D51" s="503">
        <v>3428</v>
      </c>
      <c r="E51" s="227">
        <f>E50+D51</f>
        <v>6856</v>
      </c>
      <c r="F51" s="179" t="str">
        <f t="shared" ref="F51:F54" si="31">IF(E51&gt;C51,"","OUI")</f>
        <v>OUI</v>
      </c>
      <c r="G51" s="209">
        <f t="shared" si="29"/>
        <v>7600</v>
      </c>
      <c r="H51" s="228">
        <f>G51-G50</f>
        <v>3800</v>
      </c>
    </row>
    <row r="52" spans="1:8" ht="26.25" customHeight="1" x14ac:dyDescent="0.25">
      <c r="A52" s="502" t="s">
        <v>324</v>
      </c>
      <c r="B52" s="208">
        <f t="shared" si="30"/>
        <v>3800</v>
      </c>
      <c r="C52" s="208">
        <f t="shared" ref="C52:C54" si="32">C51+B52</f>
        <v>11400</v>
      </c>
      <c r="D52" s="503">
        <v>3428</v>
      </c>
      <c r="E52" s="227">
        <f t="shared" ref="E52:E54" si="33">E51+D52</f>
        <v>10284</v>
      </c>
      <c r="F52" s="179" t="str">
        <f t="shared" si="31"/>
        <v>OUI</v>
      </c>
      <c r="G52" s="209">
        <f t="shared" si="29"/>
        <v>11400</v>
      </c>
      <c r="H52" s="228">
        <f t="shared" ref="H52:H54" si="34">G52-G51</f>
        <v>3800</v>
      </c>
    </row>
    <row r="53" spans="1:8" ht="26.25" customHeight="1" x14ac:dyDescent="0.25">
      <c r="A53" s="502" t="s">
        <v>325</v>
      </c>
      <c r="B53" s="208">
        <f t="shared" si="30"/>
        <v>3800</v>
      </c>
      <c r="C53" s="208">
        <f t="shared" si="32"/>
        <v>15200</v>
      </c>
      <c r="D53" s="503">
        <v>3428</v>
      </c>
      <c r="E53" s="227">
        <f t="shared" si="33"/>
        <v>13712</v>
      </c>
      <c r="F53" s="179" t="str">
        <f t="shared" si="31"/>
        <v>OUI</v>
      </c>
      <c r="G53" s="209">
        <f t="shared" si="29"/>
        <v>15200</v>
      </c>
      <c r="H53" s="228">
        <f t="shared" si="34"/>
        <v>3800</v>
      </c>
    </row>
    <row r="54" spans="1:8" ht="26.25" customHeight="1" thickBot="1" x14ac:dyDescent="0.3">
      <c r="A54" s="506" t="s">
        <v>326</v>
      </c>
      <c r="B54" s="213">
        <f t="shared" si="30"/>
        <v>3853.1886045114952</v>
      </c>
      <c r="C54" s="213">
        <f t="shared" si="32"/>
        <v>19053.188604511495</v>
      </c>
      <c r="D54" s="508">
        <f>D11</f>
        <v>2985.677419354839</v>
      </c>
      <c r="E54" s="230">
        <f t="shared" si="33"/>
        <v>16697.677419354841</v>
      </c>
      <c r="F54" s="231" t="str">
        <f t="shared" si="31"/>
        <v>OUI</v>
      </c>
      <c r="G54" s="214">
        <f t="shared" si="29"/>
        <v>19053.188604511495</v>
      </c>
      <c r="H54" s="232">
        <f t="shared" si="34"/>
        <v>3853.1886045114952</v>
      </c>
    </row>
  </sheetData>
  <mergeCells count="1">
    <mergeCell ref="A35:H3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C032-5BE6-45C1-AACC-E3C022C4E75E}">
  <dimension ref="B1:P137"/>
  <sheetViews>
    <sheetView topLeftCell="A64"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0"/>
      <c r="D17" s="571"/>
      <c r="E17" s="34" t="s">
        <v>38</v>
      </c>
      <c r="F17" s="570"/>
      <c r="G17" s="572"/>
      <c r="I17" s="23" t="s">
        <v>39</v>
      </c>
      <c r="J17" s="434">
        <f>+'REGUL '!G11</f>
        <v>2985.6774193548408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+'REGUL '!H11</f>
        <v>867.51118515665439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4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3800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v>4</v>
      </c>
      <c r="D22" s="302">
        <f>E20/J5</f>
        <v>25.85034013605442</v>
      </c>
      <c r="E22" s="300">
        <f>-D22*C22</f>
        <v>-103.40136054421768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5</v>
      </c>
      <c r="D24" s="54">
        <f>IF($J$4&gt;=151.67,$J$3/151.67*1.25,0)</f>
        <v>31.317993011142615</v>
      </c>
      <c r="E24" s="233">
        <f>D24*C24</f>
        <v>156.58996505571307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0</v>
      </c>
      <c r="D25" s="54">
        <f>IF($J$4&gt;=151.67,$J$3/151.67*1.5,0)</f>
        <v>37.581591613371138</v>
      </c>
      <c r="E25" s="233">
        <f>D25*C25</f>
        <v>0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5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6"/>
      <c r="D32" s="477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3853.1886045114952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3853.1886045114952</v>
      </c>
      <c r="D41" s="74"/>
      <c r="E41" s="75"/>
      <c r="F41" s="336">
        <v>7.0000000000000007E-2</v>
      </c>
      <c r="G41" s="478">
        <f>F41*C41</f>
        <v>269.72320231580471</v>
      </c>
    </row>
    <row r="42" spans="2:7" x14ac:dyDescent="0.25">
      <c r="B42" s="335" t="s">
        <v>64</v>
      </c>
      <c r="C42" s="64">
        <f>$J$17</f>
        <v>2985.6774193548408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867.51118515665439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3853.1886045114952</v>
      </c>
      <c r="E45" s="64"/>
      <c r="F45" s="339">
        <f>J7</f>
        <v>3.9E-2</v>
      </c>
      <c r="G45" s="337">
        <f>F45*C45</f>
        <v>150.27435557594831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2985.6774193548408</v>
      </c>
      <c r="D47" s="76">
        <v>6.9000000000000006E-2</v>
      </c>
      <c r="E47" s="77">
        <f>D47*C47</f>
        <v>206.01174193548403</v>
      </c>
      <c r="F47" s="78">
        <v>8.5500000000000007E-2</v>
      </c>
      <c r="G47" s="337">
        <f>F47*C47</f>
        <v>255.2754193548389</v>
      </c>
    </row>
    <row r="48" spans="2:7" x14ac:dyDescent="0.25">
      <c r="B48" s="335" t="s">
        <v>70</v>
      </c>
      <c r="C48" s="64">
        <f>$E$37</f>
        <v>3853.1886045114952</v>
      </c>
      <c r="D48" s="76">
        <v>4.0000000000000001E-3</v>
      </c>
      <c r="E48" s="77">
        <f t="shared" ref="E48:E51" si="1">D48*C48</f>
        <v>15.412754418045981</v>
      </c>
      <c r="F48" s="78">
        <v>1.9E-2</v>
      </c>
      <c r="G48" s="337">
        <f t="shared" ref="G48:G51" si="2">F48*C48</f>
        <v>73.210583485718402</v>
      </c>
    </row>
    <row r="49" spans="2:7" x14ac:dyDescent="0.25">
      <c r="B49" s="335" t="s">
        <v>71</v>
      </c>
      <c r="C49" s="64">
        <f>$J$17</f>
        <v>2985.6774193548408</v>
      </c>
      <c r="D49" s="76">
        <v>4.0099999999999997E-2</v>
      </c>
      <c r="E49" s="77">
        <f t="shared" si="1"/>
        <v>119.7256645161291</v>
      </c>
      <c r="F49" s="78">
        <v>6.0100000000000001E-2</v>
      </c>
      <c r="G49" s="337">
        <f t="shared" si="2"/>
        <v>179.43921290322592</v>
      </c>
    </row>
    <row r="50" spans="2:7" x14ac:dyDescent="0.25">
      <c r="B50" s="335" t="s">
        <v>72</v>
      </c>
      <c r="C50" s="64">
        <f>+J18</f>
        <v>867.51118515665439</v>
      </c>
      <c r="D50" s="76">
        <v>9.7199999999999995E-2</v>
      </c>
      <c r="E50" s="77">
        <f t="shared" si="1"/>
        <v>84.322087197226807</v>
      </c>
      <c r="F50" s="78">
        <v>0.1457</v>
      </c>
      <c r="G50" s="337">
        <f t="shared" si="2"/>
        <v>126.39637967732455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3853.1886045114952</v>
      </c>
      <c r="D53" s="80"/>
      <c r="E53" s="64"/>
      <c r="F53" s="78">
        <v>3.4500000000000003E-2</v>
      </c>
      <c r="G53" s="479">
        <f>F53*C53</f>
        <v>132.93500685564661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3853.1886045114952</v>
      </c>
      <c r="D55" s="80"/>
      <c r="E55" s="64"/>
      <c r="F55" s="341">
        <v>4.2000000000000003E-2</v>
      </c>
      <c r="G55" s="337">
        <f t="shared" ref="G55" si="3">F55*C55</f>
        <v>161.83392138948281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59.088103501042212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3733.5</v>
      </c>
      <c r="D61" s="76">
        <v>6.8000000000000005E-2</v>
      </c>
      <c r="E61" s="77">
        <f>D61*C61</f>
        <v>253.87800000000001</v>
      </c>
      <c r="F61" s="78"/>
      <c r="G61" s="337"/>
    </row>
    <row r="62" spans="2:7" x14ac:dyDescent="0.25">
      <c r="B62" s="338" t="s">
        <v>82</v>
      </c>
      <c r="C62" s="64">
        <f>C61</f>
        <v>3733.5</v>
      </c>
      <c r="D62" s="76">
        <v>2.9000000000000001E-2</v>
      </c>
      <c r="E62" s="77">
        <f>D62*C62</f>
        <v>108.2715</v>
      </c>
      <c r="F62" s="78"/>
      <c r="G62" s="337"/>
    </row>
    <row r="63" spans="2:7" ht="25.5" x14ac:dyDescent="0.25">
      <c r="B63" s="346" t="s">
        <v>83</v>
      </c>
      <c r="C63" s="64">
        <f>(E24+E25+E26+E27)*0.9825</f>
        <v>153.84964066723811</v>
      </c>
      <c r="D63" s="76">
        <v>9.7000000000000003E-2</v>
      </c>
      <c r="E63" s="77">
        <f>D63*C63</f>
        <v>14.923415144722096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 t="e">
        <f>-#REF!</f>
        <v>#REF!</v>
      </c>
    </row>
    <row r="65" spans="2:7" x14ac:dyDescent="0.25">
      <c r="B65" s="346" t="s">
        <v>85</v>
      </c>
      <c r="C65" s="236">
        <f>+C63</f>
        <v>153.84964066723811</v>
      </c>
      <c r="D65" s="76">
        <v>-0.11310000000000001</v>
      </c>
      <c r="E65" s="77">
        <f>D65*C65</f>
        <v>-17.400394359464631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5</v>
      </c>
      <c r="D66" s="349"/>
      <c r="E66" s="350"/>
      <c r="F66" s="351">
        <v>-1.5</v>
      </c>
      <c r="G66" s="352">
        <f>F66*C66</f>
        <v>-7.5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785.14476885214333</v>
      </c>
      <c r="F67" s="357"/>
      <c r="G67" s="358" t="e">
        <f>SUM(G41:G66)</f>
        <v>#REF!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0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1">
        <v>0.5</v>
      </c>
      <c r="E73" s="370">
        <f>C73*D73</f>
        <v>0</v>
      </c>
      <c r="F73" s="371"/>
      <c r="G73" s="365"/>
    </row>
    <row r="74" spans="2:7" x14ac:dyDescent="0.25">
      <c r="B74" s="482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3068.0438356593518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73" t="s">
        <v>94</v>
      </c>
      <c r="C78" s="575" t="s">
        <v>95</v>
      </c>
      <c r="D78" s="88" t="s">
        <v>59</v>
      </c>
      <c r="E78" s="577"/>
      <c r="F78" s="89"/>
      <c r="G78" s="579" t="s">
        <v>96</v>
      </c>
    </row>
    <row r="79" spans="2:7" ht="15.75" thickBot="1" x14ac:dyDescent="0.3">
      <c r="B79" s="574"/>
      <c r="C79" s="576"/>
      <c r="D79" s="383" t="s">
        <v>97</v>
      </c>
      <c r="E79" s="578"/>
      <c r="F79" s="384"/>
      <c r="G79" s="580"/>
    </row>
    <row r="80" spans="2:7" ht="15.75" thickBot="1" x14ac:dyDescent="0.3">
      <c r="B80" s="376" t="s">
        <v>98</v>
      </c>
      <c r="C80" s="483">
        <f>C87</f>
        <v>3034.6487857483608</v>
      </c>
      <c r="D80" s="426">
        <f>J20</f>
        <v>6.9000000000000006E-2</v>
      </c>
      <c r="E80" s="385"/>
      <c r="F80" s="386"/>
      <c r="G80" s="387">
        <f>D80*C80</f>
        <v>209.39076621663691</v>
      </c>
    </row>
    <row r="81" spans="2:7" x14ac:dyDescent="0.25">
      <c r="B81" s="388"/>
      <c r="C81" s="389"/>
      <c r="D81" s="70"/>
      <c r="E81" s="390" t="s">
        <v>99</v>
      </c>
      <c r="F81" s="391"/>
      <c r="G81" s="484">
        <f>G76-G80</f>
        <v>2858.6530694427147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308.04871115189661</v>
      </c>
    </row>
    <row r="83" spans="2:7" ht="15.75" thickTop="1" x14ac:dyDescent="0.25">
      <c r="B83" s="557" t="s">
        <v>102</v>
      </c>
      <c r="C83" s="559"/>
      <c r="D83" s="560"/>
      <c r="E83" s="96" t="s">
        <v>103</v>
      </c>
      <c r="F83" s="97"/>
      <c r="G83" s="93" t="e">
        <f>E37+G67</f>
        <v>#REF!</v>
      </c>
    </row>
    <row r="84" spans="2:7" ht="15.75" thickBot="1" x14ac:dyDescent="0.3">
      <c r="B84" s="558"/>
      <c r="C84" s="561"/>
      <c r="D84" s="562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3853.1886045114952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3034.6487857483608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63" t="s">
        <v>79</v>
      </c>
      <c r="C91" s="564"/>
      <c r="D91" s="10"/>
      <c r="E91" s="10"/>
    </row>
    <row r="92" spans="2:7" s="118" customFormat="1" x14ac:dyDescent="0.25">
      <c r="B92" s="119"/>
      <c r="C92" s="120"/>
      <c r="D92" s="565">
        <f>+E37</f>
        <v>3853.1886045114952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566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566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66"/>
      <c r="E95" s="124">
        <f t="shared" si="4"/>
        <v>0.61651017672183928</v>
      </c>
    </row>
    <row r="96" spans="2:7" s="118" customFormat="1" x14ac:dyDescent="0.25">
      <c r="B96" s="122" t="s">
        <v>113</v>
      </c>
      <c r="C96" s="123">
        <v>3.0000000000000001E-3</v>
      </c>
      <c r="D96" s="566"/>
      <c r="E96" s="124">
        <f t="shared" si="4"/>
        <v>11.559565813534485</v>
      </c>
    </row>
    <row r="97" spans="2:5" s="118" customFormat="1" x14ac:dyDescent="0.25">
      <c r="B97" s="122" t="s">
        <v>317</v>
      </c>
      <c r="C97" s="123">
        <v>5.8999999999999999E-3</v>
      </c>
      <c r="D97" s="566"/>
      <c r="E97" s="124">
        <f t="shared" si="4"/>
        <v>22.73381276661782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66"/>
      <c r="E98" s="124">
        <f t="shared" si="4"/>
        <v>21.192537324813227</v>
      </c>
    </row>
    <row r="99" spans="2:5" s="118" customFormat="1" x14ac:dyDescent="0.25">
      <c r="B99" s="122"/>
      <c r="C99" s="123">
        <f>IF(J6&lt;=50,0,0.45%)</f>
        <v>0</v>
      </c>
      <c r="D99" s="566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2985.6774193548408</v>
      </c>
      <c r="D102" s="129">
        <v>1E-3</v>
      </c>
      <c r="E102" s="130">
        <f>D102*C102</f>
        <v>2.985677419354841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59.088103501042212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67" t="s">
        <v>117</v>
      </c>
      <c r="C106" s="568"/>
      <c r="D106" s="568"/>
      <c r="E106" s="569"/>
    </row>
    <row r="107" spans="2:5" s="118" customFormat="1" x14ac:dyDescent="0.25">
      <c r="B107" s="134" t="s">
        <v>118</v>
      </c>
      <c r="C107" s="135">
        <f>E37</f>
        <v>3853.1886045114952</v>
      </c>
      <c r="D107" s="136">
        <v>2.4E-2</v>
      </c>
      <c r="E107" s="137">
        <f>D107*C107</f>
        <v>92.476526508275882</v>
      </c>
    </row>
    <row r="108" spans="2:5" s="118" customFormat="1" x14ac:dyDescent="0.25">
      <c r="B108" s="138" t="s">
        <v>119</v>
      </c>
      <c r="C108" s="135">
        <f>C107</f>
        <v>3853.1886045114952</v>
      </c>
      <c r="D108" s="139">
        <v>7.4999999999999997E-3</v>
      </c>
      <c r="E108" s="140">
        <f t="shared" ref="E108:E109" si="5">D108*C108</f>
        <v>28.898914533836212</v>
      </c>
    </row>
    <row r="109" spans="2:5" s="118" customFormat="1" x14ac:dyDescent="0.25">
      <c r="B109" s="138" t="s">
        <v>120</v>
      </c>
      <c r="C109" s="135">
        <f>C61+C63</f>
        <v>3887.349640667238</v>
      </c>
      <c r="D109" s="139">
        <v>-1.7000000000000001E-2</v>
      </c>
      <c r="E109" s="140">
        <f t="shared" si="5"/>
        <v>-66.084943891343045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55.290497150769056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67" t="s">
        <v>122</v>
      </c>
      <c r="C114" s="568"/>
      <c r="D114" s="568"/>
      <c r="E114" s="569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5</v>
      </c>
      <c r="D116" s="153">
        <v>1.5</v>
      </c>
      <c r="E116" s="66">
        <f>D116*C116</f>
        <v>7.5</v>
      </c>
    </row>
    <row r="117" spans="2:9" s="118" customFormat="1" ht="15.75" customHeight="1" x14ac:dyDescent="0.25">
      <c r="B117" s="151" t="s">
        <v>125</v>
      </c>
      <c r="C117" s="154">
        <f>C41</f>
        <v>3853.1886045114952</v>
      </c>
      <c r="D117" s="139">
        <v>1.7999999999999999E-2</v>
      </c>
      <c r="E117" s="66">
        <f>D117*C117</f>
        <v>69.357394881206915</v>
      </c>
    </row>
    <row r="118" spans="2:9" s="118" customFormat="1" ht="15.75" customHeight="1" x14ac:dyDescent="0.25">
      <c r="B118" s="151" t="s">
        <v>126</v>
      </c>
      <c r="C118" s="154">
        <f>C117</f>
        <v>3853.1886045114952</v>
      </c>
      <c r="D118" s="139">
        <v>0.06</v>
      </c>
      <c r="E118" s="66">
        <f>D118*C118</f>
        <v>231.1913162706897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308.04871115189661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0" t="s">
        <v>230</v>
      </c>
      <c r="C128" s="551"/>
      <c r="D128" s="551"/>
      <c r="E128" s="551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2" t="s">
        <v>241</v>
      </c>
      <c r="E135" s="552"/>
      <c r="F135" s="553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</sheetData>
  <mergeCells count="14">
    <mergeCell ref="C17:D17"/>
    <mergeCell ref="F17:G17"/>
    <mergeCell ref="B78:B79"/>
    <mergeCell ref="C78:C79"/>
    <mergeCell ref="E78:E79"/>
    <mergeCell ref="G78:G79"/>
    <mergeCell ref="B128:E128"/>
    <mergeCell ref="D135:F135"/>
    <mergeCell ref="B83:B84"/>
    <mergeCell ref="C83:D84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6324-64E9-4308-8819-93B8408646D7}">
  <dimension ref="A1:P16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2000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9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0"/>
      <c r="D17" s="571"/>
      <c r="E17" s="34" t="s">
        <v>38</v>
      </c>
      <c r="F17" s="570"/>
      <c r="G17" s="572"/>
      <c r="I17" s="23" t="s">
        <v>39</v>
      </c>
      <c r="J17" s="434">
        <f>+E37</f>
        <v>2148.3483879475175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4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2000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>
        <f>E20/J5</f>
        <v>13.605442176870747</v>
      </c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9</v>
      </c>
      <c r="D24" s="54">
        <f>IF($J$4&gt;=151.67,$J$3/151.67*1.25,0)</f>
        <v>16.483154216390851</v>
      </c>
      <c r="E24" s="233">
        <f>D24*C24</f>
        <v>148.34838794751766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0</v>
      </c>
      <c r="D25" s="54">
        <f>IF($J$4&gt;=151.67,$J$3/151.67*1.5,0)</f>
        <v>19.77978505966902</v>
      </c>
      <c r="E25" s="233">
        <f>D25*C25</f>
        <v>0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5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6"/>
      <c r="D32" s="477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2148.3483879475175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2148.3483879475175</v>
      </c>
      <c r="D41" s="74"/>
      <c r="E41" s="75"/>
      <c r="F41" s="336">
        <v>7.0000000000000007E-2</v>
      </c>
      <c r="G41" s="478">
        <f>F41*C41</f>
        <v>150.38438715632623</v>
      </c>
    </row>
    <row r="42" spans="2:7" x14ac:dyDescent="0.25">
      <c r="B42" s="335" t="s">
        <v>64</v>
      </c>
      <c r="C42" s="64">
        <f>$J$17</f>
        <v>2148.3483879475175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2148.3483879475175</v>
      </c>
      <c r="E45" s="64"/>
      <c r="F45" s="339">
        <f>J7</f>
        <v>3.9E-2</v>
      </c>
      <c r="G45" s="337">
        <f>F45*C45</f>
        <v>83.785587129953186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2148.3483879475175</v>
      </c>
      <c r="D47" s="76">
        <v>6.9000000000000006E-2</v>
      </c>
      <c r="E47" s="77">
        <f>D47*C47</f>
        <v>148.23603876837873</v>
      </c>
      <c r="F47" s="78">
        <v>8.5500000000000007E-2</v>
      </c>
      <c r="G47" s="337">
        <f>F47*C47</f>
        <v>183.68378716951275</v>
      </c>
    </row>
    <row r="48" spans="2:7" x14ac:dyDescent="0.25">
      <c r="B48" s="335" t="s">
        <v>70</v>
      </c>
      <c r="C48" s="64">
        <f>$E$37</f>
        <v>2148.3483879475175</v>
      </c>
      <c r="D48" s="76">
        <v>4.0000000000000001E-3</v>
      </c>
      <c r="E48" s="77">
        <f t="shared" ref="E48:E51" si="1">D48*C48</f>
        <v>8.5933935517900704</v>
      </c>
      <c r="F48" s="78">
        <v>1.9E-2</v>
      </c>
      <c r="G48" s="337">
        <f t="shared" ref="G48:G51" si="2">F48*C48</f>
        <v>40.818619371002832</v>
      </c>
    </row>
    <row r="49" spans="2:7" x14ac:dyDescent="0.25">
      <c r="B49" s="335" t="s">
        <v>71</v>
      </c>
      <c r="C49" s="64">
        <f>$J$17</f>
        <v>2148.3483879475175</v>
      </c>
      <c r="D49" s="76">
        <v>4.0099999999999997E-2</v>
      </c>
      <c r="E49" s="77">
        <f t="shared" si="1"/>
        <v>86.148770356695451</v>
      </c>
      <c r="F49" s="78">
        <v>6.0100000000000001E-2</v>
      </c>
      <c r="G49" s="337">
        <f t="shared" si="2"/>
        <v>129.1157381156458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2148.3483879475175</v>
      </c>
      <c r="D53" s="80"/>
      <c r="E53" s="64"/>
      <c r="F53" s="78">
        <v>3.4500000000000003E-2</v>
      </c>
      <c r="G53" s="479">
        <f>F53*C53</f>
        <v>74.118019384189367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2148.3483879475175</v>
      </c>
      <c r="D55" s="80"/>
      <c r="E55" s="64"/>
      <c r="F55" s="341">
        <v>4.2000000000000003E-2</v>
      </c>
      <c r="G55" s="337">
        <f t="shared" ref="G55" si="3">F55*C55</f>
        <v>90.230632293795736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33.428300916463371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1965</v>
      </c>
      <c r="D61" s="76">
        <v>6.8000000000000005E-2</v>
      </c>
      <c r="E61" s="77">
        <f>D61*C61</f>
        <v>133.62</v>
      </c>
      <c r="F61" s="78"/>
      <c r="G61" s="337"/>
    </row>
    <row r="62" spans="2:7" x14ac:dyDescent="0.25">
      <c r="B62" s="338" t="s">
        <v>82</v>
      </c>
      <c r="C62" s="64">
        <f>C61</f>
        <v>1965</v>
      </c>
      <c r="D62" s="76">
        <v>2.9000000000000001E-2</v>
      </c>
      <c r="E62" s="77">
        <f>D62*C62</f>
        <v>56.984999999999999</v>
      </c>
      <c r="F62" s="78"/>
      <c r="G62" s="337"/>
    </row>
    <row r="63" spans="2:7" ht="25.5" x14ac:dyDescent="0.25">
      <c r="B63" s="346" t="s">
        <v>83</v>
      </c>
      <c r="C63" s="64">
        <f>(E24+E25+E26+E27)*0.9825</f>
        <v>145.75229115843612</v>
      </c>
      <c r="D63" s="76">
        <v>9.7000000000000003E-2</v>
      </c>
      <c r="E63" s="77">
        <f>D63*C63</f>
        <v>14.137972242368305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>
        <f>-H146</f>
        <v>-222.64294850662623</v>
      </c>
    </row>
    <row r="65" spans="2:7" x14ac:dyDescent="0.25">
      <c r="B65" s="346" t="s">
        <v>85</v>
      </c>
      <c r="C65" s="236">
        <v>100.41</v>
      </c>
      <c r="D65" s="76">
        <v>-0.11310000000000001</v>
      </c>
      <c r="E65" s="77">
        <f>D65*C65</f>
        <v>-11.356371000000001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9</v>
      </c>
      <c r="D66" s="349"/>
      <c r="E66" s="350"/>
      <c r="F66" s="351">
        <v>-1.5</v>
      </c>
      <c r="G66" s="352">
        <f>F66*C66</f>
        <v>-13.5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436.36480391923254</v>
      </c>
      <c r="F67" s="357"/>
      <c r="G67" s="358">
        <f>SUM(G41:G66)</f>
        <v>549.42212303026315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0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1">
        <v>0.5</v>
      </c>
      <c r="E73" s="370">
        <f>C73*D73</f>
        <v>0</v>
      </c>
      <c r="F73" s="371"/>
      <c r="G73" s="365"/>
    </row>
    <row r="74" spans="2:7" x14ac:dyDescent="0.25">
      <c r="B74" s="482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1711.9835840282849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73" t="s">
        <v>94</v>
      </c>
      <c r="C78" s="575" t="s">
        <v>95</v>
      </c>
      <c r="D78" s="88" t="s">
        <v>59</v>
      </c>
      <c r="E78" s="577"/>
      <c r="F78" s="89"/>
      <c r="G78" s="579" t="s">
        <v>96</v>
      </c>
    </row>
    <row r="79" spans="2:7" ht="15.75" thickBot="1" x14ac:dyDescent="0.3">
      <c r="B79" s="574"/>
      <c r="C79" s="576"/>
      <c r="D79" s="383" t="s">
        <v>97</v>
      </c>
      <c r="E79" s="578"/>
      <c r="F79" s="384"/>
      <c r="G79" s="580"/>
    </row>
    <row r="80" spans="2:7" ht="15.75" thickBot="1" x14ac:dyDescent="0.3">
      <c r="B80" s="376" t="s">
        <v>98</v>
      </c>
      <c r="C80" s="483">
        <f>C87</f>
        <v>1634.7581683231356</v>
      </c>
      <c r="D80" s="426">
        <f>J20</f>
        <v>6.9000000000000006E-2</v>
      </c>
      <c r="E80" s="385"/>
      <c r="F80" s="386"/>
      <c r="G80" s="387">
        <f>D80*C80</f>
        <v>112.79831361429636</v>
      </c>
    </row>
    <row r="81" spans="2:7" x14ac:dyDescent="0.25">
      <c r="B81" s="388"/>
      <c r="C81" s="389"/>
      <c r="D81" s="70"/>
      <c r="E81" s="390" t="s">
        <v>99</v>
      </c>
      <c r="F81" s="391"/>
      <c r="G81" s="484">
        <f>G76-G80</f>
        <v>1599.1852704139885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181.07117425990634</v>
      </c>
    </row>
    <row r="83" spans="2:7" ht="15.75" thickTop="1" x14ac:dyDescent="0.25">
      <c r="B83" s="557" t="s">
        <v>102</v>
      </c>
      <c r="C83" s="559"/>
      <c r="D83" s="560"/>
      <c r="E83" s="96" t="s">
        <v>103</v>
      </c>
      <c r="F83" s="97"/>
      <c r="G83" s="93">
        <f>E37+G67</f>
        <v>2697.7705109777808</v>
      </c>
    </row>
    <row r="84" spans="2:7" ht="15.75" thickBot="1" x14ac:dyDescent="0.3">
      <c r="B84" s="558"/>
      <c r="C84" s="561"/>
      <c r="D84" s="562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2148.3483879475175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1634.7581683231356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63" t="s">
        <v>79</v>
      </c>
      <c r="C91" s="564"/>
      <c r="D91" s="10"/>
      <c r="E91" s="10"/>
    </row>
    <row r="92" spans="2:7" s="118" customFormat="1" x14ac:dyDescent="0.25">
      <c r="B92" s="119"/>
      <c r="C92" s="120"/>
      <c r="D92" s="565">
        <f>+E37</f>
        <v>2148.3483879475175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566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566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66"/>
      <c r="E95" s="124">
        <f t="shared" si="4"/>
        <v>0.34373574207160285</v>
      </c>
    </row>
    <row r="96" spans="2:7" s="118" customFormat="1" x14ac:dyDescent="0.25">
      <c r="B96" s="122" t="s">
        <v>113</v>
      </c>
      <c r="C96" s="123">
        <v>3.0000000000000001E-3</v>
      </c>
      <c r="D96" s="566"/>
      <c r="E96" s="124">
        <f t="shared" si="4"/>
        <v>6.4450451638425523</v>
      </c>
    </row>
    <row r="97" spans="2:5" s="118" customFormat="1" x14ac:dyDescent="0.25">
      <c r="B97" s="122" t="s">
        <v>317</v>
      </c>
      <c r="C97" s="123">
        <v>5.8999999999999999E-3</v>
      </c>
      <c r="D97" s="566"/>
      <c r="E97" s="124">
        <f t="shared" si="4"/>
        <v>12.675255488890352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66"/>
      <c r="E98" s="124">
        <f t="shared" si="4"/>
        <v>11.815916133711347</v>
      </c>
    </row>
    <row r="99" spans="2:5" s="118" customFormat="1" x14ac:dyDescent="0.25">
      <c r="B99" s="122"/>
      <c r="C99" s="123">
        <f>IF(J6&lt;=50,0,0.45%)</f>
        <v>0</v>
      </c>
      <c r="D99" s="566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2148.3483879475175</v>
      </c>
      <c r="D102" s="129">
        <v>1E-3</v>
      </c>
      <c r="E102" s="130">
        <f>D102*C102</f>
        <v>2.1483483879475176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33.428300916463371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67" t="s">
        <v>117</v>
      </c>
      <c r="C106" s="568"/>
      <c r="D106" s="568"/>
      <c r="E106" s="569"/>
    </row>
    <row r="107" spans="2:5" s="118" customFormat="1" x14ac:dyDescent="0.25">
      <c r="B107" s="134" t="s">
        <v>118</v>
      </c>
      <c r="C107" s="135">
        <f>E37</f>
        <v>2148.3483879475175</v>
      </c>
      <c r="D107" s="136">
        <v>2.4E-2</v>
      </c>
      <c r="E107" s="137">
        <f>D107*C107</f>
        <v>51.560361310740419</v>
      </c>
    </row>
    <row r="108" spans="2:5" s="118" customFormat="1" x14ac:dyDescent="0.25">
      <c r="B108" s="138" t="s">
        <v>119</v>
      </c>
      <c r="C108" s="135">
        <f>C107</f>
        <v>2148.3483879475175</v>
      </c>
      <c r="D108" s="139">
        <v>7.4999999999999997E-3</v>
      </c>
      <c r="E108" s="140">
        <f t="shared" ref="E108:E109" si="5">D108*C108</f>
        <v>16.11261290960638</v>
      </c>
    </row>
    <row r="109" spans="2:5" s="118" customFormat="1" x14ac:dyDescent="0.25">
      <c r="B109" s="138" t="s">
        <v>120</v>
      </c>
      <c r="C109" s="135">
        <f>C61+C63</f>
        <v>2110.752291158436</v>
      </c>
      <c r="D109" s="139">
        <v>-1.7000000000000001E-2</v>
      </c>
      <c r="E109" s="140">
        <f t="shared" si="5"/>
        <v>-35.882788949693413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31.790185270653389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67" t="s">
        <v>122</v>
      </c>
      <c r="C114" s="568"/>
      <c r="D114" s="568"/>
      <c r="E114" s="569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9</v>
      </c>
      <c r="D116" s="153">
        <v>1.5</v>
      </c>
      <c r="E116" s="66">
        <f>D116*C116</f>
        <v>13.5</v>
      </c>
    </row>
    <row r="117" spans="2:9" s="118" customFormat="1" ht="15.75" customHeight="1" x14ac:dyDescent="0.25">
      <c r="B117" s="151" t="s">
        <v>125</v>
      </c>
      <c r="C117" s="154">
        <f>C41</f>
        <v>2148.3483879475175</v>
      </c>
      <c r="D117" s="139">
        <v>1.7999999999999999E-2</v>
      </c>
      <c r="E117" s="66">
        <f>D117*C117</f>
        <v>38.67027098305531</v>
      </c>
    </row>
    <row r="118" spans="2:9" s="118" customFormat="1" ht="15.75" customHeight="1" x14ac:dyDescent="0.25">
      <c r="B118" s="151" t="s">
        <v>126</v>
      </c>
      <c r="C118" s="154">
        <f>C117</f>
        <v>2148.3483879475175</v>
      </c>
      <c r="D118" s="139">
        <v>0.06</v>
      </c>
      <c r="E118" s="66">
        <f>D118*C118</f>
        <v>128.90090327685104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181.07117425990634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0" t="s">
        <v>230</v>
      </c>
      <c r="C128" s="551"/>
      <c r="D128" s="551"/>
      <c r="E128" s="551"/>
    </row>
    <row r="129" spans="1:8" hidden="1" x14ac:dyDescent="0.25"/>
    <row r="130" spans="1:8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1:8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1:8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1:8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1:8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1:8" ht="15.75" hidden="1" thickBot="1" x14ac:dyDescent="0.3">
      <c r="B135" s="399" t="s">
        <v>240</v>
      </c>
      <c r="C135" s="397"/>
      <c r="D135" s="552" t="s">
        <v>241</v>
      </c>
      <c r="E135" s="552"/>
      <c r="F135" s="553"/>
    </row>
    <row r="136" spans="1:8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1:8" hidden="1" x14ac:dyDescent="0.25"/>
    <row r="138" spans="1:8" s="469" customFormat="1" ht="21.75" thickBot="1" x14ac:dyDescent="0.3">
      <c r="A138" s="587" t="s">
        <v>180</v>
      </c>
      <c r="B138" s="588"/>
      <c r="C138" s="588"/>
      <c r="D138" s="588"/>
      <c r="E138" s="588"/>
      <c r="F138" s="588"/>
      <c r="G138" s="588"/>
      <c r="H138" s="588"/>
    </row>
    <row r="139" spans="1:8" s="469" customFormat="1" ht="15.75" thickBot="1" x14ac:dyDescent="0.3">
      <c r="A139" s="485" t="s">
        <v>150</v>
      </c>
      <c r="B139" s="486">
        <v>0.31950000000000001</v>
      </c>
      <c r="C139" s="487"/>
      <c r="D139" s="487"/>
      <c r="E139" s="487"/>
      <c r="F139" s="487"/>
      <c r="G139" s="487"/>
      <c r="H139" s="487"/>
    </row>
    <row r="140" spans="1:8" s="469" customFormat="1" ht="15.75" thickBot="1" x14ac:dyDescent="0.3">
      <c r="A140" s="487"/>
      <c r="B140" s="487"/>
      <c r="C140" s="487"/>
      <c r="D140" s="487"/>
      <c r="E140" s="487"/>
      <c r="F140" s="487"/>
      <c r="G140" s="487"/>
      <c r="H140" s="487"/>
    </row>
    <row r="141" spans="1:8" s="469" customFormat="1" ht="30" x14ac:dyDescent="0.25">
      <c r="A141" s="488" t="s">
        <v>151</v>
      </c>
      <c r="B141" s="489" t="s">
        <v>152</v>
      </c>
      <c r="C141" s="489" t="s">
        <v>153</v>
      </c>
      <c r="D141" s="490" t="s">
        <v>154</v>
      </c>
      <c r="E141" s="490" t="s">
        <v>155</v>
      </c>
      <c r="F141" s="490" t="s">
        <v>156</v>
      </c>
      <c r="G141" s="490" t="s">
        <v>157</v>
      </c>
      <c r="H141" s="491" t="s">
        <v>158</v>
      </c>
    </row>
    <row r="142" spans="1:8" s="469" customFormat="1" x14ac:dyDescent="0.25">
      <c r="A142" s="492">
        <v>43831</v>
      </c>
      <c r="B142" s="493">
        <f>E20</f>
        <v>2000</v>
      </c>
      <c r="C142" s="494">
        <f>B142</f>
        <v>2000</v>
      </c>
      <c r="D142" s="495">
        <v>1603.12</v>
      </c>
      <c r="E142" s="495">
        <f>+D142</f>
        <v>1603.12</v>
      </c>
      <c r="F142" s="496">
        <f>ROUND((0.3195/0.6)*((1.6*E142/C142)-1),4)</f>
        <v>0.15040000000000001</v>
      </c>
      <c r="G142" s="494">
        <f>IF(F142&gt;0,F142*C142,0)</f>
        <v>300.8</v>
      </c>
      <c r="H142" s="497">
        <f>G142</f>
        <v>300.8</v>
      </c>
    </row>
    <row r="143" spans="1:8" s="469" customFormat="1" x14ac:dyDescent="0.25">
      <c r="A143" s="492">
        <v>43862</v>
      </c>
      <c r="B143" s="493">
        <f>B142</f>
        <v>2000</v>
      </c>
      <c r="C143" s="494">
        <f>C142+B143</f>
        <v>4000</v>
      </c>
      <c r="D143" s="495">
        <v>1603.12</v>
      </c>
      <c r="E143" s="495">
        <f>D143+E142</f>
        <v>3206.24</v>
      </c>
      <c r="F143" s="496">
        <f t="shared" ref="F143:F146" si="9">ROUND((0.3195/0.6)*((1.6*E143/C143)-1),4)</f>
        <v>0.15040000000000001</v>
      </c>
      <c r="G143" s="494">
        <f>IF(F143&gt;0,F143*C143,0)</f>
        <v>601.6</v>
      </c>
      <c r="H143" s="497">
        <f>G143-G142</f>
        <v>300.8</v>
      </c>
    </row>
    <row r="144" spans="1:8" s="469" customFormat="1" x14ac:dyDescent="0.25">
      <c r="A144" s="492">
        <v>43891</v>
      </c>
      <c r="B144" s="493">
        <f t="shared" ref="B144:B145" si="10">B143</f>
        <v>2000</v>
      </c>
      <c r="C144" s="494">
        <f>C143+B144</f>
        <v>6000</v>
      </c>
      <c r="D144" s="495">
        <v>1603.12</v>
      </c>
      <c r="E144" s="495">
        <f>D144+E143</f>
        <v>4809.3599999999997</v>
      </c>
      <c r="F144" s="496">
        <f t="shared" si="9"/>
        <v>0.15040000000000001</v>
      </c>
      <c r="G144" s="498">
        <f>IF(F144&gt;0,F144*C144,0)</f>
        <v>902.40000000000009</v>
      </c>
      <c r="H144" s="499">
        <f>G144-G143</f>
        <v>300.80000000000007</v>
      </c>
    </row>
    <row r="145" spans="1:8" s="469" customFormat="1" x14ac:dyDescent="0.25">
      <c r="A145" s="492">
        <v>43922</v>
      </c>
      <c r="B145" s="493">
        <f t="shared" si="10"/>
        <v>2000</v>
      </c>
      <c r="C145" s="494">
        <f>C144+B145</f>
        <v>8000</v>
      </c>
      <c r="D145" s="495">
        <v>1603.12</v>
      </c>
      <c r="E145" s="495">
        <f>D145+E144</f>
        <v>6412.48</v>
      </c>
      <c r="F145" s="496">
        <f t="shared" si="9"/>
        <v>0.15040000000000001</v>
      </c>
      <c r="G145" s="494">
        <f>IF(F145&gt;0,F145*C145,0)</f>
        <v>1203.2</v>
      </c>
      <c r="H145" s="499">
        <f>G145-G144</f>
        <v>300.79999999999995</v>
      </c>
    </row>
    <row r="146" spans="1:8" s="469" customFormat="1" ht="15.75" thickBot="1" x14ac:dyDescent="0.3">
      <c r="A146" s="500">
        <v>43952</v>
      </c>
      <c r="B146" s="225">
        <f>E37</f>
        <v>2148.3483879475175</v>
      </c>
      <c r="C146" s="494">
        <f>C145+B146</f>
        <v>10148.348387947517</v>
      </c>
      <c r="D146" s="495">
        <v>1604.12</v>
      </c>
      <c r="E146" s="495">
        <f>D146+E145</f>
        <v>8016.5999999999995</v>
      </c>
      <c r="F146" s="496">
        <f t="shared" si="9"/>
        <v>0.14050000000000001</v>
      </c>
      <c r="G146" s="494">
        <f>IF(F146&gt;0,F146*C146,0)</f>
        <v>1425.8429485066263</v>
      </c>
      <c r="H146" s="499">
        <f>G146-G145</f>
        <v>222.64294850662623</v>
      </c>
    </row>
    <row r="147" spans="1:8" s="469" customFormat="1" x14ac:dyDescent="0.25"/>
    <row r="148" spans="1:8" s="469" customFormat="1" x14ac:dyDescent="0.25"/>
    <row r="149" spans="1:8" s="469" customFormat="1" x14ac:dyDescent="0.25"/>
    <row r="150" spans="1:8" s="469" customFormat="1" x14ac:dyDescent="0.25"/>
    <row r="151" spans="1:8" hidden="1" x14ac:dyDescent="0.25">
      <c r="B151" s="138" t="s">
        <v>138</v>
      </c>
      <c r="C151" s="410">
        <v>44531</v>
      </c>
      <c r="D151" s="411">
        <v>3000</v>
      </c>
      <c r="E151" s="412">
        <f t="shared" ref="E151:E152" si="11">1.8*1603.12</f>
        <v>2885.616</v>
      </c>
    </row>
    <row r="152" spans="1:8" hidden="1" x14ac:dyDescent="0.25">
      <c r="B152" s="138" t="s">
        <v>139</v>
      </c>
      <c r="C152" s="410">
        <v>44501</v>
      </c>
      <c r="D152" s="411">
        <v>2900</v>
      </c>
      <c r="E152" s="412">
        <f t="shared" si="11"/>
        <v>2885.616</v>
      </c>
    </row>
    <row r="153" spans="1:8" hidden="1" x14ac:dyDescent="0.25">
      <c r="B153" s="138" t="s">
        <v>140</v>
      </c>
      <c r="C153" s="169"/>
      <c r="D153" s="169"/>
      <c r="E153" s="140">
        <f>SUM(E150:E152)</f>
        <v>5771.232</v>
      </c>
    </row>
    <row r="154" spans="1:8" hidden="1" x14ac:dyDescent="0.25">
      <c r="B154" s="138" t="s">
        <v>141</v>
      </c>
      <c r="C154" s="169"/>
      <c r="D154" s="169"/>
      <c r="E154" s="140">
        <f>E153/91.25*0.5</f>
        <v>31.623189041095891</v>
      </c>
    </row>
    <row r="155" spans="1:8" hidden="1" x14ac:dyDescent="0.25">
      <c r="B155" s="138" t="s">
        <v>242</v>
      </c>
      <c r="C155" s="169"/>
      <c r="D155" s="413" t="s">
        <v>318</v>
      </c>
      <c r="E155" s="170">
        <f>E145-3</f>
        <v>6409.48</v>
      </c>
    </row>
    <row r="156" spans="1:8" hidden="1" x14ac:dyDescent="0.25">
      <c r="B156" s="138" t="s">
        <v>142</v>
      </c>
      <c r="C156" s="169"/>
      <c r="D156" s="169"/>
      <c r="E156" s="414">
        <f>E155*E154</f>
        <v>202688.19769512326</v>
      </c>
    </row>
    <row r="157" spans="1:8" hidden="1" x14ac:dyDescent="0.25">
      <c r="B157" s="138" t="s">
        <v>143</v>
      </c>
      <c r="C157" s="169"/>
      <c r="D157" s="169"/>
      <c r="E157" s="140">
        <f>E156*6.7%</f>
        <v>13580.10924557326</v>
      </c>
    </row>
    <row r="158" spans="1:8" ht="15.75" hidden="1" thickBot="1" x14ac:dyDescent="0.3">
      <c r="B158" s="171" t="s">
        <v>144</v>
      </c>
      <c r="C158" s="69"/>
      <c r="D158" s="69"/>
      <c r="E158" s="415">
        <f>E156-E157</f>
        <v>189108.08844955001</v>
      </c>
    </row>
    <row r="159" spans="1:8" hidden="1" x14ac:dyDescent="0.25"/>
    <row r="160" spans="1:8" hidden="1" x14ac:dyDescent="0.25">
      <c r="B160" s="554" t="s">
        <v>54</v>
      </c>
      <c r="C160" s="555"/>
      <c r="D160" s="555"/>
      <c r="E160" s="556"/>
    </row>
    <row r="161" spans="2:5" hidden="1" x14ac:dyDescent="0.25">
      <c r="B161" s="158" t="s">
        <v>145</v>
      </c>
      <c r="C161" s="159"/>
      <c r="D161" s="159"/>
      <c r="E161" s="416">
        <f>E145-7</f>
        <v>6405.48</v>
      </c>
    </row>
    <row r="162" spans="2:5" hidden="1" x14ac:dyDescent="0.25">
      <c r="B162" s="158" t="s">
        <v>146</v>
      </c>
      <c r="C162" s="159"/>
      <c r="D162" s="159"/>
      <c r="E162" s="160">
        <f>E144*0.9</f>
        <v>4328.424</v>
      </c>
    </row>
    <row r="163" spans="2:5" ht="16.5" hidden="1" thickTop="1" thickBot="1" x14ac:dyDescent="0.3">
      <c r="B163" s="158" t="s">
        <v>147</v>
      </c>
      <c r="C163" s="159"/>
      <c r="D163" s="159"/>
      <c r="E163" s="409">
        <f>E161*E162</f>
        <v>27725633.363519996</v>
      </c>
    </row>
    <row r="164" spans="2:5" hidden="1" x14ac:dyDescent="0.25">
      <c r="B164" s="138" t="s">
        <v>148</v>
      </c>
      <c r="C164" s="159"/>
      <c r="D164" s="159"/>
      <c r="E164" s="417">
        <f>E154</f>
        <v>31.623189041095891</v>
      </c>
    </row>
    <row r="165" spans="2:5" ht="16.5" hidden="1" thickTop="1" thickBot="1" x14ac:dyDescent="0.3">
      <c r="B165" s="161" t="s">
        <v>149</v>
      </c>
      <c r="C165" s="418">
        <f>E161</f>
        <v>6405.48</v>
      </c>
      <c r="D165" s="419">
        <f>E164</f>
        <v>31.623189041095891</v>
      </c>
      <c r="E165" s="409">
        <f>D165*C165</f>
        <v>202561.70493895889</v>
      </c>
    </row>
    <row r="166" spans="2:5" hidden="1" x14ac:dyDescent="0.25"/>
  </sheetData>
  <mergeCells count="16">
    <mergeCell ref="C17:D17"/>
    <mergeCell ref="F17:G17"/>
    <mergeCell ref="B78:B79"/>
    <mergeCell ref="C78:C79"/>
    <mergeCell ref="E78:E79"/>
    <mergeCell ref="G78:G79"/>
    <mergeCell ref="B128:E128"/>
    <mergeCell ref="D135:F135"/>
    <mergeCell ref="A138:H138"/>
    <mergeCell ref="B160:E160"/>
    <mergeCell ref="B83:B84"/>
    <mergeCell ref="C83:D84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9AD9-E76A-47DA-AB18-9AC0ED15C6FD}">
  <sheetPr>
    <tabColor rgb="FFFF0000"/>
  </sheetPr>
  <dimension ref="A6:P105"/>
  <sheetViews>
    <sheetView topLeftCell="A40" workbookViewId="0">
      <selection activeCell="H67" sqref="H67"/>
    </sheetView>
    <sheetView workbookViewId="1"/>
    <sheetView workbookViewId="2"/>
  </sheetViews>
  <sheetFormatPr baseColWidth="10" defaultRowHeight="15" x14ac:dyDescent="0.25"/>
  <cols>
    <col min="1" max="1" width="21.42578125" style="1" customWidth="1"/>
    <col min="2" max="2" width="12.85546875" style="1" bestFit="1" customWidth="1"/>
    <col min="3" max="3" width="12.5703125" style="1" bestFit="1" customWidth="1"/>
    <col min="4" max="5" width="16.7109375" style="1" bestFit="1" customWidth="1"/>
    <col min="6" max="6" width="12.28515625" style="1" bestFit="1" customWidth="1"/>
    <col min="7" max="7" width="14.28515625" style="1" bestFit="1" customWidth="1"/>
    <col min="8" max="8" width="12" style="1" bestFit="1" customWidth="1"/>
    <col min="9" max="9" width="13.7109375" style="1" customWidth="1"/>
    <col min="10" max="10" width="14.42578125" style="1" customWidth="1"/>
    <col min="11" max="11" width="11.85546875" style="1" bestFit="1" customWidth="1"/>
    <col min="12" max="12" width="11.5703125" style="1" bestFit="1" customWidth="1"/>
    <col min="13" max="13" width="11.42578125" style="1"/>
    <col min="14" max="14" width="17.140625" style="1" customWidth="1"/>
    <col min="15" max="15" width="11.42578125" style="1"/>
    <col min="16" max="16" width="19" style="1" customWidth="1"/>
    <col min="17" max="16384" width="11.42578125" style="1"/>
  </cols>
  <sheetData>
    <row r="6" spans="1:8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</row>
    <row r="8" spans="1:8" ht="18.75" x14ac:dyDescent="0.25">
      <c r="A8" s="185" t="s">
        <v>162</v>
      </c>
      <c r="D8" s="186">
        <v>3428</v>
      </c>
    </row>
    <row r="9" spans="1:8" ht="15.75" thickBot="1" x14ac:dyDescent="0.3"/>
    <row r="10" spans="1:8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8" ht="19.5" customHeight="1" x14ac:dyDescent="0.25">
      <c r="A11" s="187">
        <v>117610</v>
      </c>
      <c r="B11" s="238">
        <v>4100</v>
      </c>
      <c r="C11" s="238">
        <f>B11</f>
        <v>4100</v>
      </c>
      <c r="D11" s="238">
        <f>D8</f>
        <v>3428</v>
      </c>
      <c r="E11" s="238">
        <f>D11</f>
        <v>3428</v>
      </c>
      <c r="F11" s="238">
        <f t="shared" ref="F11:F22" si="0">MIN(C11,E11)</f>
        <v>3428</v>
      </c>
      <c r="G11" s="238">
        <f>F11</f>
        <v>3428</v>
      </c>
      <c r="H11" s="253">
        <f t="shared" ref="H11:H22" si="1">B11-G11</f>
        <v>672</v>
      </c>
    </row>
    <row r="12" spans="1:8" ht="19.5" customHeight="1" x14ac:dyDescent="0.25">
      <c r="A12" s="187">
        <v>117641</v>
      </c>
      <c r="B12" s="238">
        <v>3100</v>
      </c>
      <c r="C12" s="238">
        <f>C11+B12</f>
        <v>7200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-328</v>
      </c>
    </row>
    <row r="13" spans="1:8" ht="19.5" customHeight="1" x14ac:dyDescent="0.25">
      <c r="A13" s="187">
        <v>117669</v>
      </c>
      <c r="B13" s="238">
        <f>'[1]Enoncé exemple'!C8</f>
        <v>4000</v>
      </c>
      <c r="C13" s="238">
        <f>C12+B13</f>
        <v>11200</v>
      </c>
      <c r="D13" s="238">
        <f t="shared" ref="D13:D22" si="2">$D$8</f>
        <v>3428</v>
      </c>
      <c r="E13" s="238">
        <f t="shared" ref="E13:E22" si="3">E12+D13</f>
        <v>10284</v>
      </c>
      <c r="F13" s="238">
        <f t="shared" si="0"/>
        <v>10284</v>
      </c>
      <c r="G13" s="238">
        <f>F13-F12</f>
        <v>3428</v>
      </c>
      <c r="H13" s="253">
        <f t="shared" si="1"/>
        <v>572</v>
      </c>
    </row>
    <row r="14" spans="1:8" ht="19.5" customHeight="1" x14ac:dyDescent="0.25">
      <c r="A14" s="187">
        <v>117700</v>
      </c>
      <c r="B14" s="238">
        <v>5000</v>
      </c>
      <c r="C14" s="238">
        <f t="shared" ref="C14:C22" si="4">C13+B14</f>
        <v>16200</v>
      </c>
      <c r="D14" s="238">
        <f t="shared" si="2"/>
        <v>3428</v>
      </c>
      <c r="E14" s="238">
        <f t="shared" si="3"/>
        <v>13712</v>
      </c>
      <c r="F14" s="238">
        <f t="shared" si="0"/>
        <v>13712</v>
      </c>
      <c r="G14" s="238">
        <f t="shared" ref="G14:G22" si="5">F14-F13</f>
        <v>3428</v>
      </c>
      <c r="H14" s="253">
        <f t="shared" si="1"/>
        <v>1572</v>
      </c>
    </row>
    <row r="15" spans="1:8" ht="19.5" customHeight="1" x14ac:dyDescent="0.25">
      <c r="A15" s="187">
        <v>117730</v>
      </c>
      <c r="B15" s="238">
        <v>6000</v>
      </c>
      <c r="C15" s="238">
        <f t="shared" si="4"/>
        <v>22200</v>
      </c>
      <c r="D15" s="238">
        <f t="shared" si="2"/>
        <v>3428</v>
      </c>
      <c r="E15" s="238">
        <f t="shared" si="3"/>
        <v>17140</v>
      </c>
      <c r="F15" s="238">
        <f t="shared" si="0"/>
        <v>17140</v>
      </c>
      <c r="G15" s="238">
        <f t="shared" si="5"/>
        <v>3428</v>
      </c>
      <c r="H15" s="253">
        <f t="shared" si="1"/>
        <v>2572</v>
      </c>
    </row>
    <row r="16" spans="1:8" ht="19.5" customHeight="1" x14ac:dyDescent="0.25">
      <c r="A16" s="187">
        <v>117761</v>
      </c>
      <c r="B16" s="238">
        <v>2000</v>
      </c>
      <c r="C16" s="238">
        <f t="shared" si="4"/>
        <v>24200</v>
      </c>
      <c r="D16" s="238">
        <f t="shared" si="2"/>
        <v>3428</v>
      </c>
      <c r="E16" s="238">
        <f t="shared" si="3"/>
        <v>20568</v>
      </c>
      <c r="F16" s="238">
        <f t="shared" si="0"/>
        <v>20568</v>
      </c>
      <c r="G16" s="238">
        <f t="shared" si="5"/>
        <v>3428</v>
      </c>
      <c r="H16" s="253">
        <f t="shared" si="1"/>
        <v>-1428</v>
      </c>
    </row>
    <row r="17" spans="1:16" ht="19.5" customHeight="1" x14ac:dyDescent="0.25">
      <c r="A17" s="187">
        <v>117791</v>
      </c>
      <c r="B17" s="238">
        <v>2000</v>
      </c>
      <c r="C17" s="238">
        <f t="shared" si="4"/>
        <v>26200</v>
      </c>
      <c r="D17" s="238">
        <f t="shared" si="2"/>
        <v>3428</v>
      </c>
      <c r="E17" s="238">
        <f t="shared" si="3"/>
        <v>23996</v>
      </c>
      <c r="F17" s="238">
        <f t="shared" si="0"/>
        <v>23996</v>
      </c>
      <c r="G17" s="238">
        <f t="shared" si="5"/>
        <v>3428</v>
      </c>
      <c r="H17" s="253">
        <f t="shared" si="1"/>
        <v>-1428</v>
      </c>
    </row>
    <row r="18" spans="1:16" ht="19.5" customHeight="1" x14ac:dyDescent="0.25">
      <c r="A18" s="187">
        <v>117822</v>
      </c>
      <c r="B18" s="238">
        <v>2000</v>
      </c>
      <c r="C18" s="238">
        <f t="shared" si="4"/>
        <v>28200</v>
      </c>
      <c r="D18" s="238">
        <f t="shared" si="2"/>
        <v>3428</v>
      </c>
      <c r="E18" s="238">
        <f t="shared" si="3"/>
        <v>27424</v>
      </c>
      <c r="F18" s="238">
        <f t="shared" si="0"/>
        <v>27424</v>
      </c>
      <c r="G18" s="238">
        <f t="shared" si="5"/>
        <v>3428</v>
      </c>
      <c r="H18" s="253">
        <f t="shared" si="1"/>
        <v>-1428</v>
      </c>
    </row>
    <row r="19" spans="1:16" ht="19.5" customHeight="1" x14ac:dyDescent="0.25">
      <c r="A19" s="187">
        <v>117853</v>
      </c>
      <c r="B19" s="238">
        <v>2500</v>
      </c>
      <c r="C19" s="238">
        <f t="shared" si="4"/>
        <v>30700</v>
      </c>
      <c r="D19" s="238">
        <f t="shared" si="2"/>
        <v>3428</v>
      </c>
      <c r="E19" s="238">
        <f t="shared" si="3"/>
        <v>30852</v>
      </c>
      <c r="F19" s="238">
        <f t="shared" si="0"/>
        <v>30700</v>
      </c>
      <c r="G19" s="238">
        <f t="shared" si="5"/>
        <v>3276</v>
      </c>
      <c r="H19" s="253">
        <f t="shared" si="1"/>
        <v>-776</v>
      </c>
    </row>
    <row r="20" spans="1:16" ht="19.5" customHeight="1" x14ac:dyDescent="0.25">
      <c r="A20" s="187">
        <v>117883</v>
      </c>
      <c r="B20" s="238">
        <f>'[1]Enoncé exemple'!C15</f>
        <v>3100</v>
      </c>
      <c r="C20" s="238">
        <f t="shared" si="4"/>
        <v>33800</v>
      </c>
      <c r="D20" s="238">
        <f t="shared" si="2"/>
        <v>3428</v>
      </c>
      <c r="E20" s="238">
        <f t="shared" si="3"/>
        <v>34280</v>
      </c>
      <c r="F20" s="238">
        <f t="shared" si="0"/>
        <v>33800</v>
      </c>
      <c r="G20" s="238">
        <f t="shared" si="5"/>
        <v>3100</v>
      </c>
      <c r="H20" s="253">
        <f t="shared" si="1"/>
        <v>0</v>
      </c>
    </row>
    <row r="21" spans="1:16" ht="19.5" customHeight="1" x14ac:dyDescent="0.25">
      <c r="A21" s="187">
        <v>117914</v>
      </c>
      <c r="B21" s="238">
        <v>5000</v>
      </c>
      <c r="C21" s="238">
        <f t="shared" si="4"/>
        <v>38800</v>
      </c>
      <c r="D21" s="238">
        <f t="shared" si="2"/>
        <v>3428</v>
      </c>
      <c r="E21" s="238">
        <f t="shared" si="3"/>
        <v>37708</v>
      </c>
      <c r="F21" s="238">
        <f t="shared" si="0"/>
        <v>37708</v>
      </c>
      <c r="G21" s="238">
        <f t="shared" si="5"/>
        <v>3908</v>
      </c>
      <c r="H21" s="253">
        <f t="shared" si="1"/>
        <v>1092</v>
      </c>
    </row>
    <row r="22" spans="1:16" ht="19.5" customHeight="1" thickBot="1" x14ac:dyDescent="0.3">
      <c r="A22" s="189">
        <v>117944</v>
      </c>
      <c r="B22" s="239">
        <v>7000</v>
      </c>
      <c r="C22" s="239">
        <f t="shared" si="4"/>
        <v>45800</v>
      </c>
      <c r="D22" s="239">
        <f t="shared" si="2"/>
        <v>3428</v>
      </c>
      <c r="E22" s="239">
        <f t="shared" si="3"/>
        <v>41136</v>
      </c>
      <c r="F22" s="239">
        <f t="shared" si="0"/>
        <v>41136</v>
      </c>
      <c r="G22" s="239">
        <f t="shared" si="5"/>
        <v>3428</v>
      </c>
      <c r="H22" s="256">
        <f t="shared" si="1"/>
        <v>3572</v>
      </c>
    </row>
    <row r="23" spans="1:16" x14ac:dyDescent="0.25">
      <c r="A23" s="190"/>
      <c r="B23" s="191"/>
      <c r="C23" s="192"/>
      <c r="D23" s="192"/>
      <c r="E23" s="192"/>
      <c r="F23" s="192"/>
      <c r="G23" s="192"/>
      <c r="H23" s="192"/>
    </row>
    <row r="24" spans="1:16" x14ac:dyDescent="0.25">
      <c r="A24" s="190"/>
      <c r="B24" s="191"/>
      <c r="C24" s="192"/>
      <c r="D24" s="192"/>
      <c r="E24" s="192"/>
      <c r="F24" s="192"/>
      <c r="G24" s="192"/>
      <c r="H24" s="192"/>
    </row>
    <row r="26" spans="1:16" ht="23.25" x14ac:dyDescent="0.25">
      <c r="A26" s="183" t="s">
        <v>169</v>
      </c>
      <c r="B26" s="184"/>
      <c r="C26" s="184"/>
      <c r="D26" s="184"/>
      <c r="E26" s="184"/>
      <c r="F26" s="184"/>
    </row>
    <row r="27" spans="1:16" ht="15.75" thickBot="1" x14ac:dyDescent="0.3"/>
    <row r="28" spans="1:16" ht="15.75" thickBot="1" x14ac:dyDescent="0.3">
      <c r="L28" s="247" t="s">
        <v>189</v>
      </c>
      <c r="M28" s="248"/>
      <c r="N28" s="248"/>
      <c r="O28" s="248"/>
      <c r="P28" s="249"/>
    </row>
    <row r="29" spans="1:16" ht="60" x14ac:dyDescent="0.25">
      <c r="A29" s="193"/>
      <c r="B29" s="240" t="s">
        <v>107</v>
      </c>
      <c r="C29" s="194" t="s">
        <v>163</v>
      </c>
      <c r="D29" s="241" t="s">
        <v>154</v>
      </c>
      <c r="E29" s="195" t="s">
        <v>170</v>
      </c>
      <c r="F29" s="195" t="s">
        <v>171</v>
      </c>
      <c r="G29" s="195" t="s">
        <v>185</v>
      </c>
      <c r="H29" s="196" t="s">
        <v>172</v>
      </c>
      <c r="I29" s="196" t="s">
        <v>173</v>
      </c>
      <c r="J29" s="197" t="s">
        <v>186</v>
      </c>
      <c r="L29" s="5" t="s">
        <v>190</v>
      </c>
      <c r="M29" s="175" t="s">
        <v>191</v>
      </c>
      <c r="N29" s="175" t="s">
        <v>192</v>
      </c>
      <c r="O29" s="175" t="s">
        <v>193</v>
      </c>
      <c r="P29" s="197" t="s">
        <v>186</v>
      </c>
    </row>
    <row r="30" spans="1:16" ht="19.5" customHeight="1" x14ac:dyDescent="0.25">
      <c r="A30" s="187">
        <v>43831</v>
      </c>
      <c r="B30" s="188">
        <v>4100</v>
      </c>
      <c r="C30" s="198">
        <f>B30</f>
        <v>4100</v>
      </c>
      <c r="D30" s="198">
        <v>1603.12</v>
      </c>
      <c r="E30" s="198">
        <f>2.5*D30</f>
        <v>4007.7999999999997</v>
      </c>
      <c r="F30" s="198">
        <f>E30</f>
        <v>4007.7999999999997</v>
      </c>
      <c r="G30" s="199">
        <f t="shared" ref="G30:G41" si="6">B30</f>
        <v>4100</v>
      </c>
      <c r="H30" s="251">
        <f t="shared" ref="H30:H41" si="7">IF(C30&gt;F30,C30,"0")</f>
        <v>4100</v>
      </c>
      <c r="I30" s="250">
        <f>H30</f>
        <v>4100</v>
      </c>
      <c r="J30" s="201">
        <f t="shared" ref="J30:J41" si="8">(B30*7%)+(I30*6%)</f>
        <v>533</v>
      </c>
      <c r="L30" s="243">
        <f t="shared" ref="L30:L41" si="9">B30</f>
        <v>4100</v>
      </c>
      <c r="M30" s="220">
        <f>L30*7%</f>
        <v>287</v>
      </c>
      <c r="N30" s="252">
        <f>I30</f>
        <v>4100</v>
      </c>
      <c r="O30" s="220">
        <f>N30*6%</f>
        <v>246</v>
      </c>
      <c r="P30" s="244">
        <f>O30+M30</f>
        <v>533</v>
      </c>
    </row>
    <row r="31" spans="1:16" ht="19.5" customHeight="1" x14ac:dyDescent="0.25">
      <c r="A31" s="187">
        <v>43862</v>
      </c>
      <c r="B31" s="188">
        <v>3100</v>
      </c>
      <c r="C31" s="198">
        <f>C30+B31</f>
        <v>7200</v>
      </c>
      <c r="D31" s="198">
        <v>1603.12</v>
      </c>
      <c r="E31" s="198">
        <f t="shared" ref="E31:E41" si="10">2.5*D31</f>
        <v>4007.7999999999997</v>
      </c>
      <c r="F31" s="198">
        <f>F30+E31</f>
        <v>8015.5999999999995</v>
      </c>
      <c r="G31" s="199">
        <f t="shared" si="6"/>
        <v>3100</v>
      </c>
      <c r="H31" s="251" t="str">
        <f t="shared" si="7"/>
        <v>0</v>
      </c>
      <c r="I31" s="199">
        <f>H31-H30</f>
        <v>-4100</v>
      </c>
      <c r="J31" s="201">
        <f t="shared" si="8"/>
        <v>-28.999999999999972</v>
      </c>
      <c r="L31" s="243">
        <f t="shared" si="9"/>
        <v>3100</v>
      </c>
      <c r="M31" s="220">
        <f t="shared" ref="M31:M41" si="11">L31*7%</f>
        <v>217.00000000000003</v>
      </c>
      <c r="N31" s="220">
        <f t="shared" ref="N31:N41" si="12">I31</f>
        <v>-4100</v>
      </c>
      <c r="O31" s="220">
        <f t="shared" ref="O31:O41" si="13">N31*6%</f>
        <v>-246</v>
      </c>
      <c r="P31" s="244">
        <f t="shared" ref="P31:P41" si="14">O31+M31</f>
        <v>-28.999999999999972</v>
      </c>
    </row>
    <row r="32" spans="1:16" ht="19.5" customHeight="1" x14ac:dyDescent="0.25">
      <c r="A32" s="187">
        <v>43891</v>
      </c>
      <c r="B32" s="198">
        <v>3550</v>
      </c>
      <c r="C32" s="198">
        <f>C31+B32</f>
        <v>10750</v>
      </c>
      <c r="D32" s="198">
        <v>1603.12</v>
      </c>
      <c r="E32" s="198">
        <f t="shared" si="10"/>
        <v>4007.7999999999997</v>
      </c>
      <c r="F32" s="198">
        <f t="shared" ref="F32:F41" si="15">F31+E32</f>
        <v>12023.4</v>
      </c>
      <c r="G32" s="199">
        <f t="shared" si="6"/>
        <v>3550</v>
      </c>
      <c r="H32" s="251" t="str">
        <f t="shared" si="7"/>
        <v>0</v>
      </c>
      <c r="I32" s="199">
        <f t="shared" ref="I32:I41" si="16">H32-H31</f>
        <v>0</v>
      </c>
      <c r="J32" s="201">
        <f t="shared" si="8"/>
        <v>248.50000000000003</v>
      </c>
      <c r="L32" s="243">
        <f t="shared" si="9"/>
        <v>3550</v>
      </c>
      <c r="M32" s="220">
        <f t="shared" si="11"/>
        <v>248.50000000000003</v>
      </c>
      <c r="N32" s="220">
        <f t="shared" si="12"/>
        <v>0</v>
      </c>
      <c r="O32" s="220">
        <f t="shared" si="13"/>
        <v>0</v>
      </c>
      <c r="P32" s="244">
        <f t="shared" si="14"/>
        <v>248.50000000000003</v>
      </c>
    </row>
    <row r="33" spans="1:16" ht="19.5" customHeight="1" x14ac:dyDescent="0.25">
      <c r="A33" s="187">
        <v>43922</v>
      </c>
      <c r="B33" s="198">
        <v>4700</v>
      </c>
      <c r="C33" s="198">
        <f>C32+B33</f>
        <v>15450</v>
      </c>
      <c r="D33" s="198">
        <v>1603.12</v>
      </c>
      <c r="E33" s="198">
        <f t="shared" si="10"/>
        <v>4007.7999999999997</v>
      </c>
      <c r="F33" s="198">
        <f t="shared" si="15"/>
        <v>16031.199999999999</v>
      </c>
      <c r="G33" s="199">
        <f t="shared" si="6"/>
        <v>4700</v>
      </c>
      <c r="H33" s="251" t="str">
        <f t="shared" si="7"/>
        <v>0</v>
      </c>
      <c r="I33" s="199">
        <f t="shared" si="16"/>
        <v>0</v>
      </c>
      <c r="J33" s="201">
        <f t="shared" si="8"/>
        <v>329.00000000000006</v>
      </c>
      <c r="L33" s="243">
        <f t="shared" si="9"/>
        <v>4700</v>
      </c>
      <c r="M33" s="220">
        <f t="shared" si="11"/>
        <v>329.00000000000006</v>
      </c>
      <c r="N33" s="220">
        <f t="shared" si="12"/>
        <v>0</v>
      </c>
      <c r="O33" s="220">
        <f t="shared" si="13"/>
        <v>0</v>
      </c>
      <c r="P33" s="244">
        <f t="shared" si="14"/>
        <v>329.00000000000006</v>
      </c>
    </row>
    <row r="34" spans="1:16" ht="19.5" customHeight="1" x14ac:dyDescent="0.25">
      <c r="A34" s="187">
        <v>43952</v>
      </c>
      <c r="B34" s="198">
        <v>8000</v>
      </c>
      <c r="C34" s="198">
        <f>C33+B34</f>
        <v>23450</v>
      </c>
      <c r="D34" s="198">
        <v>1603.12</v>
      </c>
      <c r="E34" s="198">
        <f t="shared" si="10"/>
        <v>4007.7999999999997</v>
      </c>
      <c r="F34" s="198">
        <f t="shared" si="15"/>
        <v>20039</v>
      </c>
      <c r="G34" s="199">
        <f t="shared" si="6"/>
        <v>8000</v>
      </c>
      <c r="H34" s="200">
        <f t="shared" si="7"/>
        <v>23450</v>
      </c>
      <c r="I34" s="199">
        <f>H34-H33</f>
        <v>23450</v>
      </c>
      <c r="J34" s="201">
        <f t="shared" si="8"/>
        <v>1967</v>
      </c>
      <c r="L34" s="243">
        <f t="shared" si="9"/>
        <v>8000</v>
      </c>
      <c r="M34" s="220">
        <f t="shared" si="11"/>
        <v>560</v>
      </c>
      <c r="N34" s="220">
        <f t="shared" si="12"/>
        <v>23450</v>
      </c>
      <c r="O34" s="220">
        <f t="shared" si="13"/>
        <v>1407</v>
      </c>
      <c r="P34" s="244">
        <f t="shared" si="14"/>
        <v>1967</v>
      </c>
    </row>
    <row r="35" spans="1:16" ht="19.5" customHeight="1" x14ac:dyDescent="0.25">
      <c r="A35" s="187">
        <v>43983</v>
      </c>
      <c r="B35" s="198">
        <v>2000</v>
      </c>
      <c r="C35" s="198">
        <f t="shared" ref="C35:C39" si="17">C34+B35</f>
        <v>25450</v>
      </c>
      <c r="D35" s="198">
        <v>1603.12</v>
      </c>
      <c r="E35" s="198">
        <f t="shared" si="10"/>
        <v>4007.7999999999997</v>
      </c>
      <c r="F35" s="198">
        <f t="shared" si="15"/>
        <v>24046.799999999999</v>
      </c>
      <c r="G35" s="199">
        <f t="shared" si="6"/>
        <v>2000</v>
      </c>
      <c r="H35" s="200">
        <f t="shared" si="7"/>
        <v>25450</v>
      </c>
      <c r="I35" s="199">
        <f t="shared" si="16"/>
        <v>2000</v>
      </c>
      <c r="J35" s="201">
        <f t="shared" si="8"/>
        <v>260</v>
      </c>
      <c r="L35" s="243">
        <f t="shared" si="9"/>
        <v>2000</v>
      </c>
      <c r="M35" s="220">
        <f t="shared" si="11"/>
        <v>140</v>
      </c>
      <c r="N35" s="220">
        <f t="shared" si="12"/>
        <v>2000</v>
      </c>
      <c r="O35" s="220">
        <f t="shared" si="13"/>
        <v>120</v>
      </c>
      <c r="P35" s="244">
        <f t="shared" si="14"/>
        <v>260</v>
      </c>
    </row>
    <row r="36" spans="1:16" ht="19.5" customHeight="1" x14ac:dyDescent="0.25">
      <c r="A36" s="187">
        <v>44013</v>
      </c>
      <c r="B36" s="198">
        <v>0</v>
      </c>
      <c r="C36" s="198">
        <f t="shared" si="17"/>
        <v>25450</v>
      </c>
      <c r="D36" s="198">
        <v>1603.12</v>
      </c>
      <c r="E36" s="198">
        <f t="shared" si="10"/>
        <v>4007.7999999999997</v>
      </c>
      <c r="F36" s="198">
        <f t="shared" si="15"/>
        <v>28054.6</v>
      </c>
      <c r="G36" s="199">
        <f t="shared" si="6"/>
        <v>0</v>
      </c>
      <c r="H36" s="200" t="str">
        <f t="shared" si="7"/>
        <v>0</v>
      </c>
      <c r="I36" s="199">
        <f t="shared" si="16"/>
        <v>-25450</v>
      </c>
      <c r="J36" s="201">
        <f t="shared" si="8"/>
        <v>-1527</v>
      </c>
      <c r="L36" s="243">
        <f t="shared" si="9"/>
        <v>0</v>
      </c>
      <c r="M36" s="220">
        <f t="shared" si="11"/>
        <v>0</v>
      </c>
      <c r="N36" s="220">
        <f t="shared" si="12"/>
        <v>-25450</v>
      </c>
      <c r="O36" s="220">
        <f t="shared" si="13"/>
        <v>-1527</v>
      </c>
      <c r="P36" s="244">
        <f t="shared" si="14"/>
        <v>-1527</v>
      </c>
    </row>
    <row r="37" spans="1:16" ht="19.5" customHeight="1" x14ac:dyDescent="0.25">
      <c r="A37" s="187">
        <v>44044</v>
      </c>
      <c r="B37" s="198">
        <v>5500</v>
      </c>
      <c r="C37" s="198">
        <f t="shared" si="17"/>
        <v>30950</v>
      </c>
      <c r="D37" s="198">
        <v>1603.12</v>
      </c>
      <c r="E37" s="198">
        <f t="shared" si="10"/>
        <v>4007.7999999999997</v>
      </c>
      <c r="F37" s="198">
        <f t="shared" si="15"/>
        <v>32062.399999999998</v>
      </c>
      <c r="G37" s="199">
        <f t="shared" si="6"/>
        <v>5500</v>
      </c>
      <c r="H37" s="200" t="str">
        <f t="shared" si="7"/>
        <v>0</v>
      </c>
      <c r="I37" s="199">
        <f t="shared" si="16"/>
        <v>0</v>
      </c>
      <c r="J37" s="201">
        <f t="shared" si="8"/>
        <v>385.00000000000006</v>
      </c>
      <c r="L37" s="243">
        <f t="shared" si="9"/>
        <v>5500</v>
      </c>
      <c r="M37" s="220">
        <f t="shared" si="11"/>
        <v>385.00000000000006</v>
      </c>
      <c r="N37" s="220">
        <f t="shared" si="12"/>
        <v>0</v>
      </c>
      <c r="O37" s="220">
        <f t="shared" si="13"/>
        <v>0</v>
      </c>
      <c r="P37" s="244">
        <f t="shared" si="14"/>
        <v>385.00000000000006</v>
      </c>
    </row>
    <row r="38" spans="1:16" ht="19.5" customHeight="1" x14ac:dyDescent="0.25">
      <c r="A38" s="187">
        <v>44075</v>
      </c>
      <c r="B38" s="198">
        <v>5500</v>
      </c>
      <c r="C38" s="198">
        <f t="shared" si="17"/>
        <v>36450</v>
      </c>
      <c r="D38" s="198">
        <v>1603.12</v>
      </c>
      <c r="E38" s="198">
        <f t="shared" si="10"/>
        <v>4007.7999999999997</v>
      </c>
      <c r="F38" s="198">
        <f t="shared" si="15"/>
        <v>36070.199999999997</v>
      </c>
      <c r="G38" s="199">
        <f t="shared" si="6"/>
        <v>5500</v>
      </c>
      <c r="H38" s="200">
        <f t="shared" si="7"/>
        <v>36450</v>
      </c>
      <c r="I38" s="199">
        <f t="shared" si="16"/>
        <v>36450</v>
      </c>
      <c r="J38" s="201">
        <f t="shared" si="8"/>
        <v>2572</v>
      </c>
      <c r="L38" s="243">
        <f t="shared" si="9"/>
        <v>5500</v>
      </c>
      <c r="M38" s="220">
        <f t="shared" si="11"/>
        <v>385.00000000000006</v>
      </c>
      <c r="N38" s="220">
        <f t="shared" si="12"/>
        <v>36450</v>
      </c>
      <c r="O38" s="220">
        <f t="shared" si="13"/>
        <v>2187</v>
      </c>
      <c r="P38" s="244">
        <f t="shared" si="14"/>
        <v>2572</v>
      </c>
    </row>
    <row r="39" spans="1:16" ht="19.5" customHeight="1" x14ac:dyDescent="0.25">
      <c r="A39" s="187">
        <v>44105</v>
      </c>
      <c r="B39" s="198">
        <v>5500</v>
      </c>
      <c r="C39" s="198">
        <f t="shared" si="17"/>
        <v>41950</v>
      </c>
      <c r="D39" s="198">
        <v>1603.12</v>
      </c>
      <c r="E39" s="198">
        <f t="shared" si="10"/>
        <v>4007.7999999999997</v>
      </c>
      <c r="F39" s="198">
        <f t="shared" si="15"/>
        <v>40078</v>
      </c>
      <c r="G39" s="199">
        <f t="shared" si="6"/>
        <v>5500</v>
      </c>
      <c r="H39" s="200">
        <f t="shared" si="7"/>
        <v>41950</v>
      </c>
      <c r="I39" s="199">
        <f t="shared" si="16"/>
        <v>5500</v>
      </c>
      <c r="J39" s="201">
        <f t="shared" si="8"/>
        <v>715</v>
      </c>
      <c r="L39" s="243">
        <f t="shared" si="9"/>
        <v>5500</v>
      </c>
      <c r="M39" s="220">
        <f t="shared" si="11"/>
        <v>385.00000000000006</v>
      </c>
      <c r="N39" s="220">
        <f t="shared" si="12"/>
        <v>5500</v>
      </c>
      <c r="O39" s="220">
        <f t="shared" si="13"/>
        <v>330</v>
      </c>
      <c r="P39" s="244">
        <f t="shared" si="14"/>
        <v>715</v>
      </c>
    </row>
    <row r="40" spans="1:16" ht="19.5" customHeight="1" x14ac:dyDescent="0.25">
      <c r="A40" s="187">
        <v>44136</v>
      </c>
      <c r="B40" s="198">
        <v>5500</v>
      </c>
      <c r="C40" s="198">
        <f>C39+B40</f>
        <v>47450</v>
      </c>
      <c r="D40" s="198">
        <v>1603.12</v>
      </c>
      <c r="E40" s="198">
        <f t="shared" si="10"/>
        <v>4007.7999999999997</v>
      </c>
      <c r="F40" s="198">
        <f t="shared" si="15"/>
        <v>44085.8</v>
      </c>
      <c r="G40" s="199">
        <f t="shared" si="6"/>
        <v>5500</v>
      </c>
      <c r="H40" s="200">
        <f t="shared" si="7"/>
        <v>47450</v>
      </c>
      <c r="I40" s="199">
        <f t="shared" si="16"/>
        <v>5500</v>
      </c>
      <c r="J40" s="201">
        <f t="shared" si="8"/>
        <v>715</v>
      </c>
      <c r="L40" s="243">
        <f t="shared" si="9"/>
        <v>5500</v>
      </c>
      <c r="M40" s="220">
        <f t="shared" si="11"/>
        <v>385.00000000000006</v>
      </c>
      <c r="N40" s="220">
        <f t="shared" si="12"/>
        <v>5500</v>
      </c>
      <c r="O40" s="220">
        <f t="shared" si="13"/>
        <v>330</v>
      </c>
      <c r="P40" s="244">
        <f t="shared" si="14"/>
        <v>715</v>
      </c>
    </row>
    <row r="41" spans="1:16" ht="19.5" customHeight="1" thickBot="1" x14ac:dyDescent="0.3">
      <c r="A41" s="189">
        <v>44166</v>
      </c>
      <c r="B41" s="202">
        <v>5500</v>
      </c>
      <c r="C41" s="202">
        <f t="shared" ref="C41" si="18">C40+B41</f>
        <v>52950</v>
      </c>
      <c r="D41" s="202">
        <v>1603.12</v>
      </c>
      <c r="E41" s="202">
        <f t="shared" si="10"/>
        <v>4007.7999999999997</v>
      </c>
      <c r="F41" s="202">
        <f t="shared" si="15"/>
        <v>48093.600000000006</v>
      </c>
      <c r="G41" s="203">
        <f t="shared" si="6"/>
        <v>5500</v>
      </c>
      <c r="H41" s="204">
        <f t="shared" si="7"/>
        <v>52950</v>
      </c>
      <c r="I41" s="203">
        <f t="shared" si="16"/>
        <v>5500</v>
      </c>
      <c r="J41" s="205">
        <f t="shared" si="8"/>
        <v>715</v>
      </c>
      <c r="L41" s="245">
        <f t="shared" si="9"/>
        <v>5500</v>
      </c>
      <c r="M41" s="225">
        <f t="shared" si="11"/>
        <v>385.00000000000006</v>
      </c>
      <c r="N41" s="225">
        <f t="shared" si="12"/>
        <v>5500</v>
      </c>
      <c r="O41" s="225">
        <f t="shared" si="13"/>
        <v>330</v>
      </c>
      <c r="P41" s="246">
        <f t="shared" si="14"/>
        <v>715</v>
      </c>
    </row>
    <row r="43" spans="1:16" ht="23.25" x14ac:dyDescent="0.25">
      <c r="A43" s="183" t="s">
        <v>174</v>
      </c>
      <c r="B43" s="184"/>
      <c r="C43" s="184"/>
      <c r="D43" s="184"/>
      <c r="E43" s="184"/>
      <c r="F43" s="184"/>
      <c r="G43" s="184"/>
      <c r="H43" s="184"/>
    </row>
    <row r="44" spans="1:16" ht="15.75" thickBot="1" x14ac:dyDescent="0.3"/>
    <row r="45" spans="1:16" ht="15.75" thickBot="1" x14ac:dyDescent="0.3">
      <c r="L45" s="247" t="s">
        <v>189</v>
      </c>
      <c r="M45" s="248"/>
      <c r="N45" s="248"/>
      <c r="O45" s="248"/>
      <c r="P45" s="249"/>
    </row>
    <row r="46" spans="1:16" s="178" customFormat="1" ht="60" x14ac:dyDescent="0.25">
      <c r="A46" s="206"/>
      <c r="B46" s="194" t="s">
        <v>107</v>
      </c>
      <c r="C46" s="194" t="s">
        <v>163</v>
      </c>
      <c r="D46" s="195" t="s">
        <v>154</v>
      </c>
      <c r="E46" s="195" t="s">
        <v>175</v>
      </c>
      <c r="F46" s="195" t="s">
        <v>176</v>
      </c>
      <c r="G46" s="195" t="s">
        <v>187</v>
      </c>
      <c r="H46" s="207" t="s">
        <v>177</v>
      </c>
      <c r="I46" s="175" t="s">
        <v>178</v>
      </c>
      <c r="J46" s="197" t="s">
        <v>179</v>
      </c>
      <c r="L46" s="5" t="s">
        <v>190</v>
      </c>
      <c r="M46" s="175" t="s">
        <v>194</v>
      </c>
      <c r="N46" s="175" t="s">
        <v>195</v>
      </c>
      <c r="O46" s="196" t="s">
        <v>196</v>
      </c>
      <c r="P46" s="197" t="s">
        <v>179</v>
      </c>
    </row>
    <row r="47" spans="1:16" ht="21.75" customHeight="1" x14ac:dyDescent="0.25">
      <c r="A47" s="187">
        <v>43831</v>
      </c>
      <c r="B47" s="188">
        <v>4100</v>
      </c>
      <c r="C47" s="208">
        <f>B47</f>
        <v>4100</v>
      </c>
      <c r="D47" s="198">
        <v>1603.12</v>
      </c>
      <c r="E47" s="208">
        <f>3.5*D47</f>
        <v>5610.92</v>
      </c>
      <c r="F47" s="208">
        <f>E47</f>
        <v>5610.92</v>
      </c>
      <c r="G47" s="209">
        <f t="shared" ref="G47:G58" si="19">B47</f>
        <v>4100</v>
      </c>
      <c r="H47" s="200" t="str">
        <f t="shared" ref="H47:H58" si="20">IF(C47&gt;F47,C47,"0")</f>
        <v>0</v>
      </c>
      <c r="I47" s="220" t="str">
        <f>H47</f>
        <v>0</v>
      </c>
      <c r="J47" s="211">
        <f t="shared" ref="J47:J58" si="21">(B47*3.45%)+(I47*1.8%)</f>
        <v>141.45000000000002</v>
      </c>
      <c r="L47" s="243">
        <f t="shared" ref="L47:L58" si="22">B47</f>
        <v>4100</v>
      </c>
      <c r="M47" s="220">
        <f>L47*3.45%</f>
        <v>141.45000000000002</v>
      </c>
      <c r="N47" s="220" t="str">
        <f>I47</f>
        <v>0</v>
      </c>
      <c r="O47" s="220">
        <f>N47*1.8%</f>
        <v>0</v>
      </c>
      <c r="P47" s="244">
        <f>O47+M47</f>
        <v>141.45000000000002</v>
      </c>
    </row>
    <row r="48" spans="1:16" ht="21.75" customHeight="1" x14ac:dyDescent="0.25">
      <c r="A48" s="187">
        <v>43862</v>
      </c>
      <c r="B48" s="188">
        <v>3100</v>
      </c>
      <c r="C48" s="208">
        <f>C47+B48</f>
        <v>7200</v>
      </c>
      <c r="D48" s="198">
        <v>1603.12</v>
      </c>
      <c r="E48" s="208">
        <f t="shared" ref="E48:E58" si="23">3.5*D48</f>
        <v>5610.92</v>
      </c>
      <c r="F48" s="208">
        <f>F47+E48</f>
        <v>11221.84</v>
      </c>
      <c r="G48" s="209">
        <f t="shared" si="19"/>
        <v>3100</v>
      </c>
      <c r="H48" s="200" t="str">
        <f t="shared" si="20"/>
        <v>0</v>
      </c>
      <c r="I48" s="212">
        <f>H48-H47</f>
        <v>0</v>
      </c>
      <c r="J48" s="211">
        <f t="shared" si="21"/>
        <v>106.95</v>
      </c>
      <c r="L48" s="243">
        <f t="shared" si="22"/>
        <v>3100</v>
      </c>
      <c r="M48" s="220">
        <f t="shared" ref="M48:M58" si="24">L48*3.45%</f>
        <v>106.95</v>
      </c>
      <c r="N48" s="220">
        <f t="shared" ref="N48:N58" si="25">I48</f>
        <v>0</v>
      </c>
      <c r="O48" s="220">
        <f t="shared" ref="O48:O58" si="26">N48*1.8%</f>
        <v>0</v>
      </c>
      <c r="P48" s="244">
        <f t="shared" ref="P48:P58" si="27">O48+M48</f>
        <v>106.95</v>
      </c>
    </row>
    <row r="49" spans="1:16" ht="21.75" customHeight="1" x14ac:dyDescent="0.25">
      <c r="A49" s="187">
        <v>43891</v>
      </c>
      <c r="B49" s="208">
        <v>15000</v>
      </c>
      <c r="C49" s="208">
        <f>C48+B49</f>
        <v>22200</v>
      </c>
      <c r="D49" s="198">
        <v>1603.12</v>
      </c>
      <c r="E49" s="208">
        <f t="shared" si="23"/>
        <v>5610.92</v>
      </c>
      <c r="F49" s="208">
        <f t="shared" ref="F49:F58" si="28">F48+E49</f>
        <v>16832.760000000002</v>
      </c>
      <c r="G49" s="209">
        <f t="shared" si="19"/>
        <v>15000</v>
      </c>
      <c r="H49" s="200">
        <f t="shared" si="20"/>
        <v>22200</v>
      </c>
      <c r="I49" s="210">
        <f t="shared" ref="I49:I58" si="29">H49-H48</f>
        <v>22200</v>
      </c>
      <c r="J49" s="211">
        <f t="shared" si="21"/>
        <v>917.1</v>
      </c>
      <c r="L49" s="243">
        <f t="shared" si="22"/>
        <v>15000</v>
      </c>
      <c r="M49" s="220">
        <f t="shared" si="24"/>
        <v>517.5</v>
      </c>
      <c r="N49" s="220">
        <f t="shared" si="25"/>
        <v>22200</v>
      </c>
      <c r="O49" s="220">
        <f t="shared" si="26"/>
        <v>399.6</v>
      </c>
      <c r="P49" s="244">
        <f t="shared" si="27"/>
        <v>917.1</v>
      </c>
    </row>
    <row r="50" spans="1:16" ht="21.75" customHeight="1" x14ac:dyDescent="0.25">
      <c r="A50" s="187">
        <v>43922</v>
      </c>
      <c r="B50" s="208">
        <v>4000</v>
      </c>
      <c r="C50" s="208">
        <f>C49+B50</f>
        <v>26200</v>
      </c>
      <c r="D50" s="198">
        <v>1603.12</v>
      </c>
      <c r="E50" s="208">
        <f t="shared" si="23"/>
        <v>5610.92</v>
      </c>
      <c r="F50" s="208">
        <f t="shared" si="28"/>
        <v>22443.68</v>
      </c>
      <c r="G50" s="209">
        <f t="shared" si="19"/>
        <v>4000</v>
      </c>
      <c r="H50" s="200">
        <f t="shared" si="20"/>
        <v>26200</v>
      </c>
      <c r="I50" s="210">
        <f t="shared" si="29"/>
        <v>4000</v>
      </c>
      <c r="J50" s="211">
        <f t="shared" si="21"/>
        <v>210</v>
      </c>
      <c r="L50" s="243">
        <f t="shared" si="22"/>
        <v>4000</v>
      </c>
      <c r="M50" s="220">
        <f t="shared" si="24"/>
        <v>138</v>
      </c>
      <c r="N50" s="220">
        <f t="shared" si="25"/>
        <v>4000</v>
      </c>
      <c r="O50" s="220">
        <f t="shared" si="26"/>
        <v>72.000000000000014</v>
      </c>
      <c r="P50" s="244">
        <f t="shared" si="27"/>
        <v>210</v>
      </c>
    </row>
    <row r="51" spans="1:16" ht="21.75" customHeight="1" x14ac:dyDescent="0.25">
      <c r="A51" s="187">
        <v>43952</v>
      </c>
      <c r="B51" s="208">
        <v>3000</v>
      </c>
      <c r="C51" s="208">
        <f>C50+B51</f>
        <v>29200</v>
      </c>
      <c r="D51" s="198">
        <v>1603.12</v>
      </c>
      <c r="E51" s="208">
        <f t="shared" si="23"/>
        <v>5610.92</v>
      </c>
      <c r="F51" s="208">
        <f t="shared" si="28"/>
        <v>28054.6</v>
      </c>
      <c r="G51" s="209">
        <f t="shared" si="19"/>
        <v>3000</v>
      </c>
      <c r="H51" s="200">
        <f t="shared" si="20"/>
        <v>29200</v>
      </c>
      <c r="I51" s="210">
        <f t="shared" si="29"/>
        <v>3000</v>
      </c>
      <c r="J51" s="211">
        <f t="shared" si="21"/>
        <v>157.50000000000003</v>
      </c>
      <c r="L51" s="243">
        <f t="shared" si="22"/>
        <v>3000</v>
      </c>
      <c r="M51" s="220">
        <f t="shared" si="24"/>
        <v>103.50000000000001</v>
      </c>
      <c r="N51" s="220">
        <f t="shared" si="25"/>
        <v>3000</v>
      </c>
      <c r="O51" s="220">
        <f t="shared" si="26"/>
        <v>54.000000000000007</v>
      </c>
      <c r="P51" s="244">
        <f t="shared" si="27"/>
        <v>157.50000000000003</v>
      </c>
    </row>
    <row r="52" spans="1:16" ht="21.75" customHeight="1" x14ac:dyDescent="0.25">
      <c r="A52" s="187">
        <v>43983</v>
      </c>
      <c r="B52" s="208">
        <v>6000</v>
      </c>
      <c r="C52" s="208">
        <f t="shared" ref="C52:C56" si="30">C51+B52</f>
        <v>35200</v>
      </c>
      <c r="D52" s="198">
        <v>1603.12</v>
      </c>
      <c r="E52" s="208">
        <f t="shared" si="23"/>
        <v>5610.92</v>
      </c>
      <c r="F52" s="208">
        <f t="shared" si="28"/>
        <v>33665.519999999997</v>
      </c>
      <c r="G52" s="209">
        <f t="shared" si="19"/>
        <v>6000</v>
      </c>
      <c r="H52" s="200">
        <f t="shared" si="20"/>
        <v>35200</v>
      </c>
      <c r="I52" s="210">
        <f t="shared" si="29"/>
        <v>6000</v>
      </c>
      <c r="J52" s="211">
        <f t="shared" si="21"/>
        <v>315.00000000000006</v>
      </c>
      <c r="L52" s="243">
        <f t="shared" si="22"/>
        <v>6000</v>
      </c>
      <c r="M52" s="220">
        <f t="shared" si="24"/>
        <v>207.00000000000003</v>
      </c>
      <c r="N52" s="220">
        <f t="shared" si="25"/>
        <v>6000</v>
      </c>
      <c r="O52" s="220">
        <f t="shared" si="26"/>
        <v>108.00000000000001</v>
      </c>
      <c r="P52" s="244">
        <f t="shared" si="27"/>
        <v>315.00000000000006</v>
      </c>
    </row>
    <row r="53" spans="1:16" ht="21.75" customHeight="1" x14ac:dyDescent="0.25">
      <c r="A53" s="187">
        <v>44013</v>
      </c>
      <c r="B53" s="208">
        <v>7000</v>
      </c>
      <c r="C53" s="208">
        <f t="shared" si="30"/>
        <v>42200</v>
      </c>
      <c r="D53" s="198">
        <v>1603.12</v>
      </c>
      <c r="E53" s="208">
        <f t="shared" si="23"/>
        <v>5610.92</v>
      </c>
      <c r="F53" s="208">
        <f t="shared" si="28"/>
        <v>39276.439999999995</v>
      </c>
      <c r="G53" s="209">
        <f t="shared" si="19"/>
        <v>7000</v>
      </c>
      <c r="H53" s="200">
        <f t="shared" si="20"/>
        <v>42200</v>
      </c>
      <c r="I53" s="210">
        <f t="shared" si="29"/>
        <v>7000</v>
      </c>
      <c r="J53" s="211">
        <f t="shared" si="21"/>
        <v>367.50000000000006</v>
      </c>
      <c r="L53" s="243">
        <f t="shared" si="22"/>
        <v>7000</v>
      </c>
      <c r="M53" s="220">
        <f t="shared" si="24"/>
        <v>241.50000000000003</v>
      </c>
      <c r="N53" s="220">
        <f t="shared" si="25"/>
        <v>7000</v>
      </c>
      <c r="O53" s="220">
        <f t="shared" si="26"/>
        <v>126.00000000000001</v>
      </c>
      <c r="P53" s="244">
        <f t="shared" si="27"/>
        <v>367.50000000000006</v>
      </c>
    </row>
    <row r="54" spans="1:16" ht="21.75" customHeight="1" x14ac:dyDescent="0.25">
      <c r="A54" s="187">
        <v>44044</v>
      </c>
      <c r="B54" s="208">
        <v>2000</v>
      </c>
      <c r="C54" s="208">
        <f t="shared" si="30"/>
        <v>44200</v>
      </c>
      <c r="D54" s="198">
        <v>1603.12</v>
      </c>
      <c r="E54" s="208">
        <f t="shared" si="23"/>
        <v>5610.92</v>
      </c>
      <c r="F54" s="208">
        <f t="shared" si="28"/>
        <v>44887.359999999993</v>
      </c>
      <c r="G54" s="209">
        <f t="shared" si="19"/>
        <v>2000</v>
      </c>
      <c r="H54" s="200" t="str">
        <f t="shared" si="20"/>
        <v>0</v>
      </c>
      <c r="I54" s="210">
        <f t="shared" si="29"/>
        <v>-42200</v>
      </c>
      <c r="J54" s="211">
        <f t="shared" si="21"/>
        <v>-690.60000000000014</v>
      </c>
      <c r="L54" s="243">
        <f t="shared" si="22"/>
        <v>2000</v>
      </c>
      <c r="M54" s="220">
        <f t="shared" si="24"/>
        <v>69</v>
      </c>
      <c r="N54" s="220">
        <f t="shared" si="25"/>
        <v>-42200</v>
      </c>
      <c r="O54" s="220">
        <f t="shared" si="26"/>
        <v>-759.60000000000014</v>
      </c>
      <c r="P54" s="244">
        <f t="shared" si="27"/>
        <v>-690.60000000000014</v>
      </c>
    </row>
    <row r="55" spans="1:16" ht="21.75" customHeight="1" x14ac:dyDescent="0.25">
      <c r="A55" s="187">
        <v>44075</v>
      </c>
      <c r="B55" s="208">
        <v>1000</v>
      </c>
      <c r="C55" s="208">
        <f t="shared" si="30"/>
        <v>45200</v>
      </c>
      <c r="D55" s="198">
        <v>1603.12</v>
      </c>
      <c r="E55" s="208">
        <f t="shared" si="23"/>
        <v>5610.92</v>
      </c>
      <c r="F55" s="208">
        <f t="shared" si="28"/>
        <v>50498.279999999992</v>
      </c>
      <c r="G55" s="209">
        <f t="shared" si="19"/>
        <v>1000</v>
      </c>
      <c r="H55" s="200" t="str">
        <f t="shared" si="20"/>
        <v>0</v>
      </c>
      <c r="I55" s="212">
        <f t="shared" si="29"/>
        <v>0</v>
      </c>
      <c r="J55" s="211">
        <f t="shared" si="21"/>
        <v>34.5</v>
      </c>
      <c r="L55" s="243">
        <f t="shared" si="22"/>
        <v>1000</v>
      </c>
      <c r="M55" s="220">
        <f t="shared" si="24"/>
        <v>34.5</v>
      </c>
      <c r="N55" s="220">
        <f t="shared" si="25"/>
        <v>0</v>
      </c>
      <c r="O55" s="220">
        <f t="shared" si="26"/>
        <v>0</v>
      </c>
      <c r="P55" s="244">
        <f t="shared" si="27"/>
        <v>34.5</v>
      </c>
    </row>
    <row r="56" spans="1:16" ht="21.75" customHeight="1" x14ac:dyDescent="0.25">
      <c r="A56" s="187">
        <v>44105</v>
      </c>
      <c r="B56" s="208">
        <v>8000</v>
      </c>
      <c r="C56" s="208">
        <f t="shared" si="30"/>
        <v>53200</v>
      </c>
      <c r="D56" s="198">
        <v>1603.12</v>
      </c>
      <c r="E56" s="208">
        <f t="shared" si="23"/>
        <v>5610.92</v>
      </c>
      <c r="F56" s="208">
        <f t="shared" si="28"/>
        <v>56109.19999999999</v>
      </c>
      <c r="G56" s="209">
        <f t="shared" si="19"/>
        <v>8000</v>
      </c>
      <c r="H56" s="200" t="str">
        <f t="shared" si="20"/>
        <v>0</v>
      </c>
      <c r="I56" s="210">
        <f t="shared" si="29"/>
        <v>0</v>
      </c>
      <c r="J56" s="211">
        <f t="shared" si="21"/>
        <v>276</v>
      </c>
      <c r="L56" s="243">
        <f t="shared" si="22"/>
        <v>8000</v>
      </c>
      <c r="M56" s="220">
        <f t="shared" si="24"/>
        <v>276</v>
      </c>
      <c r="N56" s="220">
        <f t="shared" si="25"/>
        <v>0</v>
      </c>
      <c r="O56" s="220">
        <f t="shared" si="26"/>
        <v>0</v>
      </c>
      <c r="P56" s="244">
        <f t="shared" si="27"/>
        <v>276</v>
      </c>
    </row>
    <row r="57" spans="1:16" ht="21.75" customHeight="1" x14ac:dyDescent="0.25">
      <c r="A57" s="187">
        <v>44136</v>
      </c>
      <c r="B57" s="208">
        <v>1500</v>
      </c>
      <c r="C57" s="208">
        <f>C56+B57</f>
        <v>54700</v>
      </c>
      <c r="D57" s="198">
        <v>1603.12</v>
      </c>
      <c r="E57" s="208">
        <f t="shared" si="23"/>
        <v>5610.92</v>
      </c>
      <c r="F57" s="208">
        <f t="shared" si="28"/>
        <v>61720.119999999988</v>
      </c>
      <c r="G57" s="209">
        <f t="shared" si="19"/>
        <v>1500</v>
      </c>
      <c r="H57" s="200" t="str">
        <f t="shared" si="20"/>
        <v>0</v>
      </c>
      <c r="I57" s="212">
        <f t="shared" si="29"/>
        <v>0</v>
      </c>
      <c r="J57" s="211">
        <f t="shared" si="21"/>
        <v>51.750000000000007</v>
      </c>
      <c r="L57" s="243">
        <f t="shared" si="22"/>
        <v>1500</v>
      </c>
      <c r="M57" s="220">
        <f t="shared" si="24"/>
        <v>51.750000000000007</v>
      </c>
      <c r="N57" s="220">
        <f t="shared" si="25"/>
        <v>0</v>
      </c>
      <c r="O57" s="220">
        <f t="shared" si="26"/>
        <v>0</v>
      </c>
      <c r="P57" s="244">
        <f t="shared" si="27"/>
        <v>51.750000000000007</v>
      </c>
    </row>
    <row r="58" spans="1:16" ht="21.75" customHeight="1" thickBot="1" x14ac:dyDescent="0.3">
      <c r="A58" s="189">
        <v>44166</v>
      </c>
      <c r="B58" s="213">
        <v>1000</v>
      </c>
      <c r="C58" s="213">
        <f t="shared" ref="C58" si="31">C57+B58</f>
        <v>55700</v>
      </c>
      <c r="D58" s="202">
        <v>1603.12</v>
      </c>
      <c r="E58" s="213">
        <f t="shared" si="23"/>
        <v>5610.92</v>
      </c>
      <c r="F58" s="213">
        <f t="shared" si="28"/>
        <v>67331.039999999994</v>
      </c>
      <c r="G58" s="214">
        <f t="shared" si="19"/>
        <v>1000</v>
      </c>
      <c r="H58" s="204" t="str">
        <f t="shared" si="20"/>
        <v>0</v>
      </c>
      <c r="I58" s="215">
        <f t="shared" si="29"/>
        <v>0</v>
      </c>
      <c r="J58" s="216">
        <f t="shared" si="21"/>
        <v>34.5</v>
      </c>
      <c r="L58" s="245">
        <f t="shared" si="22"/>
        <v>1000</v>
      </c>
      <c r="M58" s="225">
        <f t="shared" si="24"/>
        <v>34.5</v>
      </c>
      <c r="N58" s="225">
        <f t="shared" si="25"/>
        <v>0</v>
      </c>
      <c r="O58" s="225">
        <f t="shared" si="26"/>
        <v>0</v>
      </c>
      <c r="P58" s="246">
        <f t="shared" si="27"/>
        <v>34.5</v>
      </c>
    </row>
    <row r="62" spans="1:16" ht="21.75" thickBot="1" x14ac:dyDescent="0.3">
      <c r="A62" s="581" t="s">
        <v>180</v>
      </c>
      <c r="B62" s="582"/>
      <c r="C62" s="582"/>
      <c r="D62" s="582"/>
      <c r="E62" s="582"/>
      <c r="F62" s="582"/>
      <c r="G62" s="582"/>
      <c r="H62" s="582"/>
      <c r="I62" s="217"/>
    </row>
    <row r="63" spans="1:16" ht="21" customHeight="1" thickBot="1" x14ac:dyDescent="0.3">
      <c r="A63" s="172" t="s">
        <v>150</v>
      </c>
      <c r="B63" s="218">
        <v>0.32350000000000001</v>
      </c>
    </row>
    <row r="64" spans="1:16" ht="15.75" thickBot="1" x14ac:dyDescent="0.3"/>
    <row r="65" spans="1:8" ht="45" x14ac:dyDescent="0.25">
      <c r="A65" s="4" t="s">
        <v>151</v>
      </c>
      <c r="B65" s="2" t="s">
        <v>152</v>
      </c>
      <c r="C65" s="2" t="s">
        <v>153</v>
      </c>
      <c r="D65" s="195" t="s">
        <v>154</v>
      </c>
      <c r="E65" s="175" t="s">
        <v>155</v>
      </c>
      <c r="F65" s="175" t="s">
        <v>156</v>
      </c>
      <c r="G65" s="175" t="s">
        <v>157</v>
      </c>
      <c r="H65" s="176" t="s">
        <v>158</v>
      </c>
    </row>
    <row r="66" spans="1:8" ht="21" customHeight="1" x14ac:dyDescent="0.25">
      <c r="A66" s="219">
        <v>43831</v>
      </c>
      <c r="B66" s="188">
        <v>1850</v>
      </c>
      <c r="C66" s="220">
        <f>B66</f>
        <v>1850</v>
      </c>
      <c r="D66" s="198">
        <v>1603.12</v>
      </c>
      <c r="E66" s="199">
        <f>+D66</f>
        <v>1603.12</v>
      </c>
      <c r="F66" s="221">
        <f>ROUND(($B$63/0.6)*((1.6*E66/C66)-1),4)</f>
        <v>0.2084</v>
      </c>
      <c r="G66" s="220">
        <f>IF(F66&gt;0,F66*C66,0)</f>
        <v>385.54</v>
      </c>
      <c r="H66" s="237">
        <f>G66</f>
        <v>385.54</v>
      </c>
    </row>
    <row r="67" spans="1:8" ht="21" customHeight="1" x14ac:dyDescent="0.25">
      <c r="A67" s="219">
        <v>43862</v>
      </c>
      <c r="B67" s="188">
        <v>2150</v>
      </c>
      <c r="C67" s="220">
        <f>C66+B67</f>
        <v>4000</v>
      </c>
      <c r="D67" s="198">
        <v>1603.12</v>
      </c>
      <c r="E67" s="199">
        <f>D67+E66</f>
        <v>3206.24</v>
      </c>
      <c r="F67" s="221">
        <f>ROUND(($B$63/0.6)*((1.6*E67/C67)-1),4)</f>
        <v>0.15229999999999999</v>
      </c>
      <c r="G67" s="220">
        <f>IF(F67&gt;0,F67*C67,0)</f>
        <v>609.19999999999993</v>
      </c>
      <c r="H67" s="237">
        <f>G67-G66</f>
        <v>223.65999999999991</v>
      </c>
    </row>
    <row r="68" spans="1:8" ht="21" hidden="1" customHeight="1" x14ac:dyDescent="0.25">
      <c r="A68" s="219">
        <v>43891</v>
      </c>
      <c r="B68" s="199">
        <v>4000</v>
      </c>
      <c r="C68" s="220">
        <f t="shared" ref="C68:C77" si="32">C67+B68</f>
        <v>8000</v>
      </c>
      <c r="D68" s="198">
        <v>1603.12</v>
      </c>
      <c r="E68" s="199">
        <f t="shared" ref="E68:E77" si="33">D68+E67</f>
        <v>4809.3599999999997</v>
      </c>
      <c r="F68" s="221">
        <f>ROUND(($B$63/0.6)*((1.6*E68/C68)-1),4)</f>
        <v>-2.06E-2</v>
      </c>
      <c r="G68" s="222">
        <f t="shared" ref="G68:G77" si="34">IF(F68&gt;0,F68*C68,0)</f>
        <v>0</v>
      </c>
      <c r="H68" s="181">
        <f t="shared" ref="H68:H77" si="35">G68-G67</f>
        <v>-609.19999999999993</v>
      </c>
    </row>
    <row r="69" spans="1:8" ht="21" hidden="1" customHeight="1" x14ac:dyDescent="0.25">
      <c r="A69" s="219">
        <v>43922</v>
      </c>
      <c r="B69" s="199">
        <v>2200</v>
      </c>
      <c r="C69" s="220">
        <f t="shared" si="32"/>
        <v>10200</v>
      </c>
      <c r="D69" s="198">
        <v>1603.12</v>
      </c>
      <c r="E69" s="199">
        <f t="shared" si="33"/>
        <v>6412.48</v>
      </c>
      <c r="F69" s="221">
        <f>ROUND(($B$63/0.6)*((1.6*E69/C69)-1),4)</f>
        <v>3.2000000000000002E-3</v>
      </c>
      <c r="G69" s="220">
        <f t="shared" si="34"/>
        <v>32.64</v>
      </c>
      <c r="H69" s="181">
        <f t="shared" si="35"/>
        <v>32.64</v>
      </c>
    </row>
    <row r="70" spans="1:8" ht="21" hidden="1" customHeight="1" x14ac:dyDescent="0.25">
      <c r="A70" s="219">
        <v>43952</v>
      </c>
      <c r="B70" s="199">
        <v>2300</v>
      </c>
      <c r="C70" s="220">
        <f t="shared" si="32"/>
        <v>12500</v>
      </c>
      <c r="D70" s="198">
        <v>1603.12</v>
      </c>
      <c r="E70" s="199">
        <f t="shared" si="33"/>
        <v>8015.5999999999995</v>
      </c>
      <c r="F70" s="221">
        <f t="shared" ref="F70:F74" si="36">ROUND(($B$63/0.6)*((1.6*E70/C70)-1),4)</f>
        <v>1.4E-2</v>
      </c>
      <c r="G70" s="220">
        <f t="shared" si="34"/>
        <v>175</v>
      </c>
      <c r="H70" s="181">
        <f t="shared" si="35"/>
        <v>142.36000000000001</v>
      </c>
    </row>
    <row r="71" spans="1:8" ht="21" hidden="1" customHeight="1" x14ac:dyDescent="0.25">
      <c r="A71" s="219">
        <v>43983</v>
      </c>
      <c r="B71" s="199">
        <v>3000</v>
      </c>
      <c r="C71" s="220">
        <f t="shared" si="32"/>
        <v>15500</v>
      </c>
      <c r="D71" s="198">
        <v>1603.12</v>
      </c>
      <c r="E71" s="199">
        <f t="shared" si="33"/>
        <v>9618.7199999999993</v>
      </c>
      <c r="F71" s="221">
        <f t="shared" si="36"/>
        <v>-3.8E-3</v>
      </c>
      <c r="G71" s="222">
        <f t="shared" si="34"/>
        <v>0</v>
      </c>
      <c r="H71" s="181">
        <f t="shared" si="35"/>
        <v>-175</v>
      </c>
    </row>
    <row r="72" spans="1:8" ht="21" hidden="1" customHeight="1" x14ac:dyDescent="0.25">
      <c r="A72" s="219">
        <v>44013</v>
      </c>
      <c r="B72" s="199">
        <v>3600</v>
      </c>
      <c r="C72" s="220">
        <f t="shared" si="32"/>
        <v>19100</v>
      </c>
      <c r="D72" s="198">
        <v>1603.12</v>
      </c>
      <c r="E72" s="199">
        <f t="shared" si="33"/>
        <v>11221.84</v>
      </c>
      <c r="F72" s="221">
        <f t="shared" si="36"/>
        <v>-3.2300000000000002E-2</v>
      </c>
      <c r="G72" s="220">
        <f t="shared" si="34"/>
        <v>0</v>
      </c>
      <c r="H72" s="181">
        <f t="shared" si="35"/>
        <v>0</v>
      </c>
    </row>
    <row r="73" spans="1:8" ht="21" hidden="1" customHeight="1" x14ac:dyDescent="0.25">
      <c r="A73" s="219">
        <v>44044</v>
      </c>
      <c r="B73" s="199">
        <v>1500</v>
      </c>
      <c r="C73" s="220">
        <f t="shared" si="32"/>
        <v>20600</v>
      </c>
      <c r="D73" s="198">
        <v>1603.12</v>
      </c>
      <c r="E73" s="199">
        <f t="shared" si="33"/>
        <v>12824.96</v>
      </c>
      <c r="F73" s="221">
        <f t="shared" si="36"/>
        <v>-2.0999999999999999E-3</v>
      </c>
      <c r="G73" s="223">
        <f t="shared" si="34"/>
        <v>0</v>
      </c>
      <c r="H73" s="181">
        <f t="shared" si="35"/>
        <v>0</v>
      </c>
    </row>
    <row r="74" spans="1:8" ht="21" hidden="1" customHeight="1" x14ac:dyDescent="0.25">
      <c r="A74" s="219">
        <v>44075</v>
      </c>
      <c r="B74" s="199">
        <v>2000</v>
      </c>
      <c r="C74" s="220">
        <f t="shared" si="32"/>
        <v>22600</v>
      </c>
      <c r="D74" s="198">
        <v>1603.12</v>
      </c>
      <c r="E74" s="199">
        <f t="shared" si="33"/>
        <v>14428.079999999998</v>
      </c>
      <c r="F74" s="221">
        <f t="shared" si="36"/>
        <v>1.1599999999999999E-2</v>
      </c>
      <c r="G74" s="220">
        <f t="shared" si="34"/>
        <v>262.15999999999997</v>
      </c>
      <c r="H74" s="181">
        <f t="shared" si="35"/>
        <v>262.15999999999997</v>
      </c>
    </row>
    <row r="75" spans="1:8" ht="21" hidden="1" customHeight="1" x14ac:dyDescent="0.25">
      <c r="A75" s="219">
        <v>44105</v>
      </c>
      <c r="B75" s="199">
        <v>2000</v>
      </c>
      <c r="C75" s="220">
        <f t="shared" si="32"/>
        <v>24600</v>
      </c>
      <c r="D75" s="198">
        <v>1603.12</v>
      </c>
      <c r="E75" s="199">
        <f t="shared" si="33"/>
        <v>16031.199999999997</v>
      </c>
      <c r="F75" s="221">
        <f>ROUND(($B$63/0.6)*((1.6*E75/C75)-1),4)</f>
        <v>2.3E-2</v>
      </c>
      <c r="G75" s="220">
        <f t="shared" si="34"/>
        <v>565.79999999999995</v>
      </c>
      <c r="H75" s="181">
        <f t="shared" si="35"/>
        <v>303.64</v>
      </c>
    </row>
    <row r="76" spans="1:8" ht="21" hidden="1" customHeight="1" x14ac:dyDescent="0.25">
      <c r="A76" s="219">
        <v>44136</v>
      </c>
      <c r="B76" s="199">
        <v>2000</v>
      </c>
      <c r="C76" s="220">
        <f t="shared" si="32"/>
        <v>26600</v>
      </c>
      <c r="D76" s="198">
        <v>1603.12</v>
      </c>
      <c r="E76" s="199">
        <f t="shared" si="33"/>
        <v>17634.319999999996</v>
      </c>
      <c r="F76" s="221">
        <f>ROUND(($B$63/0.6)*((1.6*E76/C76)-1),4)</f>
        <v>3.27E-2</v>
      </c>
      <c r="G76" s="220">
        <f t="shared" si="34"/>
        <v>869.82</v>
      </c>
      <c r="H76" s="181">
        <f t="shared" si="35"/>
        <v>304.0200000000001</v>
      </c>
    </row>
    <row r="77" spans="1:8" ht="21" hidden="1" customHeight="1" thickBot="1" x14ac:dyDescent="0.3">
      <c r="A77" s="224">
        <v>44166</v>
      </c>
      <c r="B77" s="203">
        <v>2000</v>
      </c>
      <c r="C77" s="225">
        <f t="shared" si="32"/>
        <v>28600</v>
      </c>
      <c r="D77" s="202">
        <v>1603.12</v>
      </c>
      <c r="E77" s="203">
        <f t="shared" si="33"/>
        <v>19237.439999999995</v>
      </c>
      <c r="F77" s="235">
        <f>ROUND(($B$63/0.6)*((1.6*E77/C77)-1),4)</f>
        <v>4.1099999999999998E-2</v>
      </c>
      <c r="G77" s="225">
        <f t="shared" si="34"/>
        <v>1175.46</v>
      </c>
      <c r="H77" s="177">
        <f t="shared" si="35"/>
        <v>305.64</v>
      </c>
    </row>
    <row r="78" spans="1:8" hidden="1" x14ac:dyDescent="0.25"/>
    <row r="79" spans="1:8" hidden="1" x14ac:dyDescent="0.25"/>
    <row r="80" spans="1:8" ht="23.25" hidden="1" x14ac:dyDescent="0.25">
      <c r="A80" s="183" t="s">
        <v>181</v>
      </c>
      <c r="B80" s="184"/>
      <c r="C80" s="184"/>
      <c r="D80" s="184"/>
      <c r="E80" s="184"/>
      <c r="F80" s="184"/>
    </row>
    <row r="81" spans="1:8" hidden="1" x14ac:dyDescent="0.25"/>
    <row r="82" spans="1:8" ht="18.75" hidden="1" x14ac:dyDescent="0.25">
      <c r="A82" s="185" t="s">
        <v>162</v>
      </c>
      <c r="D82" s="186">
        <v>3428</v>
      </c>
    </row>
    <row r="83" spans="1:8" ht="15.75" hidden="1" thickBot="1" x14ac:dyDescent="0.3"/>
    <row r="84" spans="1:8" ht="45" hidden="1" x14ac:dyDescent="0.25">
      <c r="A84" s="5" t="s">
        <v>151</v>
      </c>
      <c r="B84" s="2" t="s">
        <v>107</v>
      </c>
      <c r="C84" s="2" t="s">
        <v>163</v>
      </c>
      <c r="D84" s="2" t="s">
        <v>164</v>
      </c>
      <c r="E84" s="175" t="s">
        <v>165</v>
      </c>
      <c r="F84" s="2" t="s">
        <v>182</v>
      </c>
      <c r="G84" s="175" t="s">
        <v>183</v>
      </c>
      <c r="H84" s="176" t="s">
        <v>188</v>
      </c>
    </row>
    <row r="85" spans="1:8" ht="19.5" hidden="1" customHeight="1" x14ac:dyDescent="0.25">
      <c r="A85" s="219">
        <v>43831</v>
      </c>
      <c r="B85" s="188">
        <v>4100</v>
      </c>
      <c r="C85" s="227">
        <f>B85</f>
        <v>4100</v>
      </c>
      <c r="D85" s="227">
        <f t="shared" ref="D85:D96" si="37">$D$8</f>
        <v>3428</v>
      </c>
      <c r="E85" s="227">
        <f>D85</f>
        <v>3428</v>
      </c>
      <c r="F85" s="179" t="str">
        <f>IF(E85&gt;C85,"","OUI")</f>
        <v>OUI</v>
      </c>
      <c r="G85" s="209">
        <f t="shared" ref="G85:G96" si="38">IF(C85&gt;E85,C85,0)</f>
        <v>4100</v>
      </c>
      <c r="H85" s="228">
        <f>G85</f>
        <v>4100</v>
      </c>
    </row>
    <row r="86" spans="1:8" ht="19.5" hidden="1" customHeight="1" x14ac:dyDescent="0.25">
      <c r="A86" s="219">
        <v>43862</v>
      </c>
      <c r="B86" s="188">
        <v>3100</v>
      </c>
      <c r="C86" s="227">
        <f>C85+B86</f>
        <v>7200</v>
      </c>
      <c r="D86" s="227">
        <f t="shared" si="37"/>
        <v>3428</v>
      </c>
      <c r="E86" s="227">
        <f>E85+D86</f>
        <v>6856</v>
      </c>
      <c r="F86" s="179" t="str">
        <f t="shared" ref="F86:F96" si="39">IF(E86&gt;C86,"","OUI")</f>
        <v>OUI</v>
      </c>
      <c r="G86" s="209">
        <f t="shared" si="38"/>
        <v>7200</v>
      </c>
      <c r="H86" s="228">
        <f>G86-G85</f>
        <v>3100</v>
      </c>
    </row>
    <row r="87" spans="1:8" ht="19.5" hidden="1" customHeight="1" x14ac:dyDescent="0.25">
      <c r="A87" s="219">
        <v>43891</v>
      </c>
      <c r="B87" s="226">
        <v>3500</v>
      </c>
      <c r="C87" s="227">
        <f>C86+B87</f>
        <v>10700</v>
      </c>
      <c r="D87" s="227">
        <f t="shared" si="37"/>
        <v>3428</v>
      </c>
      <c r="E87" s="227">
        <f t="shared" ref="E87:E96" si="40">E86+D87</f>
        <v>10284</v>
      </c>
      <c r="F87" s="179" t="str">
        <f t="shared" si="39"/>
        <v>OUI</v>
      </c>
      <c r="G87" s="209">
        <f t="shared" si="38"/>
        <v>10700</v>
      </c>
      <c r="H87" s="228">
        <f t="shared" ref="H87:H96" si="41">G87-G86</f>
        <v>3500</v>
      </c>
    </row>
    <row r="88" spans="1:8" ht="19.5" hidden="1" customHeight="1" x14ac:dyDescent="0.25">
      <c r="A88" s="219">
        <v>43922</v>
      </c>
      <c r="B88" s="226">
        <v>4000</v>
      </c>
      <c r="C88" s="227">
        <f t="shared" ref="C88:C96" si="42">C87+B88</f>
        <v>14700</v>
      </c>
      <c r="D88" s="227">
        <f t="shared" si="37"/>
        <v>3428</v>
      </c>
      <c r="E88" s="227">
        <f t="shared" si="40"/>
        <v>13712</v>
      </c>
      <c r="F88" s="179" t="str">
        <f t="shared" si="39"/>
        <v>OUI</v>
      </c>
      <c r="G88" s="209">
        <f t="shared" si="38"/>
        <v>14700</v>
      </c>
      <c r="H88" s="228">
        <f t="shared" si="41"/>
        <v>4000</v>
      </c>
    </row>
    <row r="89" spans="1:8" ht="19.5" hidden="1" customHeight="1" x14ac:dyDescent="0.25">
      <c r="A89" s="219">
        <v>43952</v>
      </c>
      <c r="B89" s="226">
        <v>5000</v>
      </c>
      <c r="C89" s="227">
        <f t="shared" si="42"/>
        <v>19700</v>
      </c>
      <c r="D89" s="227">
        <f t="shared" si="37"/>
        <v>3428</v>
      </c>
      <c r="E89" s="227">
        <f t="shared" si="40"/>
        <v>17140</v>
      </c>
      <c r="F89" s="179" t="str">
        <f t="shared" si="39"/>
        <v>OUI</v>
      </c>
      <c r="G89" s="209">
        <f t="shared" si="38"/>
        <v>19700</v>
      </c>
      <c r="H89" s="228">
        <f t="shared" si="41"/>
        <v>5000</v>
      </c>
    </row>
    <row r="90" spans="1:8" ht="19.5" hidden="1" customHeight="1" x14ac:dyDescent="0.25">
      <c r="A90" s="219">
        <v>43983</v>
      </c>
      <c r="B90" s="226">
        <v>4000</v>
      </c>
      <c r="C90" s="227">
        <f t="shared" si="42"/>
        <v>23700</v>
      </c>
      <c r="D90" s="227">
        <f t="shared" si="37"/>
        <v>3428</v>
      </c>
      <c r="E90" s="227">
        <f t="shared" si="40"/>
        <v>20568</v>
      </c>
      <c r="F90" s="179" t="str">
        <f t="shared" si="39"/>
        <v>OUI</v>
      </c>
      <c r="G90" s="209">
        <f t="shared" si="38"/>
        <v>23700</v>
      </c>
      <c r="H90" s="228">
        <f t="shared" si="41"/>
        <v>4000</v>
      </c>
    </row>
    <row r="91" spans="1:8" ht="19.5" hidden="1" customHeight="1" x14ac:dyDescent="0.25">
      <c r="A91" s="219">
        <v>44013</v>
      </c>
      <c r="B91" s="226">
        <v>2000</v>
      </c>
      <c r="C91" s="227">
        <f t="shared" si="42"/>
        <v>25700</v>
      </c>
      <c r="D91" s="227">
        <f t="shared" si="37"/>
        <v>3428</v>
      </c>
      <c r="E91" s="227">
        <f t="shared" si="40"/>
        <v>23996</v>
      </c>
      <c r="F91" s="179" t="str">
        <f t="shared" si="39"/>
        <v>OUI</v>
      </c>
      <c r="G91" s="209">
        <f t="shared" si="38"/>
        <v>25700</v>
      </c>
      <c r="H91" s="228">
        <f t="shared" si="41"/>
        <v>2000</v>
      </c>
    </row>
    <row r="92" spans="1:8" ht="19.5" hidden="1" customHeight="1" x14ac:dyDescent="0.25">
      <c r="A92" s="219">
        <v>44044</v>
      </c>
      <c r="B92" s="226">
        <v>2000</v>
      </c>
      <c r="C92" s="227">
        <f t="shared" si="42"/>
        <v>27700</v>
      </c>
      <c r="D92" s="227">
        <f t="shared" si="37"/>
        <v>3428</v>
      </c>
      <c r="E92" s="227">
        <f t="shared" si="40"/>
        <v>27424</v>
      </c>
      <c r="F92" s="179" t="str">
        <f t="shared" si="39"/>
        <v>OUI</v>
      </c>
      <c r="G92" s="209">
        <f t="shared" si="38"/>
        <v>27700</v>
      </c>
      <c r="H92" s="228">
        <f t="shared" si="41"/>
        <v>2000</v>
      </c>
    </row>
    <row r="93" spans="1:8" ht="19.5" hidden="1" customHeight="1" x14ac:dyDescent="0.25">
      <c r="A93" s="219">
        <v>44075</v>
      </c>
      <c r="B93" s="226">
        <v>4000</v>
      </c>
      <c r="C93" s="227">
        <f t="shared" si="42"/>
        <v>31700</v>
      </c>
      <c r="D93" s="227">
        <f t="shared" si="37"/>
        <v>3428</v>
      </c>
      <c r="E93" s="227">
        <f t="shared" si="40"/>
        <v>30852</v>
      </c>
      <c r="F93" s="179" t="str">
        <f t="shared" si="39"/>
        <v>OUI</v>
      </c>
      <c r="G93" s="209">
        <f t="shared" si="38"/>
        <v>31700</v>
      </c>
      <c r="H93" s="228">
        <f t="shared" si="41"/>
        <v>4000</v>
      </c>
    </row>
    <row r="94" spans="1:8" ht="19.5" hidden="1" customHeight="1" x14ac:dyDescent="0.25">
      <c r="A94" s="219">
        <v>44105</v>
      </c>
      <c r="B94" s="226">
        <v>6000</v>
      </c>
      <c r="C94" s="227">
        <f t="shared" si="42"/>
        <v>37700</v>
      </c>
      <c r="D94" s="227">
        <f t="shared" si="37"/>
        <v>3428</v>
      </c>
      <c r="E94" s="227">
        <f t="shared" si="40"/>
        <v>34280</v>
      </c>
      <c r="F94" s="179" t="str">
        <f t="shared" si="39"/>
        <v>OUI</v>
      </c>
      <c r="G94" s="209">
        <f t="shared" si="38"/>
        <v>37700</v>
      </c>
      <c r="H94" s="228">
        <f t="shared" si="41"/>
        <v>6000</v>
      </c>
    </row>
    <row r="95" spans="1:8" ht="19.5" hidden="1" customHeight="1" x14ac:dyDescent="0.25">
      <c r="A95" s="219">
        <v>44136</v>
      </c>
      <c r="B95" s="226">
        <v>2000</v>
      </c>
      <c r="C95" s="227">
        <f t="shared" si="42"/>
        <v>39700</v>
      </c>
      <c r="D95" s="227">
        <f t="shared" si="37"/>
        <v>3428</v>
      </c>
      <c r="E95" s="227">
        <f t="shared" si="40"/>
        <v>37708</v>
      </c>
      <c r="F95" s="179" t="str">
        <f t="shared" si="39"/>
        <v>OUI</v>
      </c>
      <c r="G95" s="209">
        <f t="shared" si="38"/>
        <v>39700</v>
      </c>
      <c r="H95" s="228">
        <f t="shared" si="41"/>
        <v>2000</v>
      </c>
    </row>
    <row r="96" spans="1:8" ht="19.5" hidden="1" customHeight="1" thickBot="1" x14ac:dyDescent="0.3">
      <c r="A96" s="224">
        <v>44166</v>
      </c>
      <c r="B96" s="229">
        <v>2000</v>
      </c>
      <c r="C96" s="230">
        <f t="shared" si="42"/>
        <v>41700</v>
      </c>
      <c r="D96" s="230">
        <f t="shared" si="37"/>
        <v>3428</v>
      </c>
      <c r="E96" s="230">
        <f t="shared" si="40"/>
        <v>41136</v>
      </c>
      <c r="F96" s="231" t="str">
        <f t="shared" si="39"/>
        <v>OUI</v>
      </c>
      <c r="G96" s="214">
        <f t="shared" si="38"/>
        <v>41700</v>
      </c>
      <c r="H96" s="232">
        <f t="shared" si="41"/>
        <v>2000</v>
      </c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96A4-FBCC-449A-9CFC-ADEBC7ABADF0}">
  <dimension ref="B1:P173"/>
  <sheetViews>
    <sheetView topLeftCell="A13" zoomScale="130" zoomScaleNormal="130" workbookViewId="0">
      <selection activeCell="A57" sqref="A1:XFD1048576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0"/>
      <c r="D17" s="571"/>
      <c r="E17" s="34" t="s">
        <v>38</v>
      </c>
      <c r="F17" s="570"/>
      <c r="G17" s="572"/>
      <c r="I17" s="23" t="s">
        <v>39</v>
      </c>
      <c r="J17" s="35">
        <f>E37</f>
        <v>1537.1694997917807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17</v>
      </c>
      <c r="D32" s="314">
        <f>E144</f>
        <v>100</v>
      </c>
      <c r="E32" s="315">
        <f>-C32*D32</f>
        <v>-1700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-E165</f>
        <v>-462.83050020821918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E163</f>
        <v>900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1537.1694997917807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1537.1694997917807</v>
      </c>
      <c r="D41" s="74"/>
      <c r="E41" s="75"/>
      <c r="F41" s="336">
        <v>7.0000000000000007E-2</v>
      </c>
      <c r="G41" s="337">
        <f>F41*C41</f>
        <v>107.60186498542465</v>
      </c>
      <c r="H41" s="10">
        <v>4007.8</v>
      </c>
    </row>
    <row r="42" spans="2:8" x14ac:dyDescent="0.25">
      <c r="B42" s="335" t="s">
        <v>64</v>
      </c>
      <c r="C42" s="64">
        <f>$J$17</f>
        <v>1537.1694997917807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1537.1694997917807</v>
      </c>
      <c r="D44" s="76">
        <f>J21</f>
        <v>1.0999999999999999E-2</v>
      </c>
      <c r="E44" s="77">
        <f>D44*C44</f>
        <v>16.908864497709587</v>
      </c>
      <c r="F44" s="78">
        <f>J22</f>
        <v>1.4999999999999999E-2</v>
      </c>
      <c r="G44" s="337">
        <f>F44*C44</f>
        <v>23.05754249687671</v>
      </c>
    </row>
    <row r="45" spans="2:8" x14ac:dyDescent="0.25">
      <c r="B45" s="338" t="s">
        <v>67</v>
      </c>
      <c r="C45" s="64">
        <f>J17+J18</f>
        <v>1537.1694997917807</v>
      </c>
      <c r="E45" s="64"/>
      <c r="F45" s="339">
        <f>J7</f>
        <v>3.5999999999999997E-2</v>
      </c>
      <c r="G45" s="337">
        <f>F45*C45</f>
        <v>55.3381019925041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1537.1694997917807</v>
      </c>
      <c r="D47" s="76">
        <v>6.9000000000000006E-2</v>
      </c>
      <c r="E47" s="77">
        <f>D47*C47</f>
        <v>106.06469548563288</v>
      </c>
      <c r="F47" s="78">
        <v>8.5500000000000007E-2</v>
      </c>
      <c r="G47" s="337">
        <f>F47*C47</f>
        <v>131.42799223219725</v>
      </c>
    </row>
    <row r="48" spans="2:8" x14ac:dyDescent="0.25">
      <c r="B48" s="335" t="s">
        <v>70</v>
      </c>
      <c r="C48" s="64">
        <f>$E$37</f>
        <v>1537.1694997917807</v>
      </c>
      <c r="D48" s="76">
        <v>4.0000000000000001E-3</v>
      </c>
      <c r="E48" s="77">
        <f t="shared" ref="E48:E51" si="1">D48*C48</f>
        <v>6.1486779991671225</v>
      </c>
      <c r="F48" s="78">
        <v>1.9E-2</v>
      </c>
      <c r="G48" s="337">
        <f t="shared" ref="G48:G51" si="2">F48*C48</f>
        <v>29.206220496043834</v>
      </c>
    </row>
    <row r="49" spans="2:7" x14ac:dyDescent="0.25">
      <c r="B49" s="335" t="s">
        <v>71</v>
      </c>
      <c r="C49" s="64">
        <f>$J$17</f>
        <v>1537.1694997917807</v>
      </c>
      <c r="D49" s="76">
        <v>4.0099999999999997E-2</v>
      </c>
      <c r="E49" s="77">
        <f t="shared" si="1"/>
        <v>61.640496941650404</v>
      </c>
      <c r="F49" s="78">
        <v>6.0100000000000001E-2</v>
      </c>
      <c r="G49" s="337">
        <f t="shared" si="2"/>
        <v>92.383886937486025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1537.1694997917807</v>
      </c>
      <c r="D53" s="80"/>
      <c r="E53" s="64"/>
      <c r="F53" s="78">
        <v>3.4500000000000003E-2</v>
      </c>
      <c r="G53" s="340">
        <f>F53*C53</f>
        <v>53.032347742816441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1537.1694997917807</v>
      </c>
      <c r="D55" s="80"/>
      <c r="E55" s="64"/>
      <c r="F55" s="341">
        <v>4.2000000000000003E-2</v>
      </c>
      <c r="G55" s="337">
        <f t="shared" ref="G55" si="3">F55*C55</f>
        <v>64.561118991254787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23.918357416760109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1533.3265760423014</v>
      </c>
      <c r="D61" s="76">
        <v>6.8000000000000005E-2</v>
      </c>
      <c r="E61" s="77">
        <f>D61*C61</f>
        <v>104.2662071708765</v>
      </c>
      <c r="F61" s="78"/>
      <c r="G61" s="337"/>
    </row>
    <row r="62" spans="2:7" x14ac:dyDescent="0.25">
      <c r="B62" s="338" t="s">
        <v>82</v>
      </c>
      <c r="C62" s="64">
        <f>C61</f>
        <v>1533.3265760423014</v>
      </c>
      <c r="D62" s="76">
        <v>2.9000000000000001E-2</v>
      </c>
      <c r="E62" s="77">
        <f>D62*C62</f>
        <v>44.466470705226747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>
        <f>-I171</f>
        <v>0</v>
      </c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339.4954128002633</v>
      </c>
      <c r="F67" s="357"/>
      <c r="G67" s="358">
        <f>SUM(G41:G66)</f>
        <v>580.52743329136399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1537.1694997917807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-339.4954128002633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44.466470705226747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23.05754249687671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1265.198100193621</v>
      </c>
    </row>
    <row r="74" spans="2:10" x14ac:dyDescent="0.25">
      <c r="B74" s="439" t="s">
        <v>246</v>
      </c>
      <c r="C74" s="77"/>
      <c r="D74" s="84"/>
      <c r="E74" s="372">
        <f>+E158</f>
        <v>604.54919937197587</v>
      </c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+E156</f>
        <v>647.96270029150685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1802.2232863634933</v>
      </c>
      <c r="I76" s="19" t="s">
        <v>261</v>
      </c>
      <c r="J76" s="434">
        <f>J75*3.8%</f>
        <v>24.622582611077259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19" t="s">
        <v>248</v>
      </c>
      <c r="J77" s="434">
        <f>J75-J76</f>
        <v>623.34011768042956</v>
      </c>
    </row>
    <row r="78" spans="2:10" x14ac:dyDescent="0.25">
      <c r="B78" s="573" t="s">
        <v>94</v>
      </c>
      <c r="C78" s="575" t="s">
        <v>95</v>
      </c>
      <c r="D78" s="88" t="s">
        <v>59</v>
      </c>
      <c r="E78" s="577"/>
      <c r="F78" s="89"/>
      <c r="G78" s="579" t="s">
        <v>96</v>
      </c>
      <c r="I78" s="19"/>
      <c r="J78" s="21"/>
    </row>
    <row r="79" spans="2:10" ht="15.75" thickBot="1" x14ac:dyDescent="0.3">
      <c r="B79" s="574"/>
      <c r="C79" s="576"/>
      <c r="D79" s="383" t="s">
        <v>97</v>
      </c>
      <c r="E79" s="578"/>
      <c r="F79" s="384"/>
      <c r="G79" s="580"/>
      <c r="I79" s="435" t="s">
        <v>249</v>
      </c>
      <c r="J79" s="436">
        <f>J77+J73</f>
        <v>1888.5382178740506</v>
      </c>
    </row>
    <row r="80" spans="2:10" ht="15.75" thickBot="1" x14ac:dyDescent="0.3">
      <c r="B80" s="376" t="s">
        <v>98</v>
      </c>
      <c r="C80" s="437">
        <f>+J79</f>
        <v>1888.5382178740506</v>
      </c>
      <c r="D80" s="426">
        <f>J20</f>
        <v>4.9000000000000002E-2</v>
      </c>
      <c r="E80" s="385"/>
      <c r="F80" s="386"/>
      <c r="G80" s="387">
        <f>D80*C80</f>
        <v>92.538372675828484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1709.6849136876649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119.89922098375889</v>
      </c>
    </row>
    <row r="83" spans="2:10" ht="15.75" thickTop="1" x14ac:dyDescent="0.25">
      <c r="B83" s="557" t="s">
        <v>102</v>
      </c>
      <c r="C83" s="559"/>
      <c r="D83" s="560"/>
      <c r="E83" s="96" t="s">
        <v>103</v>
      </c>
      <c r="F83" s="97"/>
      <c r="G83" s="93">
        <f>E37+G67</f>
        <v>2117.6969330831448</v>
      </c>
      <c r="J83" s="441">
        <v>6.7000000000000004E-2</v>
      </c>
    </row>
    <row r="84" spans="2:10" ht="15.75" thickBot="1" x14ac:dyDescent="0.3">
      <c r="B84" s="558"/>
      <c r="C84" s="561"/>
      <c r="D84" s="562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1537.1694997917807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1265.198100193621</v>
      </c>
      <c r="D87" s="113"/>
      <c r="E87" s="109"/>
      <c r="F87" s="91"/>
      <c r="G87" s="110"/>
      <c r="H87" s="242">
        <f>E37+G44+E62-E67</f>
        <v>1265.198100193621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563" t="s">
        <v>79</v>
      </c>
      <c r="C91" s="564"/>
      <c r="D91" s="10"/>
      <c r="E91" s="10"/>
    </row>
    <row r="92" spans="2:10" s="118" customFormat="1" x14ac:dyDescent="0.25">
      <c r="B92" s="119"/>
      <c r="C92" s="120"/>
      <c r="D92" s="565">
        <f>+E37</f>
        <v>1537.1694997917807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566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566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566"/>
      <c r="E95" s="124">
        <f t="shared" si="4"/>
        <v>0.24594711996668495</v>
      </c>
    </row>
    <row r="96" spans="2:10" s="118" customFormat="1" x14ac:dyDescent="0.25">
      <c r="B96" s="122" t="s">
        <v>113</v>
      </c>
      <c r="C96" s="123">
        <v>3.0000000000000001E-3</v>
      </c>
      <c r="D96" s="566"/>
      <c r="E96" s="124">
        <f t="shared" si="4"/>
        <v>4.6115084993753426</v>
      </c>
    </row>
    <row r="97" spans="2:5" s="118" customFormat="1" x14ac:dyDescent="0.25">
      <c r="B97" s="122" t="s">
        <v>260</v>
      </c>
      <c r="C97" s="123">
        <v>5.8999999999999999E-3</v>
      </c>
      <c r="D97" s="566"/>
      <c r="E97" s="124">
        <f t="shared" si="4"/>
        <v>9.0693000487715061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66"/>
      <c r="E98" s="124">
        <f t="shared" si="4"/>
        <v>8.4544322488547952</v>
      </c>
    </row>
    <row r="99" spans="2:5" s="118" customFormat="1" x14ac:dyDescent="0.25">
      <c r="B99" s="122"/>
      <c r="C99" s="123">
        <f>IF(J6&lt;=50,0,0.45%)</f>
        <v>0</v>
      </c>
      <c r="D99" s="566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1537.1694997917807</v>
      </c>
      <c r="D102" s="129">
        <v>1E-3</v>
      </c>
      <c r="E102" s="130">
        <f>D102*C102</f>
        <v>1.5371694997917806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23.918357416760109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67" t="s">
        <v>117</v>
      </c>
      <c r="C106" s="568"/>
      <c r="D106" s="568"/>
      <c r="E106" s="569"/>
    </row>
    <row r="107" spans="2:5" s="118" customFormat="1" x14ac:dyDescent="0.25">
      <c r="B107" s="134" t="s">
        <v>118</v>
      </c>
      <c r="C107" s="135">
        <f>E37</f>
        <v>1537.1694997917807</v>
      </c>
      <c r="D107" s="136">
        <v>2.4E-2</v>
      </c>
      <c r="E107" s="137">
        <f>D107*C107</f>
        <v>36.892067995002741</v>
      </c>
    </row>
    <row r="108" spans="2:5" s="118" customFormat="1" x14ac:dyDescent="0.25">
      <c r="B108" s="138" t="s">
        <v>119</v>
      </c>
      <c r="C108" s="135">
        <f>C107</f>
        <v>1537.1694997917807</v>
      </c>
      <c r="D108" s="139">
        <v>7.4999999999999997E-3</v>
      </c>
      <c r="E108" s="140">
        <f t="shared" ref="E108:E109" si="5">D108*C108</f>
        <v>11.528771248438355</v>
      </c>
    </row>
    <row r="109" spans="2:5" s="118" customFormat="1" x14ac:dyDescent="0.25">
      <c r="B109" s="138" t="s">
        <v>120</v>
      </c>
      <c r="C109" s="135">
        <f>C61+C63</f>
        <v>1533.3265760423014</v>
      </c>
      <c r="D109" s="139">
        <v>-1.7000000000000001E-2</v>
      </c>
      <c r="E109" s="140">
        <f t="shared" si="5"/>
        <v>-26.066551792719125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22.354287450721969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67" t="s">
        <v>122</v>
      </c>
      <c r="C114" s="568"/>
      <c r="D114" s="568"/>
      <c r="E114" s="569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1537.1694997917807</v>
      </c>
      <c r="D117" s="139">
        <v>1.7999999999999999E-2</v>
      </c>
      <c r="E117" s="66">
        <f>D117*C117</f>
        <v>27.66905099625205</v>
      </c>
    </row>
    <row r="118" spans="2:9" s="118" customFormat="1" ht="15.75" customHeight="1" x14ac:dyDescent="0.25">
      <c r="B118" s="151" t="s">
        <v>126</v>
      </c>
      <c r="C118" s="154">
        <f>C117</f>
        <v>1537.1694997917807</v>
      </c>
      <c r="D118" s="139">
        <v>0.06</v>
      </c>
      <c r="E118" s="66">
        <f>D118*C118</f>
        <v>92.230169987506841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119.89922098375889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0" t="s">
        <v>230</v>
      </c>
      <c r="C128" s="551"/>
      <c r="D128" s="551"/>
      <c r="E128" s="551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2" t="s">
        <v>241</v>
      </c>
      <c r="E135" s="552"/>
      <c r="F135" s="553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550" t="s">
        <v>128</v>
      </c>
      <c r="C139" s="551"/>
      <c r="D139" s="551"/>
      <c r="E139" s="551"/>
    </row>
    <row r="140" spans="2:6" ht="15.75" thickBot="1" x14ac:dyDescent="0.3"/>
    <row r="141" spans="2:6" x14ac:dyDescent="0.25">
      <c r="B141" s="554" t="s">
        <v>129</v>
      </c>
      <c r="C141" s="555"/>
      <c r="D141" s="555"/>
      <c r="E141" s="556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17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1700</v>
      </c>
    </row>
    <row r="147" spans="2:8" ht="15.75" thickBot="1" x14ac:dyDescent="0.3">
      <c r="B147" s="164"/>
      <c r="C147" s="164"/>
      <c r="D147" s="164"/>
      <c r="E147" s="164"/>
    </row>
    <row r="148" spans="2:8" ht="15.75" thickBot="1" x14ac:dyDescent="0.3">
      <c r="B148" s="567" t="s">
        <v>134</v>
      </c>
      <c r="C148" s="568"/>
      <c r="D148" s="568"/>
      <c r="E148" s="569"/>
      <c r="G148" s="234" t="s">
        <v>252</v>
      </c>
      <c r="H148" s="431">
        <v>5400</v>
      </c>
    </row>
    <row r="149" spans="2:8" x14ac:dyDescent="0.25">
      <c r="B149" s="165" t="s">
        <v>119</v>
      </c>
      <c r="C149" s="166"/>
      <c r="D149" s="167" t="s">
        <v>135</v>
      </c>
      <c r="E149" s="168" t="s">
        <v>136</v>
      </c>
      <c r="G149" s="429" t="s">
        <v>159</v>
      </c>
      <c r="H149" s="432">
        <v>2800</v>
      </c>
    </row>
    <row r="150" spans="2:8" x14ac:dyDescent="0.25">
      <c r="B150" s="138" t="s">
        <v>139</v>
      </c>
      <c r="C150" s="410" t="s">
        <v>253</v>
      </c>
      <c r="D150" s="411">
        <v>2700</v>
      </c>
      <c r="E150" s="412">
        <v>2700</v>
      </c>
      <c r="G150" s="429" t="s">
        <v>255</v>
      </c>
      <c r="H150" s="432">
        <f>H149/151.67*1.25*3</f>
        <v>69.229247708841569</v>
      </c>
    </row>
    <row r="151" spans="2:8" x14ac:dyDescent="0.25">
      <c r="B151" s="138" t="s">
        <v>138</v>
      </c>
      <c r="C151" s="410" t="s">
        <v>254</v>
      </c>
      <c r="D151" s="411">
        <v>5400</v>
      </c>
      <c r="E151" s="412">
        <f>1.8*10.48*151.6667</f>
        <v>2861.0406287999999</v>
      </c>
      <c r="G151" s="429" t="s">
        <v>256</v>
      </c>
      <c r="H151" s="432">
        <v>165</v>
      </c>
    </row>
    <row r="152" spans="2:8" x14ac:dyDescent="0.25">
      <c r="B152" s="138" t="s">
        <v>137</v>
      </c>
      <c r="C152" s="410" t="s">
        <v>159</v>
      </c>
      <c r="D152" s="411">
        <f>H152</f>
        <v>3034.2292477088417</v>
      </c>
      <c r="E152" s="412">
        <f>1.8*1603.12</f>
        <v>2885.616</v>
      </c>
      <c r="G152" s="429"/>
      <c r="H152" s="432">
        <f>SUM(H149:H151)</f>
        <v>3034.2292477088417</v>
      </c>
    </row>
    <row r="153" spans="2:8" x14ac:dyDescent="0.25">
      <c r="B153" s="138" t="s">
        <v>140</v>
      </c>
      <c r="C153" s="169"/>
      <c r="D153" s="169"/>
      <c r="E153" s="140">
        <f>SUM(E150:E152)</f>
        <v>8446.6566287999995</v>
      </c>
    </row>
    <row r="154" spans="2:8" x14ac:dyDescent="0.25">
      <c r="B154" s="138" t="s">
        <v>141</v>
      </c>
      <c r="C154" s="169"/>
      <c r="D154" s="169"/>
      <c r="E154" s="140">
        <f>E153/91.25*0.5</f>
        <v>46.283050020821918</v>
      </c>
      <c r="F154" s="10" t="s">
        <v>259</v>
      </c>
      <c r="G154" s="430">
        <f>10.48*151.6666*1.8</f>
        <v>2861.0387424</v>
      </c>
    </row>
    <row r="155" spans="2:8" x14ac:dyDescent="0.25">
      <c r="B155" s="138" t="s">
        <v>242</v>
      </c>
      <c r="C155" s="169"/>
      <c r="D155" s="413" t="s">
        <v>257</v>
      </c>
      <c r="E155" s="170">
        <f>E145-3</f>
        <v>14</v>
      </c>
      <c r="G155" s="10">
        <f>G154*1.8</f>
        <v>5149.8697363199999</v>
      </c>
    </row>
    <row r="156" spans="2:8" x14ac:dyDescent="0.25">
      <c r="B156" s="138" t="s">
        <v>142</v>
      </c>
      <c r="C156" s="169"/>
      <c r="D156" s="169"/>
      <c r="E156" s="414">
        <f>E155*E154</f>
        <v>647.96270029150685</v>
      </c>
    </row>
    <row r="157" spans="2:8" x14ac:dyDescent="0.25">
      <c r="B157" s="138" t="s">
        <v>143</v>
      </c>
      <c r="C157" s="169"/>
      <c r="D157" s="169"/>
      <c r="E157" s="140">
        <f>E156*6.7%</f>
        <v>43.413500919530961</v>
      </c>
    </row>
    <row r="158" spans="2:8" ht="15.75" thickBot="1" x14ac:dyDescent="0.3">
      <c r="B158" s="171" t="s">
        <v>144</v>
      </c>
      <c r="C158" s="69"/>
      <c r="D158" s="69"/>
      <c r="E158" s="440">
        <f>E156-E157</f>
        <v>604.54919937197587</v>
      </c>
    </row>
    <row r="159" spans="2:8" ht="15.75" thickBot="1" x14ac:dyDescent="0.3"/>
    <row r="160" spans="2:8" x14ac:dyDescent="0.25">
      <c r="B160" s="554" t="s">
        <v>54</v>
      </c>
      <c r="C160" s="555"/>
      <c r="D160" s="555"/>
      <c r="E160" s="556"/>
    </row>
    <row r="161" spans="2:9" x14ac:dyDescent="0.25">
      <c r="B161" s="158" t="s">
        <v>145</v>
      </c>
      <c r="C161" s="159"/>
      <c r="D161" s="428" t="s">
        <v>258</v>
      </c>
      <c r="E161" s="416">
        <f>E145-7</f>
        <v>10</v>
      </c>
    </row>
    <row r="162" spans="2:9" ht="15.75" thickBot="1" x14ac:dyDescent="0.3">
      <c r="B162" s="158" t="s">
        <v>146</v>
      </c>
      <c r="C162" s="159"/>
      <c r="D162" s="159"/>
      <c r="E162" s="160">
        <f>E144*0.9</f>
        <v>90</v>
      </c>
    </row>
    <row r="163" spans="2:9" ht="16.5" thickTop="1" thickBot="1" x14ac:dyDescent="0.3">
      <c r="B163" s="158" t="s">
        <v>147</v>
      </c>
      <c r="C163" s="159"/>
      <c r="D163" s="159"/>
      <c r="E163" s="409">
        <f>E161*E162</f>
        <v>900</v>
      </c>
    </row>
    <row r="164" spans="2:9" ht="16.5" thickTop="1" thickBot="1" x14ac:dyDescent="0.3">
      <c r="B164" s="138" t="s">
        <v>148</v>
      </c>
      <c r="C164" s="159"/>
      <c r="D164" s="159"/>
      <c r="E164" s="417">
        <f>E154</f>
        <v>46.283050020821918</v>
      </c>
    </row>
    <row r="165" spans="2:9" ht="16.5" thickTop="1" thickBot="1" x14ac:dyDescent="0.3">
      <c r="B165" s="161" t="s">
        <v>149</v>
      </c>
      <c r="C165" s="418">
        <f>E161</f>
        <v>10</v>
      </c>
      <c r="D165" s="419">
        <f>E164</f>
        <v>46.283050020821918</v>
      </c>
      <c r="E165" s="409">
        <f>D165*C165</f>
        <v>462.83050020821918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3034.2292477088417</v>
      </c>
      <c r="D170" s="220">
        <f>C170</f>
        <v>3034.2292477088417</v>
      </c>
      <c r="E170" s="220">
        <f>10.57*154.67</f>
        <v>1634.8618999999999</v>
      </c>
      <c r="F170" s="220">
        <f>E170</f>
        <v>1634.8618999999999</v>
      </c>
      <c r="G170" s="221">
        <f>ROUND(($C$167/0.6)*((1.6*F170/D170)-1),4)</f>
        <v>-7.3400000000000007E-2</v>
      </c>
      <c r="H170" s="220">
        <f>IF(G170&gt;0,G170*D170,0)</f>
        <v>0</v>
      </c>
      <c r="I170" s="244">
        <f>H170</f>
        <v>0</v>
      </c>
    </row>
    <row r="171" spans="2:9" x14ac:dyDescent="0.25">
      <c r="B171" s="410" t="s">
        <v>160</v>
      </c>
      <c r="C171" s="199">
        <f>E37</f>
        <v>1537.1694997917807</v>
      </c>
      <c r="D171" s="220">
        <f>D170+C171</f>
        <v>4571.3987475006224</v>
      </c>
      <c r="E171" s="220">
        <f>1603.12*C171/2800</f>
        <v>880.09541732364266</v>
      </c>
      <c r="F171" s="220">
        <f>F170+E171</f>
        <v>2514.9573173236427</v>
      </c>
      <c r="G171" s="221">
        <f t="shared" ref="G171" si="9">ROUND(($C$167/0.6)*((1.6*F171/D171)-1),4)</f>
        <v>-6.3799999999999996E-2</v>
      </c>
      <c r="H171" s="220">
        <f t="shared" ref="H171" si="10">IF(G171&gt;0,G171*D171,0)</f>
        <v>0</v>
      </c>
      <c r="I171" s="244">
        <f>+H171-H170</f>
        <v>0</v>
      </c>
    </row>
    <row r="173" spans="2:9" x14ac:dyDescent="0.25">
      <c r="E173" s="10">
        <f>153.67*10.57</f>
        <v>1624.2918999999999</v>
      </c>
    </row>
  </sheetData>
  <mergeCells count="18">
    <mergeCell ref="B160:E160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8C74-BB13-46FF-978F-8B0DC8259874}">
  <dimension ref="B1:P173"/>
  <sheetViews>
    <sheetView topLeftCell="B17" zoomScale="130" zoomScaleNormal="130" workbookViewId="0">
      <selection activeCell="A57" sqref="A1:XFD1048576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9.7109375" style="10" bestFit="1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0"/>
      <c r="D17" s="571"/>
      <c r="E17" s="34" t="s">
        <v>38</v>
      </c>
      <c r="F17" s="570"/>
      <c r="G17" s="572"/>
      <c r="I17" s="23" t="s">
        <v>39</v>
      </c>
      <c r="J17" s="35">
        <f>E37</f>
        <v>1611.4463912555925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16</v>
      </c>
      <c r="D32" s="314">
        <f>E144</f>
        <v>100</v>
      </c>
      <c r="E32" s="315">
        <f>-C32*D32</f>
        <v>-1600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+-E153</f>
        <v>-1028.5536087444075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+E160</f>
        <v>1440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1611.4463912555925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1611.4463912555925</v>
      </c>
      <c r="D41" s="74"/>
      <c r="E41" s="75"/>
      <c r="F41" s="336">
        <v>7.0000000000000007E-2</v>
      </c>
      <c r="G41" s="337">
        <f>F41*C41</f>
        <v>112.80124738789149</v>
      </c>
      <c r="H41" s="10">
        <v>4007.8</v>
      </c>
    </row>
    <row r="42" spans="2:8" x14ac:dyDescent="0.25">
      <c r="B42" s="335" t="s">
        <v>64</v>
      </c>
      <c r="C42" s="64">
        <f>$J$17</f>
        <v>1611.4463912555925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1611.4463912555925</v>
      </c>
      <c r="D44" s="76">
        <f>J21</f>
        <v>1.0999999999999999E-2</v>
      </c>
      <c r="E44" s="77">
        <f>D44*C44</f>
        <v>17.725910303811517</v>
      </c>
      <c r="F44" s="78">
        <f>J22</f>
        <v>1.4999999999999999E-2</v>
      </c>
      <c r="G44" s="337">
        <f>F44*C44</f>
        <v>24.171695868833886</v>
      </c>
    </row>
    <row r="45" spans="2:8" x14ac:dyDescent="0.25">
      <c r="B45" s="338" t="s">
        <v>67</v>
      </c>
      <c r="C45" s="64">
        <f>J17+J18</f>
        <v>1611.4463912555925</v>
      </c>
      <c r="E45" s="64"/>
      <c r="F45" s="339">
        <f>J7</f>
        <v>3.5999999999999997E-2</v>
      </c>
      <c r="G45" s="337">
        <f>F45*C45</f>
        <v>58.012070085201323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1611.4463912555925</v>
      </c>
      <c r="D47" s="76">
        <v>6.9000000000000006E-2</v>
      </c>
      <c r="E47" s="77">
        <f>D47*C47</f>
        <v>111.1898009966359</v>
      </c>
      <c r="F47" s="78">
        <v>8.5500000000000007E-2</v>
      </c>
      <c r="G47" s="337">
        <f>F47*C47</f>
        <v>137.77866645235318</v>
      </c>
    </row>
    <row r="48" spans="2:8" x14ac:dyDescent="0.25">
      <c r="B48" s="335" t="s">
        <v>70</v>
      </c>
      <c r="C48" s="64">
        <f>$E$37</f>
        <v>1611.4463912555925</v>
      </c>
      <c r="D48" s="76">
        <v>4.0000000000000001E-3</v>
      </c>
      <c r="E48" s="77">
        <f t="shared" ref="E48:E51" si="1">D48*C48</f>
        <v>6.4457855650223701</v>
      </c>
      <c r="F48" s="78">
        <v>1.9E-2</v>
      </c>
      <c r="G48" s="337">
        <f t="shared" ref="G48:G51" si="2">F48*C48</f>
        <v>30.617481433856256</v>
      </c>
    </row>
    <row r="49" spans="2:7" x14ac:dyDescent="0.25">
      <c r="B49" s="335" t="s">
        <v>71</v>
      </c>
      <c r="C49" s="64">
        <f>$J$17</f>
        <v>1611.4463912555925</v>
      </c>
      <c r="D49" s="76">
        <v>4.0099999999999997E-2</v>
      </c>
      <c r="E49" s="77">
        <f t="shared" si="1"/>
        <v>64.619000289349259</v>
      </c>
      <c r="F49" s="78">
        <v>6.0100000000000001E-2</v>
      </c>
      <c r="G49" s="337">
        <f t="shared" si="2"/>
        <v>96.847928114461112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1611.4463912555925</v>
      </c>
      <c r="D53" s="80"/>
      <c r="E53" s="64"/>
      <c r="F53" s="78">
        <v>3.4500000000000003E-2</v>
      </c>
      <c r="G53" s="340">
        <f>F53*C53</f>
        <v>55.594900498317948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1611.4463912555925</v>
      </c>
      <c r="D55" s="80"/>
      <c r="E55" s="64"/>
      <c r="F55" s="341">
        <v>4.2000000000000003E-2</v>
      </c>
      <c r="G55" s="337">
        <f t="shared" ref="G55" si="3">F55*C55</f>
        <v>67.680748432734887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25.074105847937023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1607.4177752774535</v>
      </c>
      <c r="D61" s="76">
        <v>6.8000000000000005E-2</v>
      </c>
      <c r="E61" s="77">
        <f>D61*C61</f>
        <v>109.30440871886685</v>
      </c>
      <c r="F61" s="78"/>
      <c r="G61" s="337"/>
    </row>
    <row r="62" spans="2:7" x14ac:dyDescent="0.25">
      <c r="B62" s="338" t="s">
        <v>82</v>
      </c>
      <c r="C62" s="64">
        <f>C61</f>
        <v>1607.4177752774535</v>
      </c>
      <c r="D62" s="76">
        <v>2.9000000000000001E-2</v>
      </c>
      <c r="E62" s="77">
        <f>D62*C62</f>
        <v>46.615115483046154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/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355.90002135673205</v>
      </c>
      <c r="F67" s="357"/>
      <c r="G67" s="358">
        <f>SUM(G41:G66)</f>
        <v>608.57884412158717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1611.4463912555925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-355.90002135673205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46.615115483046154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24.171695868833886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1326.3331812507406</v>
      </c>
    </row>
    <row r="74" spans="2:10" x14ac:dyDescent="0.25">
      <c r="B74" s="439" t="s">
        <v>246</v>
      </c>
      <c r="C74" s="77"/>
      <c r="D74" s="84"/>
      <c r="E74" s="372"/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+E156</f>
        <v>0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1255.5463698988606</v>
      </c>
      <c r="I76" s="19" t="s">
        <v>261</v>
      </c>
      <c r="J76" s="434">
        <f>J75*3.8%</f>
        <v>0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19" t="s">
        <v>248</v>
      </c>
      <c r="J77" s="434">
        <f>J75-J76</f>
        <v>0</v>
      </c>
    </row>
    <row r="78" spans="2:10" x14ac:dyDescent="0.25">
      <c r="B78" s="573" t="s">
        <v>94</v>
      </c>
      <c r="C78" s="575" t="s">
        <v>95</v>
      </c>
      <c r="D78" s="88" t="s">
        <v>59</v>
      </c>
      <c r="E78" s="577"/>
      <c r="F78" s="89"/>
      <c r="G78" s="579" t="s">
        <v>96</v>
      </c>
      <c r="I78" s="19"/>
      <c r="J78" s="21"/>
    </row>
    <row r="79" spans="2:10" ht="15.75" thickBot="1" x14ac:dyDescent="0.3">
      <c r="B79" s="574"/>
      <c r="C79" s="576"/>
      <c r="D79" s="383" t="s">
        <v>97</v>
      </c>
      <c r="E79" s="578"/>
      <c r="F79" s="384"/>
      <c r="G79" s="580"/>
      <c r="I79" s="435" t="s">
        <v>249</v>
      </c>
      <c r="J79" s="436">
        <f>J77+J73</f>
        <v>1326.3331812507406</v>
      </c>
    </row>
    <row r="80" spans="2:10" ht="15.75" thickBot="1" x14ac:dyDescent="0.3">
      <c r="B80" s="376" t="s">
        <v>98</v>
      </c>
      <c r="C80" s="437">
        <f>+J79</f>
        <v>1326.3331812507406</v>
      </c>
      <c r="D80" s="426">
        <f>J20</f>
        <v>4.9000000000000002E-2</v>
      </c>
      <c r="E80" s="385"/>
      <c r="F80" s="386"/>
      <c r="G80" s="387">
        <f>D80*C80</f>
        <v>64.990325881286296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1190.5560440175743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125.6928185179362</v>
      </c>
    </row>
    <row r="83" spans="2:10" ht="15.75" thickTop="1" x14ac:dyDescent="0.25">
      <c r="B83" s="557" t="s">
        <v>102</v>
      </c>
      <c r="C83" s="559"/>
      <c r="D83" s="560"/>
      <c r="E83" s="96" t="s">
        <v>103</v>
      </c>
      <c r="F83" s="97"/>
      <c r="G83" s="93">
        <f>E37+G67</f>
        <v>2220.0252353771798</v>
      </c>
      <c r="J83" s="441">
        <v>6.7000000000000004E-2</v>
      </c>
    </row>
    <row r="84" spans="2:10" ht="15.75" thickBot="1" x14ac:dyDescent="0.3">
      <c r="B84" s="558"/>
      <c r="C84" s="561"/>
      <c r="D84" s="562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1611.4463912555925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1326.3331812507404</v>
      </c>
      <c r="D87" s="113"/>
      <c r="E87" s="109"/>
      <c r="F87" s="91"/>
      <c r="G87" s="110"/>
      <c r="H87" s="242">
        <f>E37+G44+E62-E67</f>
        <v>1326.3331812507404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563" t="s">
        <v>79</v>
      </c>
      <c r="C91" s="564"/>
      <c r="D91" s="10"/>
      <c r="E91" s="10"/>
    </row>
    <row r="92" spans="2:10" s="118" customFormat="1" x14ac:dyDescent="0.25">
      <c r="B92" s="119"/>
      <c r="C92" s="120"/>
      <c r="D92" s="565">
        <f>+E37</f>
        <v>1611.4463912555925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566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566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566"/>
      <c r="E95" s="124">
        <f t="shared" si="4"/>
        <v>0.25783142260089481</v>
      </c>
    </row>
    <row r="96" spans="2:10" s="118" customFormat="1" x14ac:dyDescent="0.25">
      <c r="B96" s="122" t="s">
        <v>113</v>
      </c>
      <c r="C96" s="123">
        <v>3.0000000000000001E-3</v>
      </c>
      <c r="D96" s="566"/>
      <c r="E96" s="124">
        <f t="shared" si="4"/>
        <v>4.8343391737667778</v>
      </c>
    </row>
    <row r="97" spans="2:5" s="118" customFormat="1" x14ac:dyDescent="0.25">
      <c r="B97" s="122" t="s">
        <v>260</v>
      </c>
      <c r="C97" s="123">
        <v>5.8999999999999999E-3</v>
      </c>
      <c r="D97" s="566"/>
      <c r="E97" s="124">
        <f t="shared" si="4"/>
        <v>9.5075337084079958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66"/>
      <c r="E98" s="124">
        <f t="shared" si="4"/>
        <v>8.8629551519057603</v>
      </c>
    </row>
    <row r="99" spans="2:5" s="118" customFormat="1" x14ac:dyDescent="0.25">
      <c r="B99" s="122"/>
      <c r="C99" s="123">
        <f>IF(J6&lt;=50,0,0.45%)</f>
        <v>0</v>
      </c>
      <c r="D99" s="566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1611.4463912555925</v>
      </c>
      <c r="D102" s="129">
        <v>1E-3</v>
      </c>
      <c r="E102" s="130">
        <f>D102*C102</f>
        <v>1.6114463912555925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25.074105847937023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67" t="s">
        <v>117</v>
      </c>
      <c r="C106" s="568"/>
      <c r="D106" s="568"/>
      <c r="E106" s="569"/>
    </row>
    <row r="107" spans="2:5" s="118" customFormat="1" x14ac:dyDescent="0.25">
      <c r="B107" s="134" t="s">
        <v>118</v>
      </c>
      <c r="C107" s="135">
        <f>E37</f>
        <v>1611.4463912555925</v>
      </c>
      <c r="D107" s="136">
        <v>2.4E-2</v>
      </c>
      <c r="E107" s="137">
        <f>D107*C107</f>
        <v>38.674713390134222</v>
      </c>
    </row>
    <row r="108" spans="2:5" s="118" customFormat="1" x14ac:dyDescent="0.25">
      <c r="B108" s="138" t="s">
        <v>119</v>
      </c>
      <c r="C108" s="135">
        <f>C107</f>
        <v>1611.4463912555925</v>
      </c>
      <c r="D108" s="139">
        <v>7.4999999999999997E-3</v>
      </c>
      <c r="E108" s="140">
        <f t="shared" ref="E108:E109" si="5">D108*C108</f>
        <v>12.085847934416943</v>
      </c>
    </row>
    <row r="109" spans="2:5" s="118" customFormat="1" x14ac:dyDescent="0.25">
      <c r="B109" s="138" t="s">
        <v>120</v>
      </c>
      <c r="C109" s="135">
        <f>C61+C63</f>
        <v>1607.4177752774535</v>
      </c>
      <c r="D109" s="139">
        <v>-1.7000000000000001E-2</v>
      </c>
      <c r="E109" s="140">
        <f t="shared" si="5"/>
        <v>-27.326102179716713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23.434459144834449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67" t="s">
        <v>122</v>
      </c>
      <c r="C114" s="568"/>
      <c r="D114" s="568"/>
      <c r="E114" s="569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1611.4463912555925</v>
      </c>
      <c r="D117" s="139">
        <v>1.7999999999999999E-2</v>
      </c>
      <c r="E117" s="66">
        <f>D117*C117</f>
        <v>29.006035042600661</v>
      </c>
    </row>
    <row r="118" spans="2:9" s="118" customFormat="1" ht="15.75" customHeight="1" x14ac:dyDescent="0.25">
      <c r="B118" s="151" t="s">
        <v>126</v>
      </c>
      <c r="C118" s="154">
        <f>C117</f>
        <v>1611.4463912555925</v>
      </c>
      <c r="D118" s="139">
        <v>0.06</v>
      </c>
      <c r="E118" s="66">
        <f>D118*C118</f>
        <v>96.686783475335545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125.6928185179362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0" t="s">
        <v>230</v>
      </c>
      <c r="C128" s="551"/>
      <c r="D128" s="551"/>
      <c r="E128" s="551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2" t="s">
        <v>241</v>
      </c>
      <c r="E135" s="552"/>
      <c r="F135" s="553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550" t="s">
        <v>250</v>
      </c>
      <c r="C139" s="551"/>
      <c r="D139" s="551"/>
      <c r="E139" s="551"/>
    </row>
    <row r="140" spans="2:6" ht="15.75" thickBot="1" x14ac:dyDescent="0.3"/>
    <row r="141" spans="2:6" x14ac:dyDescent="0.25">
      <c r="B141" s="554" t="s">
        <v>129</v>
      </c>
      <c r="C141" s="555"/>
      <c r="D141" s="555"/>
      <c r="E141" s="556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16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1600</v>
      </c>
    </row>
    <row r="147" spans="2:8" ht="15.75" thickBot="1" x14ac:dyDescent="0.3">
      <c r="B147" s="164"/>
      <c r="C147" s="164"/>
      <c r="D147" s="164"/>
      <c r="E147" s="164"/>
      <c r="G147" s="442" t="s">
        <v>159</v>
      </c>
      <c r="H147" s="443">
        <v>2800</v>
      </c>
    </row>
    <row r="148" spans="2:8" ht="15.75" thickBot="1" x14ac:dyDescent="0.3">
      <c r="B148" s="567" t="s">
        <v>134</v>
      </c>
      <c r="C148" s="568"/>
      <c r="D148" s="568"/>
      <c r="E148" s="569"/>
      <c r="G148" s="444" t="s">
        <v>255</v>
      </c>
      <c r="H148" s="445">
        <f>H147/151.67*1.25*3</f>
        <v>69.229247708841569</v>
      </c>
    </row>
    <row r="149" spans="2:8" x14ac:dyDescent="0.25">
      <c r="B149" s="165" t="s">
        <v>251</v>
      </c>
      <c r="C149" s="166"/>
      <c r="D149" s="167" t="s">
        <v>135</v>
      </c>
      <c r="E149" s="168" t="s">
        <v>136</v>
      </c>
      <c r="G149" s="444" t="s">
        <v>256</v>
      </c>
      <c r="H149" s="445">
        <v>165</v>
      </c>
    </row>
    <row r="150" spans="2:8" x14ac:dyDescent="0.25">
      <c r="B150" s="138" t="s">
        <v>137</v>
      </c>
      <c r="C150" s="410" t="s">
        <v>266</v>
      </c>
      <c r="D150" s="427">
        <f>+H151</f>
        <v>3259.2292477088417</v>
      </c>
      <c r="E150" s="412">
        <f>D150</f>
        <v>3259.2292477088417</v>
      </c>
      <c r="G150" s="444" t="s">
        <v>265</v>
      </c>
      <c r="H150" s="445">
        <f>2700/12</f>
        <v>225</v>
      </c>
    </row>
    <row r="151" spans="2:8" ht="15.75" thickBot="1" x14ac:dyDescent="0.3">
      <c r="B151" s="138" t="s">
        <v>141</v>
      </c>
      <c r="C151" s="169"/>
      <c r="D151" s="169"/>
      <c r="E151" s="140">
        <f>E150/30.42*0.6</f>
        <v>64.284600546525468</v>
      </c>
      <c r="G151" s="28"/>
      <c r="H151" s="446">
        <f>SUM(H147:H150)</f>
        <v>3259.2292477088417</v>
      </c>
    </row>
    <row r="152" spans="2:8" x14ac:dyDescent="0.25">
      <c r="B152" s="138" t="s">
        <v>242</v>
      </c>
      <c r="C152" s="169"/>
      <c r="D152" s="413"/>
      <c r="E152" s="170">
        <f>+E145</f>
        <v>16</v>
      </c>
    </row>
    <row r="153" spans="2:8" x14ac:dyDescent="0.25">
      <c r="B153" s="138" t="s">
        <v>142</v>
      </c>
      <c r="C153" s="169"/>
      <c r="D153" s="169"/>
      <c r="E153" s="414">
        <f>E152*E151</f>
        <v>1028.5536087444075</v>
      </c>
    </row>
    <row r="154" spans="2:8" x14ac:dyDescent="0.25">
      <c r="B154" s="138" t="s">
        <v>143</v>
      </c>
      <c r="C154" s="169"/>
      <c r="D154" s="169"/>
      <c r="E154" s="140">
        <f>E153*6.7%</f>
        <v>68.913091785875309</v>
      </c>
      <c r="G154" s="430"/>
    </row>
    <row r="155" spans="2:8" ht="15.75" thickBot="1" x14ac:dyDescent="0.3">
      <c r="B155" s="171" t="s">
        <v>144</v>
      </c>
      <c r="C155" s="69"/>
      <c r="D155" s="69"/>
      <c r="E155" s="415">
        <f>E153-E154</f>
        <v>959.6405169585322</v>
      </c>
    </row>
    <row r="156" spans="2:8" ht="15.75" thickBot="1" x14ac:dyDescent="0.3"/>
    <row r="157" spans="2:8" x14ac:dyDescent="0.25">
      <c r="B157" s="554" t="s">
        <v>54</v>
      </c>
      <c r="C157" s="555"/>
      <c r="D157" s="555"/>
      <c r="E157" s="556"/>
    </row>
    <row r="158" spans="2:8" x14ac:dyDescent="0.25">
      <c r="B158" s="158" t="s">
        <v>145</v>
      </c>
      <c r="C158" s="159"/>
      <c r="D158" s="159"/>
      <c r="E158" s="416">
        <f>E152</f>
        <v>16</v>
      </c>
    </row>
    <row r="159" spans="2:8" ht="15.75" thickBot="1" x14ac:dyDescent="0.3">
      <c r="B159" s="158" t="s">
        <v>146</v>
      </c>
      <c r="C159" s="159"/>
      <c r="D159" s="159"/>
      <c r="E159" s="160">
        <f>+E144*0.9</f>
        <v>90</v>
      </c>
    </row>
    <row r="160" spans="2:8" ht="16.5" thickTop="1" thickBot="1" x14ac:dyDescent="0.3">
      <c r="B160" s="158" t="s">
        <v>147</v>
      </c>
      <c r="C160" s="159"/>
      <c r="D160" s="159"/>
      <c r="E160" s="409">
        <f>E158*E159</f>
        <v>1440</v>
      </c>
    </row>
    <row r="161" spans="2:9" ht="16.5" thickTop="1" thickBot="1" x14ac:dyDescent="0.3">
      <c r="B161" s="161" t="s">
        <v>149</v>
      </c>
      <c r="C161" s="418">
        <f>E158</f>
        <v>16</v>
      </c>
      <c r="D161" s="419" t="e">
        <f>#REF!</f>
        <v>#REF!</v>
      </c>
      <c r="E161" s="409">
        <f>+E153</f>
        <v>1028.5536087444075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0</v>
      </c>
      <c r="D170" s="220">
        <f>C170</f>
        <v>0</v>
      </c>
      <c r="E170" s="220">
        <f>10.57*154.67</f>
        <v>1634.8618999999999</v>
      </c>
      <c r="F170" s="220">
        <f>E170</f>
        <v>1634.8618999999999</v>
      </c>
      <c r="G170" s="221" t="e">
        <f>ROUND(($C$167/0.6)*((1.6*F170/D170)-1),4)</f>
        <v>#DIV/0!</v>
      </c>
      <c r="H170" s="220" t="e">
        <f>IF(G170&gt;0,G170*D170,0)</f>
        <v>#DIV/0!</v>
      </c>
      <c r="I170" s="244" t="e">
        <f>H170</f>
        <v>#DIV/0!</v>
      </c>
    </row>
    <row r="171" spans="2:9" x14ac:dyDescent="0.25">
      <c r="B171" s="410" t="s">
        <v>160</v>
      </c>
      <c r="C171" s="199">
        <f>E37</f>
        <v>1611.4463912555925</v>
      </c>
      <c r="D171" s="220">
        <f>D170+C171</f>
        <v>1611.4463912555925</v>
      </c>
      <c r="E171" s="220">
        <f>1603.12*C171/2800</f>
        <v>922.62212098202338</v>
      </c>
      <c r="F171" s="220">
        <f>F170+E171</f>
        <v>2557.4840209820231</v>
      </c>
      <c r="G171" s="221">
        <f t="shared" ref="G171" si="9">ROUND(($C$167/0.6)*((1.6*F171/D171)-1),4)</f>
        <v>0.81969999999999998</v>
      </c>
      <c r="H171" s="220">
        <f t="shared" ref="H171" si="10">IF(G171&gt;0,G171*D171,0)</f>
        <v>1320.9026069122092</v>
      </c>
      <c r="I171" s="244" t="e">
        <f>+H171-H170</f>
        <v>#DIV/0!</v>
      </c>
    </row>
    <row r="173" spans="2:9" x14ac:dyDescent="0.25">
      <c r="E173" s="10">
        <f>153.67*10.57</f>
        <v>1624.2918999999999</v>
      </c>
    </row>
  </sheetData>
  <mergeCells count="18">
    <mergeCell ref="B157:E157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A2D6-05B3-4B08-9012-B794F52C630A}">
  <dimension ref="B1:P173"/>
  <sheetViews>
    <sheetView topLeftCell="A67" zoomScale="130" zoomScaleNormal="130" workbookViewId="0">
      <selection activeCell="A57" sqref="A1:XFD1048576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9.7109375" style="10" bestFit="1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0"/>
      <c r="D17" s="571"/>
      <c r="E17" s="34" t="s">
        <v>38</v>
      </c>
      <c r="F17" s="570"/>
      <c r="G17" s="572"/>
      <c r="I17" s="23" t="s">
        <v>39</v>
      </c>
      <c r="J17" s="35">
        <f>E37</f>
        <v>1611.4463912555925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16</v>
      </c>
      <c r="D32" s="314">
        <f>E144</f>
        <v>100</v>
      </c>
      <c r="E32" s="315">
        <f>-C32*D32</f>
        <v>-1600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+-E153</f>
        <v>-1028.5536087444075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+E160</f>
        <v>1440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1611.4463912555925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1611.4463912555925</v>
      </c>
      <c r="D41" s="74"/>
      <c r="E41" s="75"/>
      <c r="F41" s="336">
        <v>7.0000000000000007E-2</v>
      </c>
      <c r="G41" s="337">
        <f>F41*C41</f>
        <v>112.80124738789149</v>
      </c>
      <c r="H41" s="10">
        <v>4007.8</v>
      </c>
    </row>
    <row r="42" spans="2:8" x14ac:dyDescent="0.25">
      <c r="B42" s="335" t="s">
        <v>64</v>
      </c>
      <c r="C42" s="64">
        <f>$J$17</f>
        <v>1611.4463912555925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1611.4463912555925</v>
      </c>
      <c r="D44" s="76">
        <f>J21</f>
        <v>1.0999999999999999E-2</v>
      </c>
      <c r="E44" s="77">
        <f>D44*C44</f>
        <v>17.725910303811517</v>
      </c>
      <c r="F44" s="78">
        <f>J22</f>
        <v>1.4999999999999999E-2</v>
      </c>
      <c r="G44" s="337">
        <f>F44*C44</f>
        <v>24.171695868833886</v>
      </c>
    </row>
    <row r="45" spans="2:8" x14ac:dyDescent="0.25">
      <c r="B45" s="338" t="s">
        <v>67</v>
      </c>
      <c r="C45" s="64">
        <f>J17+J18</f>
        <v>1611.4463912555925</v>
      </c>
      <c r="E45" s="64"/>
      <c r="F45" s="339">
        <f>J7</f>
        <v>3.5999999999999997E-2</v>
      </c>
      <c r="G45" s="337">
        <f>F45*C45</f>
        <v>58.012070085201323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1611.4463912555925</v>
      </c>
      <c r="D47" s="76">
        <v>6.9000000000000006E-2</v>
      </c>
      <c r="E47" s="77">
        <f>D47*C47</f>
        <v>111.1898009966359</v>
      </c>
      <c r="F47" s="78">
        <v>8.5500000000000007E-2</v>
      </c>
      <c r="G47" s="337">
        <f>F47*C47</f>
        <v>137.77866645235318</v>
      </c>
    </row>
    <row r="48" spans="2:8" x14ac:dyDescent="0.25">
      <c r="B48" s="335" t="s">
        <v>70</v>
      </c>
      <c r="C48" s="64">
        <f>$E$37</f>
        <v>1611.4463912555925</v>
      </c>
      <c r="D48" s="76">
        <v>4.0000000000000001E-3</v>
      </c>
      <c r="E48" s="77">
        <f t="shared" ref="E48:E51" si="1">D48*C48</f>
        <v>6.4457855650223701</v>
      </c>
      <c r="F48" s="78">
        <v>1.9E-2</v>
      </c>
      <c r="G48" s="337">
        <f t="shared" ref="G48:G51" si="2">F48*C48</f>
        <v>30.617481433856256</v>
      </c>
    </row>
    <row r="49" spans="2:7" x14ac:dyDescent="0.25">
      <c r="B49" s="335" t="s">
        <v>71</v>
      </c>
      <c r="C49" s="64">
        <f>$J$17</f>
        <v>1611.4463912555925</v>
      </c>
      <c r="D49" s="76">
        <v>4.0099999999999997E-2</v>
      </c>
      <c r="E49" s="77">
        <f t="shared" si="1"/>
        <v>64.619000289349259</v>
      </c>
      <c r="F49" s="78">
        <v>6.0100000000000001E-2</v>
      </c>
      <c r="G49" s="337">
        <f t="shared" si="2"/>
        <v>96.847928114461112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1611.4463912555925</v>
      </c>
      <c r="D53" s="80"/>
      <c r="E53" s="64"/>
      <c r="F53" s="78">
        <v>3.4500000000000003E-2</v>
      </c>
      <c r="G53" s="340">
        <f>F53*C53</f>
        <v>55.594900498317948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1611.4463912555925</v>
      </c>
      <c r="D55" s="80"/>
      <c r="E55" s="64"/>
      <c r="F55" s="341">
        <v>4.2000000000000003E-2</v>
      </c>
      <c r="G55" s="337">
        <f t="shared" ref="G55" si="3">F55*C55</f>
        <v>67.680748432734887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25.074105847937023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1607.4177752774535</v>
      </c>
      <c r="D61" s="76">
        <v>6.8000000000000005E-2</v>
      </c>
      <c r="E61" s="77">
        <f>D61*C61</f>
        <v>109.30440871886685</v>
      </c>
      <c r="F61" s="78"/>
      <c r="G61" s="337"/>
    </row>
    <row r="62" spans="2:7" x14ac:dyDescent="0.25">
      <c r="B62" s="338" t="s">
        <v>82</v>
      </c>
      <c r="C62" s="64">
        <f>C61</f>
        <v>1607.4177752774535</v>
      </c>
      <c r="D62" s="76">
        <v>2.9000000000000001E-2</v>
      </c>
      <c r="E62" s="77">
        <f>D62*C62</f>
        <v>46.615115483046154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/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355.90002135673205</v>
      </c>
      <c r="F67" s="357"/>
      <c r="G67" s="358">
        <f>SUM(G41:G66)</f>
        <v>608.57884412158717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1611.4463912555925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-355.90002135673205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46.615115483046154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24.171695868833886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1326.3331812507406</v>
      </c>
    </row>
    <row r="74" spans="2:10" x14ac:dyDescent="0.25">
      <c r="B74" s="439" t="s">
        <v>246</v>
      </c>
      <c r="C74" s="77"/>
      <c r="D74" s="84"/>
      <c r="E74" s="372">
        <f>+E155</f>
        <v>959.6405169585322</v>
      </c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+E153</f>
        <v>1028.5536087444075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2215.1868868573929</v>
      </c>
      <c r="I76" s="19" t="s">
        <v>261</v>
      </c>
      <c r="J76" s="434">
        <f>J75*3.8%</f>
        <v>39.085037132287482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447" t="s">
        <v>267</v>
      </c>
      <c r="J77" s="448">
        <f>(J75-J76)/2</f>
        <v>494.73428580606003</v>
      </c>
    </row>
    <row r="78" spans="2:10" x14ac:dyDescent="0.25">
      <c r="B78" s="573" t="s">
        <v>94</v>
      </c>
      <c r="C78" s="575" t="s">
        <v>95</v>
      </c>
      <c r="D78" s="88" t="s">
        <v>59</v>
      </c>
      <c r="E78" s="577"/>
      <c r="F78" s="89"/>
      <c r="G78" s="579" t="s">
        <v>96</v>
      </c>
      <c r="I78" s="19"/>
      <c r="J78" s="21"/>
    </row>
    <row r="79" spans="2:10" ht="15.75" thickBot="1" x14ac:dyDescent="0.3">
      <c r="B79" s="574"/>
      <c r="C79" s="576"/>
      <c r="D79" s="383" t="s">
        <v>97</v>
      </c>
      <c r="E79" s="578"/>
      <c r="F79" s="384"/>
      <c r="G79" s="580"/>
      <c r="I79" s="435" t="s">
        <v>249</v>
      </c>
      <c r="J79" s="436">
        <f>J77+J73</f>
        <v>1821.0674670568005</v>
      </c>
    </row>
    <row r="80" spans="2:10" ht="15.75" thickBot="1" x14ac:dyDescent="0.3">
      <c r="B80" s="376" t="s">
        <v>98</v>
      </c>
      <c r="C80" s="437">
        <f>+J79</f>
        <v>1821.0674670568005</v>
      </c>
      <c r="D80" s="426">
        <f>J20</f>
        <v>4.9000000000000002E-2</v>
      </c>
      <c r="E80" s="385"/>
      <c r="F80" s="386"/>
      <c r="G80" s="387">
        <f>D80*C80</f>
        <v>89.232305885783234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2125.9545809716096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125.6928185179362</v>
      </c>
    </row>
    <row r="83" spans="2:10" ht="15.75" thickTop="1" x14ac:dyDescent="0.25">
      <c r="B83" s="557" t="s">
        <v>102</v>
      </c>
      <c r="C83" s="559"/>
      <c r="D83" s="560"/>
      <c r="E83" s="96" t="s">
        <v>103</v>
      </c>
      <c r="F83" s="97"/>
      <c r="G83" s="93">
        <f>E37+G67</f>
        <v>2220.0252353771798</v>
      </c>
      <c r="J83" s="441">
        <v>6.7000000000000004E-2</v>
      </c>
    </row>
    <row r="84" spans="2:10" ht="15.75" thickBot="1" x14ac:dyDescent="0.3">
      <c r="B84" s="558"/>
      <c r="C84" s="561"/>
      <c r="D84" s="562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1611.4463912555925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1326.3331812507404</v>
      </c>
      <c r="D87" s="113"/>
      <c r="E87" s="109"/>
      <c r="F87" s="91"/>
      <c r="G87" s="110"/>
      <c r="H87" s="242">
        <f>E37+G44+E62-E67</f>
        <v>1326.3331812507404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563" t="s">
        <v>79</v>
      </c>
      <c r="C91" s="564"/>
      <c r="D91" s="10"/>
      <c r="E91" s="10"/>
    </row>
    <row r="92" spans="2:10" s="118" customFormat="1" x14ac:dyDescent="0.25">
      <c r="B92" s="119"/>
      <c r="C92" s="120"/>
      <c r="D92" s="565">
        <f>+E37</f>
        <v>1611.4463912555925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566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566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566"/>
      <c r="E95" s="124">
        <f t="shared" si="4"/>
        <v>0.25783142260089481</v>
      </c>
    </row>
    <row r="96" spans="2:10" s="118" customFormat="1" x14ac:dyDescent="0.25">
      <c r="B96" s="122" t="s">
        <v>113</v>
      </c>
      <c r="C96" s="123">
        <v>3.0000000000000001E-3</v>
      </c>
      <c r="D96" s="566"/>
      <c r="E96" s="124">
        <f t="shared" si="4"/>
        <v>4.8343391737667778</v>
      </c>
    </row>
    <row r="97" spans="2:5" s="118" customFormat="1" x14ac:dyDescent="0.25">
      <c r="B97" s="122" t="s">
        <v>260</v>
      </c>
      <c r="C97" s="123">
        <v>5.8999999999999999E-3</v>
      </c>
      <c r="D97" s="566"/>
      <c r="E97" s="124">
        <f t="shared" si="4"/>
        <v>9.5075337084079958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66"/>
      <c r="E98" s="124">
        <f t="shared" si="4"/>
        <v>8.8629551519057603</v>
      </c>
    </row>
    <row r="99" spans="2:5" s="118" customFormat="1" x14ac:dyDescent="0.25">
      <c r="B99" s="122"/>
      <c r="C99" s="123">
        <f>IF(J6&lt;=50,0,0.45%)</f>
        <v>0</v>
      </c>
      <c r="D99" s="566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1611.4463912555925</v>
      </c>
      <c r="D102" s="129">
        <v>1E-3</v>
      </c>
      <c r="E102" s="130">
        <f>D102*C102</f>
        <v>1.6114463912555925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25.074105847937023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67" t="s">
        <v>117</v>
      </c>
      <c r="C106" s="568"/>
      <c r="D106" s="568"/>
      <c r="E106" s="569"/>
    </row>
    <row r="107" spans="2:5" s="118" customFormat="1" x14ac:dyDescent="0.25">
      <c r="B107" s="134" t="s">
        <v>118</v>
      </c>
      <c r="C107" s="135">
        <f>E37</f>
        <v>1611.4463912555925</v>
      </c>
      <c r="D107" s="136">
        <v>2.4E-2</v>
      </c>
      <c r="E107" s="137">
        <f>D107*C107</f>
        <v>38.674713390134222</v>
      </c>
    </row>
    <row r="108" spans="2:5" s="118" customFormat="1" x14ac:dyDescent="0.25">
      <c r="B108" s="138" t="s">
        <v>119</v>
      </c>
      <c r="C108" s="135">
        <f>C107</f>
        <v>1611.4463912555925</v>
      </c>
      <c r="D108" s="139">
        <v>7.4999999999999997E-3</v>
      </c>
      <c r="E108" s="140">
        <f t="shared" ref="E108:E109" si="5">D108*C108</f>
        <v>12.085847934416943</v>
      </c>
    </row>
    <row r="109" spans="2:5" s="118" customFormat="1" x14ac:dyDescent="0.25">
      <c r="B109" s="138" t="s">
        <v>120</v>
      </c>
      <c r="C109" s="135">
        <f>C61+C63</f>
        <v>1607.4177752774535</v>
      </c>
      <c r="D109" s="139">
        <v>-1.7000000000000001E-2</v>
      </c>
      <c r="E109" s="140">
        <f t="shared" si="5"/>
        <v>-27.326102179716713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23.434459144834449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67" t="s">
        <v>122</v>
      </c>
      <c r="C114" s="568"/>
      <c r="D114" s="568"/>
      <c r="E114" s="569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1611.4463912555925</v>
      </c>
      <c r="D117" s="139">
        <v>1.7999999999999999E-2</v>
      </c>
      <c r="E117" s="66">
        <f>D117*C117</f>
        <v>29.006035042600661</v>
      </c>
    </row>
    <row r="118" spans="2:9" s="118" customFormat="1" ht="15.75" customHeight="1" x14ac:dyDescent="0.25">
      <c r="B118" s="151" t="s">
        <v>126</v>
      </c>
      <c r="C118" s="154">
        <f>C117</f>
        <v>1611.4463912555925</v>
      </c>
      <c r="D118" s="139">
        <v>0.06</v>
      </c>
      <c r="E118" s="66">
        <f>D118*C118</f>
        <v>96.686783475335545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125.6928185179362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0" t="s">
        <v>230</v>
      </c>
      <c r="C128" s="551"/>
      <c r="D128" s="551"/>
      <c r="E128" s="551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2" t="s">
        <v>241</v>
      </c>
      <c r="E135" s="552"/>
      <c r="F135" s="553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550" t="s">
        <v>250</v>
      </c>
      <c r="C139" s="551"/>
      <c r="D139" s="551"/>
      <c r="E139" s="551"/>
    </row>
    <row r="140" spans="2:6" ht="15.75" thickBot="1" x14ac:dyDescent="0.3"/>
    <row r="141" spans="2:6" x14ac:dyDescent="0.25">
      <c r="B141" s="554" t="s">
        <v>129</v>
      </c>
      <c r="C141" s="555"/>
      <c r="D141" s="555"/>
      <c r="E141" s="556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16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1600</v>
      </c>
    </row>
    <row r="147" spans="2:8" ht="15.75" thickBot="1" x14ac:dyDescent="0.3">
      <c r="B147" s="164"/>
      <c r="C147" s="164"/>
      <c r="D147" s="164"/>
      <c r="E147" s="164"/>
      <c r="G147" s="442" t="s">
        <v>159</v>
      </c>
      <c r="H147" s="443">
        <v>2800</v>
      </c>
    </row>
    <row r="148" spans="2:8" ht="15.75" thickBot="1" x14ac:dyDescent="0.3">
      <c r="B148" s="567" t="s">
        <v>134</v>
      </c>
      <c r="C148" s="568"/>
      <c r="D148" s="568"/>
      <c r="E148" s="569"/>
      <c r="G148" s="444" t="s">
        <v>255</v>
      </c>
      <c r="H148" s="445">
        <f>H147/151.67*1.25*3</f>
        <v>69.229247708841569</v>
      </c>
    </row>
    <row r="149" spans="2:8" x14ac:dyDescent="0.25">
      <c r="B149" s="165" t="s">
        <v>251</v>
      </c>
      <c r="C149" s="166"/>
      <c r="D149" s="167" t="s">
        <v>135</v>
      </c>
      <c r="E149" s="168" t="s">
        <v>136</v>
      </c>
      <c r="G149" s="444" t="s">
        <v>256</v>
      </c>
      <c r="H149" s="445">
        <v>165</v>
      </c>
    </row>
    <row r="150" spans="2:8" x14ac:dyDescent="0.25">
      <c r="B150" s="138" t="s">
        <v>137</v>
      </c>
      <c r="C150" s="410" t="s">
        <v>266</v>
      </c>
      <c r="D150" s="427">
        <f>+H151</f>
        <v>3259.2292477088417</v>
      </c>
      <c r="E150" s="412">
        <f>D150</f>
        <v>3259.2292477088417</v>
      </c>
      <c r="G150" s="444" t="s">
        <v>265</v>
      </c>
      <c r="H150" s="445">
        <f>2700/12</f>
        <v>225</v>
      </c>
    </row>
    <row r="151" spans="2:8" ht="15.75" thickBot="1" x14ac:dyDescent="0.3">
      <c r="B151" s="138" t="s">
        <v>141</v>
      </c>
      <c r="C151" s="169"/>
      <c r="D151" s="169"/>
      <c r="E151" s="140">
        <f>E150/30.42*0.6</f>
        <v>64.284600546525468</v>
      </c>
      <c r="G151" s="28"/>
      <c r="H151" s="446">
        <f>SUM(H147:H150)</f>
        <v>3259.2292477088417</v>
      </c>
    </row>
    <row r="152" spans="2:8" x14ac:dyDescent="0.25">
      <c r="B152" s="138" t="s">
        <v>242</v>
      </c>
      <c r="C152" s="169"/>
      <c r="D152" s="413"/>
      <c r="E152" s="170">
        <f>+E145</f>
        <v>16</v>
      </c>
    </row>
    <row r="153" spans="2:8" x14ac:dyDescent="0.25">
      <c r="B153" s="138" t="s">
        <v>142</v>
      </c>
      <c r="C153" s="169"/>
      <c r="D153" s="169"/>
      <c r="E153" s="414">
        <f>E152*E151</f>
        <v>1028.5536087444075</v>
      </c>
    </row>
    <row r="154" spans="2:8" x14ac:dyDescent="0.25">
      <c r="B154" s="138" t="s">
        <v>143</v>
      </c>
      <c r="C154" s="169"/>
      <c r="D154" s="169"/>
      <c r="E154" s="140">
        <f>E153*6.7%</f>
        <v>68.913091785875309</v>
      </c>
      <c r="G154" s="430"/>
    </row>
    <row r="155" spans="2:8" ht="15.75" thickBot="1" x14ac:dyDescent="0.3">
      <c r="B155" s="171" t="s">
        <v>144</v>
      </c>
      <c r="C155" s="69"/>
      <c r="D155" s="69"/>
      <c r="E155" s="415">
        <f>E153-E154</f>
        <v>959.6405169585322</v>
      </c>
    </row>
    <row r="156" spans="2:8" ht="15.75" thickBot="1" x14ac:dyDescent="0.3"/>
    <row r="157" spans="2:8" x14ac:dyDescent="0.25">
      <c r="B157" s="554" t="s">
        <v>54</v>
      </c>
      <c r="C157" s="555"/>
      <c r="D157" s="555"/>
      <c r="E157" s="556"/>
    </row>
    <row r="158" spans="2:8" x14ac:dyDescent="0.25">
      <c r="B158" s="158" t="s">
        <v>145</v>
      </c>
      <c r="C158" s="159"/>
      <c r="D158" s="159"/>
      <c r="E158" s="416">
        <f>E152</f>
        <v>16</v>
      </c>
    </row>
    <row r="159" spans="2:8" ht="15.75" thickBot="1" x14ac:dyDescent="0.3">
      <c r="B159" s="158" t="s">
        <v>146</v>
      </c>
      <c r="C159" s="159"/>
      <c r="D159" s="159"/>
      <c r="E159" s="160">
        <f>+E144*0.9</f>
        <v>90</v>
      </c>
    </row>
    <row r="160" spans="2:8" ht="16.5" thickTop="1" thickBot="1" x14ac:dyDescent="0.3">
      <c r="B160" s="158" t="s">
        <v>147</v>
      </c>
      <c r="C160" s="159"/>
      <c r="D160" s="159"/>
      <c r="E160" s="409">
        <f>E158*E159</f>
        <v>1440</v>
      </c>
    </row>
    <row r="161" spans="2:9" ht="16.5" thickTop="1" thickBot="1" x14ac:dyDescent="0.3">
      <c r="B161" s="161" t="s">
        <v>149</v>
      </c>
      <c r="C161" s="418">
        <f>E158</f>
        <v>16</v>
      </c>
      <c r="D161" s="419" t="e">
        <f>#REF!</f>
        <v>#REF!</v>
      </c>
      <c r="E161" s="409">
        <f>+E153</f>
        <v>1028.5536087444075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0</v>
      </c>
      <c r="D170" s="220">
        <f>C170</f>
        <v>0</v>
      </c>
      <c r="E170" s="220">
        <f>10.57*154.67</f>
        <v>1634.8618999999999</v>
      </c>
      <c r="F170" s="220">
        <f>E170</f>
        <v>1634.8618999999999</v>
      </c>
      <c r="G170" s="221" t="e">
        <f>ROUND(($C$167/0.6)*((1.6*F170/D170)-1),4)</f>
        <v>#DIV/0!</v>
      </c>
      <c r="H170" s="220" t="e">
        <f>IF(G170&gt;0,G170*D170,0)</f>
        <v>#DIV/0!</v>
      </c>
      <c r="I170" s="244" t="e">
        <f>H170</f>
        <v>#DIV/0!</v>
      </c>
    </row>
    <row r="171" spans="2:9" x14ac:dyDescent="0.25">
      <c r="B171" s="410" t="s">
        <v>160</v>
      </c>
      <c r="C171" s="199">
        <f>E37</f>
        <v>1611.4463912555925</v>
      </c>
      <c r="D171" s="220">
        <f>D170+C171</f>
        <v>1611.4463912555925</v>
      </c>
      <c r="E171" s="220">
        <f>1603.12*C171/2800</f>
        <v>922.62212098202338</v>
      </c>
      <c r="F171" s="220">
        <f>F170+E171</f>
        <v>2557.4840209820231</v>
      </c>
      <c r="G171" s="221">
        <f t="shared" ref="G171" si="9">ROUND(($C$167/0.6)*((1.6*F171/D171)-1),4)</f>
        <v>0.81969999999999998</v>
      </c>
      <c r="H171" s="220">
        <f t="shared" ref="H171" si="10">IF(G171&gt;0,G171*D171,0)</f>
        <v>1320.9026069122092</v>
      </c>
      <c r="I171" s="244" t="e">
        <f>+H171-H170</f>
        <v>#DIV/0!</v>
      </c>
    </row>
    <row r="173" spans="2:9" x14ac:dyDescent="0.25">
      <c r="E173" s="10">
        <f>153.67*10.57</f>
        <v>1624.2918999999999</v>
      </c>
    </row>
  </sheetData>
  <mergeCells count="18">
    <mergeCell ref="B157:E157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8CE6-8CBE-4AF4-BF1E-D7605BD1D318}">
  <dimension ref="A1:E56"/>
  <sheetViews>
    <sheetView tabSelected="1" zoomScaleNormal="100" workbookViewId="0">
      <selection activeCell="E19" sqref="E19"/>
    </sheetView>
    <sheetView tabSelected="1" workbookViewId="1">
      <selection activeCell="D17" sqref="D17"/>
    </sheetView>
    <sheetView tabSelected="1" workbookViewId="2"/>
  </sheetViews>
  <sheetFormatPr baseColWidth="10" defaultRowHeight="15" x14ac:dyDescent="0.25"/>
  <cols>
    <col min="1" max="1" width="42" style="471" bestFit="1" customWidth="1"/>
    <col min="2" max="2" width="22.140625" style="471" bestFit="1" customWidth="1"/>
    <col min="3" max="3" width="13.140625" style="471" customWidth="1"/>
    <col min="4" max="4" width="25.5703125" style="471" bestFit="1" customWidth="1"/>
    <col min="5" max="5" width="103" style="471" customWidth="1"/>
    <col min="6" max="6" width="12.140625" style="471" bestFit="1" customWidth="1"/>
    <col min="7" max="7" width="11.42578125" style="471"/>
    <col min="8" max="8" width="13" style="471" bestFit="1" customWidth="1"/>
    <col min="9" max="9" width="11.85546875" style="471" bestFit="1" customWidth="1"/>
    <col min="10" max="10" width="11.42578125" style="471"/>
    <col min="11" max="11" width="20.28515625" style="471" bestFit="1" customWidth="1"/>
    <col min="12" max="16384" width="11.42578125" style="471"/>
  </cols>
  <sheetData>
    <row r="1" spans="1:5" ht="21" x14ac:dyDescent="0.25">
      <c r="A1" s="596" t="s">
        <v>363</v>
      </c>
    </row>
    <row r="2" spans="1:5" ht="15.75" thickBot="1" x14ac:dyDescent="0.3"/>
    <row r="3" spans="1:5" ht="18.75" x14ac:dyDescent="0.25">
      <c r="A3" s="4" t="s">
        <v>270</v>
      </c>
      <c r="B3" s="606" t="s">
        <v>373</v>
      </c>
      <c r="D3" s="589" t="s">
        <v>353</v>
      </c>
      <c r="E3" s="522" t="s">
        <v>354</v>
      </c>
    </row>
    <row r="4" spans="1:5" ht="15.75" thickBot="1" x14ac:dyDescent="0.3">
      <c r="A4" s="293" t="s">
        <v>361</v>
      </c>
      <c r="B4" s="607" t="s">
        <v>365</v>
      </c>
      <c r="D4" s="590" t="s">
        <v>355</v>
      </c>
      <c r="E4" s="591" t="s">
        <v>356</v>
      </c>
    </row>
    <row r="5" spans="1:5" ht="15.75" thickBot="1" x14ac:dyDescent="0.3">
      <c r="A5" s="293" t="s">
        <v>362</v>
      </c>
      <c r="B5" s="607" t="s">
        <v>374</v>
      </c>
    </row>
    <row r="6" spans="1:5" ht="18.75" x14ac:dyDescent="0.25">
      <c r="A6" s="293" t="s">
        <v>359</v>
      </c>
      <c r="B6" s="608" t="s">
        <v>366</v>
      </c>
      <c r="D6" s="589" t="s">
        <v>357</v>
      </c>
      <c r="E6" s="522" t="s">
        <v>354</v>
      </c>
    </row>
    <row r="7" spans="1:5" ht="15" customHeight="1" x14ac:dyDescent="0.25">
      <c r="A7" s="293" t="s">
        <v>275</v>
      </c>
      <c r="B7" s="609">
        <v>3000</v>
      </c>
      <c r="D7" s="592" t="s">
        <v>355</v>
      </c>
      <c r="E7" s="613" t="s">
        <v>364</v>
      </c>
    </row>
    <row r="8" spans="1:5" ht="15.75" thickBot="1" x14ac:dyDescent="0.3">
      <c r="A8" s="293" t="s">
        <v>346</v>
      </c>
      <c r="B8" s="609">
        <v>3000</v>
      </c>
      <c r="D8" s="594"/>
      <c r="E8" s="614"/>
    </row>
    <row r="9" spans="1:5" ht="15.75" thickBot="1" x14ac:dyDescent="0.3">
      <c r="A9" s="293" t="s">
        <v>367</v>
      </c>
      <c r="B9" s="609">
        <v>2150</v>
      </c>
      <c r="D9" s="178"/>
      <c r="E9" s="178"/>
    </row>
    <row r="10" spans="1:5" ht="18.75" x14ac:dyDescent="0.25">
      <c r="A10" s="293" t="s">
        <v>360</v>
      </c>
      <c r="B10" s="609">
        <v>3200</v>
      </c>
      <c r="D10" s="589" t="s">
        <v>358</v>
      </c>
      <c r="E10" s="522" t="s">
        <v>375</v>
      </c>
    </row>
    <row r="11" spans="1:5" x14ac:dyDescent="0.25">
      <c r="A11" s="293" t="s">
        <v>347</v>
      </c>
      <c r="B11" s="610">
        <v>3200</v>
      </c>
      <c r="D11" s="592" t="s">
        <v>355</v>
      </c>
      <c r="E11" s="593" t="s">
        <v>376</v>
      </c>
    </row>
    <row r="12" spans="1:5" ht="15.75" thickBot="1" x14ac:dyDescent="0.3">
      <c r="A12" s="293" t="s">
        <v>368</v>
      </c>
      <c r="B12" s="610">
        <v>580</v>
      </c>
      <c r="D12" s="594"/>
      <c r="E12" s="595"/>
    </row>
    <row r="13" spans="1:5" x14ac:dyDescent="0.25">
      <c r="A13" s="293" t="s">
        <v>369</v>
      </c>
      <c r="B13" s="610">
        <v>450</v>
      </c>
    </row>
    <row r="14" spans="1:5" x14ac:dyDescent="0.25">
      <c r="A14" s="293" t="s">
        <v>370</v>
      </c>
      <c r="B14" s="609">
        <v>3350</v>
      </c>
    </row>
    <row r="15" spans="1:5" x14ac:dyDescent="0.25">
      <c r="A15" s="293" t="s">
        <v>348</v>
      </c>
      <c r="B15" s="609">
        <v>220</v>
      </c>
    </row>
    <row r="16" spans="1:5" x14ac:dyDescent="0.25">
      <c r="A16" s="293" t="s">
        <v>371</v>
      </c>
      <c r="B16" s="611">
        <v>5.1999999999999998E-2</v>
      </c>
    </row>
    <row r="17" spans="1:2" x14ac:dyDescent="0.25">
      <c r="A17" s="293" t="s">
        <v>372</v>
      </c>
      <c r="B17" s="611">
        <v>1.2E-2</v>
      </c>
    </row>
    <row r="18" spans="1:2" x14ac:dyDescent="0.25">
      <c r="A18" s="293" t="s">
        <v>1</v>
      </c>
      <c r="B18" s="611">
        <v>6.3E-2</v>
      </c>
    </row>
    <row r="19" spans="1:2" ht="15.75" thickBot="1" x14ac:dyDescent="0.3">
      <c r="A19" s="600" t="s">
        <v>349</v>
      </c>
      <c r="B19" s="612">
        <v>44378</v>
      </c>
    </row>
    <row r="21" spans="1:2" ht="15.75" thickBot="1" x14ac:dyDescent="0.3"/>
    <row r="22" spans="1:2" x14ac:dyDescent="0.25">
      <c r="A22" s="597">
        <v>44620</v>
      </c>
      <c r="B22" s="598"/>
    </row>
    <row r="23" spans="1:2" x14ac:dyDescent="0.25">
      <c r="A23" s="599">
        <v>44621</v>
      </c>
      <c r="B23" s="524"/>
    </row>
    <row r="24" spans="1:2" x14ac:dyDescent="0.25">
      <c r="A24" s="599">
        <v>44622</v>
      </c>
      <c r="B24" s="524"/>
    </row>
    <row r="25" spans="1:2" x14ac:dyDescent="0.25">
      <c r="A25" s="599">
        <v>44623</v>
      </c>
      <c r="B25" s="524"/>
    </row>
    <row r="26" spans="1:2" x14ac:dyDescent="0.25">
      <c r="A26" s="599">
        <v>44624</v>
      </c>
      <c r="B26" s="524"/>
    </row>
    <row r="27" spans="1:2" x14ac:dyDescent="0.25">
      <c r="A27" s="599">
        <v>44625</v>
      </c>
      <c r="B27" s="524"/>
    </row>
    <row r="28" spans="1:2" x14ac:dyDescent="0.25">
      <c r="A28" s="599">
        <v>44626</v>
      </c>
      <c r="B28" s="524"/>
    </row>
    <row r="29" spans="1:2" x14ac:dyDescent="0.25">
      <c r="A29" s="599">
        <v>44627</v>
      </c>
      <c r="B29" s="524"/>
    </row>
    <row r="30" spans="1:2" x14ac:dyDescent="0.25">
      <c r="A30" s="599">
        <v>44628</v>
      </c>
      <c r="B30" s="524"/>
    </row>
    <row r="31" spans="1:2" x14ac:dyDescent="0.25">
      <c r="A31" s="599">
        <v>44629</v>
      </c>
      <c r="B31" s="524"/>
    </row>
    <row r="32" spans="1:2" x14ac:dyDescent="0.25">
      <c r="A32" s="599">
        <v>44630</v>
      </c>
      <c r="B32" s="524"/>
    </row>
    <row r="33" spans="1:2" x14ac:dyDescent="0.25">
      <c r="A33" s="599">
        <v>44631</v>
      </c>
      <c r="B33" s="524"/>
    </row>
    <row r="34" spans="1:2" x14ac:dyDescent="0.25">
      <c r="A34" s="599">
        <v>44632</v>
      </c>
      <c r="B34" s="524"/>
    </row>
    <row r="35" spans="1:2" x14ac:dyDescent="0.25">
      <c r="A35" s="599">
        <v>44633</v>
      </c>
      <c r="B35" s="524"/>
    </row>
    <row r="36" spans="1:2" x14ac:dyDescent="0.25">
      <c r="A36" s="599">
        <v>44634</v>
      </c>
      <c r="B36" s="603" t="s">
        <v>335</v>
      </c>
    </row>
    <row r="37" spans="1:2" x14ac:dyDescent="0.25">
      <c r="A37" s="599">
        <v>44635</v>
      </c>
      <c r="B37" s="604"/>
    </row>
    <row r="38" spans="1:2" x14ac:dyDescent="0.25">
      <c r="A38" s="599">
        <v>44636</v>
      </c>
      <c r="B38" s="604"/>
    </row>
    <row r="39" spans="1:2" x14ac:dyDescent="0.25">
      <c r="A39" s="599">
        <v>44637</v>
      </c>
      <c r="B39" s="604"/>
    </row>
    <row r="40" spans="1:2" x14ac:dyDescent="0.25">
      <c r="A40" s="599">
        <v>44638</v>
      </c>
      <c r="B40" s="604"/>
    </row>
    <row r="41" spans="1:2" x14ac:dyDescent="0.25">
      <c r="A41" s="599">
        <v>44639</v>
      </c>
      <c r="B41" s="604"/>
    </row>
    <row r="42" spans="1:2" x14ac:dyDescent="0.25">
      <c r="A42" s="599">
        <v>44640</v>
      </c>
      <c r="B42" s="605"/>
    </row>
    <row r="43" spans="1:2" x14ac:dyDescent="0.25">
      <c r="A43" s="599">
        <v>44641</v>
      </c>
      <c r="B43" s="524"/>
    </row>
    <row r="44" spans="1:2" x14ac:dyDescent="0.25">
      <c r="A44" s="599">
        <v>44642</v>
      </c>
      <c r="B44" s="524"/>
    </row>
    <row r="45" spans="1:2" x14ac:dyDescent="0.25">
      <c r="A45" s="599">
        <v>44643</v>
      </c>
      <c r="B45" s="524"/>
    </row>
    <row r="46" spans="1:2" x14ac:dyDescent="0.25">
      <c r="A46" s="599">
        <v>44644</v>
      </c>
      <c r="B46" s="524"/>
    </row>
    <row r="47" spans="1:2" x14ac:dyDescent="0.25">
      <c r="A47" s="599">
        <v>44645</v>
      </c>
      <c r="B47" s="524"/>
    </row>
    <row r="48" spans="1:2" x14ac:dyDescent="0.25">
      <c r="A48" s="599">
        <v>44646</v>
      </c>
      <c r="B48" s="524"/>
    </row>
    <row r="49" spans="1:2" x14ac:dyDescent="0.25">
      <c r="A49" s="599">
        <v>44647</v>
      </c>
      <c r="B49" s="524"/>
    </row>
    <row r="50" spans="1:2" x14ac:dyDescent="0.25">
      <c r="A50" s="599">
        <v>44648</v>
      </c>
      <c r="B50" s="524"/>
    </row>
    <row r="51" spans="1:2" x14ac:dyDescent="0.25">
      <c r="A51" s="599">
        <v>44649</v>
      </c>
      <c r="B51" s="524"/>
    </row>
    <row r="52" spans="1:2" x14ac:dyDescent="0.25">
      <c r="A52" s="599">
        <v>44650</v>
      </c>
      <c r="B52" s="524"/>
    </row>
    <row r="53" spans="1:2" x14ac:dyDescent="0.25">
      <c r="A53" s="599">
        <v>44651</v>
      </c>
      <c r="B53" s="524"/>
    </row>
    <row r="54" spans="1:2" x14ac:dyDescent="0.25">
      <c r="A54" s="599">
        <v>44652</v>
      </c>
      <c r="B54" s="524"/>
    </row>
    <row r="55" spans="1:2" x14ac:dyDescent="0.25">
      <c r="A55" s="599">
        <v>44653</v>
      </c>
      <c r="B55" s="524"/>
    </row>
    <row r="56" spans="1:2" ht="15.75" thickBot="1" x14ac:dyDescent="0.3">
      <c r="A56" s="601">
        <v>44654</v>
      </c>
      <c r="B56" s="602"/>
    </row>
  </sheetData>
  <mergeCells count="5">
    <mergeCell ref="D7:D8"/>
    <mergeCell ref="E7:E8"/>
    <mergeCell ref="D11:D12"/>
    <mergeCell ref="E11:E12"/>
    <mergeCell ref="B36:B42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4081-E44D-4194-89D2-562266D81372}">
  <dimension ref="A1:I33"/>
  <sheetViews>
    <sheetView topLeftCell="A13" zoomScale="120" zoomScaleNormal="120" workbookViewId="0">
      <selection activeCell="F6" sqref="F6"/>
    </sheetView>
    <sheetView workbookViewId="1"/>
    <sheetView workbookViewId="2"/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25.28515625" customWidth="1"/>
    <col min="6" max="6" width="13.7109375" bestFit="1" customWidth="1"/>
    <col min="7" max="7" width="12.140625" bestFit="1" customWidth="1"/>
    <col min="8" max="8" width="15.85546875" bestFit="1" customWidth="1"/>
    <col min="9" max="9" width="13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/>
      <c r="C6" s="460"/>
      <c r="D6" s="536">
        <f>+D5/26</f>
        <v>89.230769230769226</v>
      </c>
      <c r="E6" s="541">
        <v>6</v>
      </c>
      <c r="F6" s="542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350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351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0">
        <f>D15/10</f>
        <v>2592</v>
      </c>
    </row>
    <row r="17" spans="1:9" ht="16.5" thickTop="1" thickBot="1" x14ac:dyDescent="0.3">
      <c r="A17" s="459" t="s">
        <v>141</v>
      </c>
      <c r="B17" s="460"/>
      <c r="C17" s="529"/>
      <c r="D17" s="531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x14ac:dyDescent="0.25">
      <c r="A21" s="260" t="s">
        <v>336</v>
      </c>
      <c r="E21" s="532" t="s">
        <v>337</v>
      </c>
      <c r="F21" s="533" t="s">
        <v>338</v>
      </c>
      <c r="G21" s="533" t="s">
        <v>141</v>
      </c>
      <c r="H21" s="533" t="s">
        <v>339</v>
      </c>
      <c r="I21" s="537" t="s">
        <v>345</v>
      </c>
    </row>
    <row r="22" spans="1:9" ht="15.75" thickBot="1" x14ac:dyDescent="0.3">
      <c r="E22" s="527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6">
        <v>2200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36">
        <f>D23/26</f>
        <v>84.615384615384613</v>
      </c>
      <c r="E24" s="531">
        <f>D17</f>
        <v>86.4</v>
      </c>
      <c r="F24" s="470" t="str">
        <f>IF(D17&gt;D24,"OUI","NON")</f>
        <v>OUI</v>
      </c>
      <c r="G24" s="528">
        <f>E24-D24</f>
        <v>1.7846153846153925</v>
      </c>
      <c r="H24" s="470">
        <v>24</v>
      </c>
      <c r="I24" s="538">
        <f>H24*G24</f>
        <v>42.83076923076942</v>
      </c>
    </row>
    <row r="26" spans="1:9" x14ac:dyDescent="0.25">
      <c r="E26" s="534"/>
      <c r="F26" s="535"/>
      <c r="G26" s="534"/>
      <c r="H26" s="535"/>
    </row>
    <row r="27" spans="1:9" ht="15.75" thickBot="1" x14ac:dyDescent="0.3">
      <c r="A27" s="260" t="s">
        <v>340</v>
      </c>
    </row>
    <row r="28" spans="1:9" ht="15.75" thickBot="1" x14ac:dyDescent="0.3">
      <c r="E28" s="532" t="s">
        <v>337</v>
      </c>
      <c r="F28" s="533" t="s">
        <v>338</v>
      </c>
      <c r="G28" s="533" t="s">
        <v>141</v>
      </c>
      <c r="H28" s="533" t="s">
        <v>339</v>
      </c>
      <c r="I28" s="537" t="s">
        <v>345</v>
      </c>
    </row>
    <row r="29" spans="1:9" ht="15.75" thickBot="1" x14ac:dyDescent="0.3">
      <c r="A29" s="450" t="s">
        <v>292</v>
      </c>
      <c r="B29" s="257"/>
      <c r="C29" s="257"/>
      <c r="D29" s="262">
        <v>2320</v>
      </c>
      <c r="E29" s="527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1">
        <f>D29/26</f>
        <v>89.230769230769226</v>
      </c>
      <c r="E30" s="531">
        <f>D17</f>
        <v>86.4</v>
      </c>
      <c r="F30" s="397" t="str">
        <f>IF(D17&gt;D30,"OUI","NON")</f>
        <v>NON</v>
      </c>
      <c r="G30" s="528">
        <f>IF(F30="NON",0,D17-D30)</f>
        <v>0</v>
      </c>
      <c r="H30" s="258">
        <v>6</v>
      </c>
      <c r="I30" s="539">
        <f>H30*G30</f>
        <v>0</v>
      </c>
    </row>
    <row r="31" spans="1:9" ht="20.25" thickTop="1" thickBot="1" x14ac:dyDescent="0.35">
      <c r="I31" s="540">
        <f>SUM(I24:I30)</f>
        <v>42.83076923076942</v>
      </c>
    </row>
    <row r="32" spans="1:9" ht="15.75" thickTop="1" x14ac:dyDescent="0.25"/>
    <row r="33" spans="2:7" x14ac:dyDescent="0.25">
      <c r="B33" s="544" t="s">
        <v>352</v>
      </c>
      <c r="C33" s="543"/>
      <c r="D33" s="543"/>
      <c r="E33" s="543"/>
      <c r="F33" s="543"/>
      <c r="G33" s="54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6B35-5340-4644-9B98-3BEE88F642BF}">
  <sheetPr>
    <tabColor rgb="FFFF0000"/>
  </sheetPr>
  <dimension ref="A6:P96"/>
  <sheetViews>
    <sheetView topLeftCell="A58" workbookViewId="0">
      <selection activeCell="H66" sqref="H66"/>
    </sheetView>
    <sheetView workbookViewId="1"/>
    <sheetView workbookViewId="2"/>
  </sheetViews>
  <sheetFormatPr baseColWidth="10" defaultRowHeight="15" x14ac:dyDescent="0.25"/>
  <cols>
    <col min="1" max="1" width="21.42578125" style="469" customWidth="1"/>
    <col min="2" max="2" width="12.85546875" style="469" bestFit="1" customWidth="1"/>
    <col min="3" max="3" width="12.5703125" style="469" bestFit="1" customWidth="1"/>
    <col min="4" max="5" width="16.7109375" style="469" bestFit="1" customWidth="1"/>
    <col min="6" max="6" width="12.28515625" style="469" bestFit="1" customWidth="1"/>
    <col min="7" max="7" width="12.85546875" style="469" customWidth="1"/>
    <col min="8" max="8" width="12" style="469" bestFit="1" customWidth="1"/>
    <col min="9" max="9" width="13.7109375" style="469" customWidth="1"/>
    <col min="10" max="10" width="14.42578125" style="469" customWidth="1"/>
    <col min="11" max="11" width="11.85546875" style="469" bestFit="1" customWidth="1"/>
    <col min="12" max="12" width="11.5703125" style="469" bestFit="1" customWidth="1"/>
    <col min="13" max="13" width="11.42578125" style="469"/>
    <col min="14" max="14" width="17.140625" style="469" customWidth="1"/>
    <col min="15" max="15" width="11.42578125" style="469"/>
    <col min="16" max="16" width="19" style="469" customWidth="1"/>
    <col min="17" max="16384" width="11.42578125" style="469"/>
  </cols>
  <sheetData>
    <row r="6" spans="1:8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</row>
    <row r="8" spans="1:8" ht="18.75" x14ac:dyDescent="0.25">
      <c r="A8" s="185" t="s">
        <v>162</v>
      </c>
      <c r="D8" s="186">
        <v>3428</v>
      </c>
    </row>
    <row r="9" spans="1:8" ht="15.75" thickBot="1" x14ac:dyDescent="0.3"/>
    <row r="10" spans="1:8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8" ht="19.5" customHeight="1" x14ac:dyDescent="0.25">
      <c r="A11" s="187">
        <v>117610</v>
      </c>
      <c r="B11" s="238"/>
      <c r="C11" s="238">
        <f>B11</f>
        <v>0</v>
      </c>
      <c r="D11" s="238">
        <f>D8</f>
        <v>3428</v>
      </c>
      <c r="E11" s="238">
        <f>D11</f>
        <v>3428</v>
      </c>
      <c r="F11" s="238">
        <f t="shared" ref="F11:F22" si="0">MIN(C11,E11)</f>
        <v>0</v>
      </c>
      <c r="G11" s="238">
        <f>F11</f>
        <v>0</v>
      </c>
      <c r="H11" s="253">
        <f t="shared" ref="H11:H22" si="1">B11-G11</f>
        <v>0</v>
      </c>
    </row>
    <row r="12" spans="1:8" ht="19.5" customHeight="1" x14ac:dyDescent="0.25">
      <c r="A12" s="187">
        <v>117641</v>
      </c>
      <c r="B12" s="238"/>
      <c r="C12" s="238">
        <f>C11+B12</f>
        <v>0</v>
      </c>
      <c r="D12" s="238">
        <f>D11</f>
        <v>3428</v>
      </c>
      <c r="E12" s="238">
        <f>E11+D12</f>
        <v>6856</v>
      </c>
      <c r="F12" s="254">
        <f t="shared" si="0"/>
        <v>0</v>
      </c>
      <c r="G12" s="255">
        <f>F12-F11</f>
        <v>0</v>
      </c>
      <c r="H12" s="253">
        <f t="shared" si="1"/>
        <v>0</v>
      </c>
    </row>
    <row r="13" spans="1:8" ht="19.5" customHeight="1" x14ac:dyDescent="0.25">
      <c r="A13" s="187">
        <v>117669</v>
      </c>
      <c r="B13" s="238"/>
      <c r="C13" s="238">
        <f>C12+B13</f>
        <v>0</v>
      </c>
      <c r="D13" s="238">
        <f t="shared" ref="D13:D22" si="2">$D$8</f>
        <v>3428</v>
      </c>
      <c r="E13" s="238">
        <f t="shared" ref="E13:E22" si="3">E12+D13</f>
        <v>10284</v>
      </c>
      <c r="F13" s="238">
        <f t="shared" si="0"/>
        <v>0</v>
      </c>
      <c r="G13" s="238">
        <f>F13-F12</f>
        <v>0</v>
      </c>
      <c r="H13" s="253">
        <f t="shared" si="1"/>
        <v>0</v>
      </c>
    </row>
    <row r="14" spans="1:8" ht="19.5" customHeight="1" x14ac:dyDescent="0.25">
      <c r="A14" s="187">
        <v>117700</v>
      </c>
      <c r="B14" s="238"/>
      <c r="C14" s="238">
        <f t="shared" ref="C14:C22" si="4">C13+B14</f>
        <v>0</v>
      </c>
      <c r="D14" s="238">
        <f t="shared" si="2"/>
        <v>3428</v>
      </c>
      <c r="E14" s="238">
        <f t="shared" si="3"/>
        <v>13712</v>
      </c>
      <c r="F14" s="238">
        <f t="shared" si="0"/>
        <v>0</v>
      </c>
      <c r="G14" s="238">
        <f t="shared" ref="G14:G22" si="5">F14-F13</f>
        <v>0</v>
      </c>
      <c r="H14" s="253">
        <f t="shared" si="1"/>
        <v>0</v>
      </c>
    </row>
    <row r="15" spans="1:8" ht="19.5" customHeight="1" x14ac:dyDescent="0.25">
      <c r="A15" s="187">
        <v>117730</v>
      </c>
      <c r="B15" s="238"/>
      <c r="C15" s="238">
        <f t="shared" si="4"/>
        <v>0</v>
      </c>
      <c r="D15" s="238">
        <f t="shared" si="2"/>
        <v>3428</v>
      </c>
      <c r="E15" s="238">
        <f t="shared" si="3"/>
        <v>17140</v>
      </c>
      <c r="F15" s="238">
        <f t="shared" si="0"/>
        <v>0</v>
      </c>
      <c r="G15" s="238">
        <f t="shared" si="5"/>
        <v>0</v>
      </c>
      <c r="H15" s="253">
        <f t="shared" si="1"/>
        <v>0</v>
      </c>
    </row>
    <row r="16" spans="1:8" ht="19.5" customHeight="1" x14ac:dyDescent="0.25">
      <c r="A16" s="187">
        <v>117761</v>
      </c>
      <c r="B16" s="238"/>
      <c r="C16" s="238">
        <f t="shared" si="4"/>
        <v>0</v>
      </c>
      <c r="D16" s="238">
        <f t="shared" si="2"/>
        <v>3428</v>
      </c>
      <c r="E16" s="238">
        <f t="shared" si="3"/>
        <v>20568</v>
      </c>
      <c r="F16" s="238">
        <f t="shared" si="0"/>
        <v>0</v>
      </c>
      <c r="G16" s="238">
        <f t="shared" si="5"/>
        <v>0</v>
      </c>
      <c r="H16" s="253">
        <f t="shared" si="1"/>
        <v>0</v>
      </c>
    </row>
    <row r="17" spans="1:16" ht="19.5" customHeight="1" x14ac:dyDescent="0.25">
      <c r="A17" s="187">
        <v>117791</v>
      </c>
      <c r="B17" s="238"/>
      <c r="C17" s="238">
        <f t="shared" si="4"/>
        <v>0</v>
      </c>
      <c r="D17" s="238">
        <f t="shared" si="2"/>
        <v>3428</v>
      </c>
      <c r="E17" s="238">
        <f t="shared" si="3"/>
        <v>23996</v>
      </c>
      <c r="F17" s="238">
        <f t="shared" si="0"/>
        <v>0</v>
      </c>
      <c r="G17" s="238">
        <f t="shared" si="5"/>
        <v>0</v>
      </c>
      <c r="H17" s="253">
        <f t="shared" si="1"/>
        <v>0</v>
      </c>
    </row>
    <row r="18" spans="1:16" ht="19.5" customHeight="1" x14ac:dyDescent="0.25">
      <c r="A18" s="187">
        <v>117822</v>
      </c>
      <c r="B18" s="238"/>
      <c r="C18" s="238">
        <f t="shared" si="4"/>
        <v>0</v>
      </c>
      <c r="D18" s="238">
        <f t="shared" si="2"/>
        <v>3428</v>
      </c>
      <c r="E18" s="238">
        <f t="shared" si="3"/>
        <v>27424</v>
      </c>
      <c r="F18" s="238">
        <f t="shared" si="0"/>
        <v>0</v>
      </c>
      <c r="G18" s="238">
        <f t="shared" si="5"/>
        <v>0</v>
      </c>
      <c r="H18" s="253">
        <f t="shared" si="1"/>
        <v>0</v>
      </c>
    </row>
    <row r="19" spans="1:16" ht="19.5" customHeight="1" x14ac:dyDescent="0.25">
      <c r="A19" s="187">
        <v>117853</v>
      </c>
      <c r="B19" s="238"/>
      <c r="C19" s="238">
        <f t="shared" si="4"/>
        <v>0</v>
      </c>
      <c r="D19" s="238">
        <f t="shared" si="2"/>
        <v>3428</v>
      </c>
      <c r="E19" s="238">
        <f t="shared" si="3"/>
        <v>30852</v>
      </c>
      <c r="F19" s="238">
        <f t="shared" si="0"/>
        <v>0</v>
      </c>
      <c r="G19" s="238">
        <f t="shared" si="5"/>
        <v>0</v>
      </c>
      <c r="H19" s="253">
        <f t="shared" si="1"/>
        <v>0</v>
      </c>
    </row>
    <row r="20" spans="1:16" ht="19.5" customHeight="1" x14ac:dyDescent="0.25">
      <c r="A20" s="187">
        <v>117883</v>
      </c>
      <c r="B20" s="238"/>
      <c r="C20" s="238">
        <f t="shared" si="4"/>
        <v>0</v>
      </c>
      <c r="D20" s="238">
        <f t="shared" si="2"/>
        <v>3428</v>
      </c>
      <c r="E20" s="238">
        <f t="shared" si="3"/>
        <v>34280</v>
      </c>
      <c r="F20" s="238">
        <f t="shared" si="0"/>
        <v>0</v>
      </c>
      <c r="G20" s="238">
        <f t="shared" si="5"/>
        <v>0</v>
      </c>
      <c r="H20" s="253">
        <f t="shared" si="1"/>
        <v>0</v>
      </c>
    </row>
    <row r="21" spans="1:16" ht="19.5" customHeight="1" x14ac:dyDescent="0.25">
      <c r="A21" s="187">
        <v>117914</v>
      </c>
      <c r="B21" s="238"/>
      <c r="C21" s="238">
        <f t="shared" si="4"/>
        <v>0</v>
      </c>
      <c r="D21" s="238">
        <f t="shared" si="2"/>
        <v>3428</v>
      </c>
      <c r="E21" s="238">
        <f t="shared" si="3"/>
        <v>37708</v>
      </c>
      <c r="F21" s="238">
        <f t="shared" si="0"/>
        <v>0</v>
      </c>
      <c r="G21" s="238">
        <f t="shared" si="5"/>
        <v>0</v>
      </c>
      <c r="H21" s="253">
        <f t="shared" si="1"/>
        <v>0</v>
      </c>
    </row>
    <row r="22" spans="1:16" ht="19.5" customHeight="1" thickBot="1" x14ac:dyDescent="0.3">
      <c r="A22" s="189">
        <v>117944</v>
      </c>
      <c r="B22" s="239"/>
      <c r="C22" s="239">
        <f t="shared" si="4"/>
        <v>0</v>
      </c>
      <c r="D22" s="239">
        <f t="shared" si="2"/>
        <v>3428</v>
      </c>
      <c r="E22" s="239">
        <f t="shared" si="3"/>
        <v>41136</v>
      </c>
      <c r="F22" s="239">
        <f t="shared" si="0"/>
        <v>0</v>
      </c>
      <c r="G22" s="239">
        <f t="shared" si="5"/>
        <v>0</v>
      </c>
      <c r="H22" s="256">
        <f t="shared" si="1"/>
        <v>0</v>
      </c>
    </row>
    <row r="23" spans="1:16" x14ac:dyDescent="0.25">
      <c r="A23" s="190"/>
      <c r="B23" s="191"/>
      <c r="C23" s="192"/>
      <c r="D23" s="192"/>
      <c r="E23" s="192"/>
      <c r="F23" s="192"/>
      <c r="G23" s="192"/>
      <c r="H23" s="192"/>
    </row>
    <row r="24" spans="1:16" x14ac:dyDescent="0.25">
      <c r="A24" s="190"/>
      <c r="B24" s="191"/>
      <c r="C24" s="192"/>
      <c r="D24" s="192"/>
      <c r="E24" s="192"/>
      <c r="F24" s="192"/>
      <c r="G24" s="192"/>
      <c r="H24" s="192"/>
    </row>
    <row r="26" spans="1:16" ht="23.25" x14ac:dyDescent="0.25">
      <c r="A26" s="183" t="s">
        <v>169</v>
      </c>
      <c r="B26" s="184"/>
      <c r="C26" s="184"/>
      <c r="D26" s="184"/>
      <c r="E26" s="184"/>
      <c r="F26" s="184"/>
    </row>
    <row r="27" spans="1:16" ht="15.75" thickBot="1" x14ac:dyDescent="0.3"/>
    <row r="28" spans="1:16" ht="15.75" thickBot="1" x14ac:dyDescent="0.3">
      <c r="L28" s="247" t="s">
        <v>189</v>
      </c>
      <c r="M28" s="248"/>
      <c r="N28" s="248"/>
      <c r="O28" s="248"/>
      <c r="P28" s="249"/>
    </row>
    <row r="29" spans="1:16" ht="60" x14ac:dyDescent="0.25">
      <c r="A29" s="193"/>
      <c r="B29" s="240" t="s">
        <v>107</v>
      </c>
      <c r="C29" s="194" t="s">
        <v>163</v>
      </c>
      <c r="D29" s="241" t="s">
        <v>154</v>
      </c>
      <c r="E29" s="195" t="s">
        <v>170</v>
      </c>
      <c r="F29" s="195" t="s">
        <v>171</v>
      </c>
      <c r="G29" s="195" t="s">
        <v>185</v>
      </c>
      <c r="H29" s="196" t="s">
        <v>172</v>
      </c>
      <c r="I29" s="196" t="s">
        <v>173</v>
      </c>
      <c r="J29" s="197" t="s">
        <v>186</v>
      </c>
      <c r="L29" s="5" t="s">
        <v>190</v>
      </c>
      <c r="M29" s="175" t="s">
        <v>191</v>
      </c>
      <c r="N29" s="175" t="s">
        <v>192</v>
      </c>
      <c r="O29" s="175" t="s">
        <v>193</v>
      </c>
      <c r="P29" s="197" t="s">
        <v>186</v>
      </c>
    </row>
    <row r="30" spans="1:16" ht="19.5" customHeight="1" x14ac:dyDescent="0.25">
      <c r="A30" s="187">
        <v>43831</v>
      </c>
      <c r="B30" s="188">
        <f>B11</f>
        <v>0</v>
      </c>
      <c r="C30" s="198">
        <f>B30</f>
        <v>0</v>
      </c>
      <c r="D30" s="198"/>
      <c r="E30" s="198">
        <f>2.5*D30</f>
        <v>0</v>
      </c>
      <c r="F30" s="198">
        <f>E30</f>
        <v>0</v>
      </c>
      <c r="G30" s="199">
        <f t="shared" ref="G30:G41" si="6">B30</f>
        <v>0</v>
      </c>
      <c r="H30" s="251" t="str">
        <f t="shared" ref="H30:H41" si="7">IF(C30&gt;F30,C30,"0")</f>
        <v>0</v>
      </c>
      <c r="I30" s="250" t="str">
        <f>H30</f>
        <v>0</v>
      </c>
      <c r="J30" s="201">
        <f t="shared" ref="J30:J41" si="8">(B30*7%)+(I30*6%)</f>
        <v>0</v>
      </c>
      <c r="L30" s="243">
        <f t="shared" ref="L30:L41" si="9">B30</f>
        <v>0</v>
      </c>
      <c r="M30" s="220">
        <f>L30*7%</f>
        <v>0</v>
      </c>
      <c r="N30" s="252" t="str">
        <f>I30</f>
        <v>0</v>
      </c>
      <c r="O30" s="220">
        <f>N30*6%</f>
        <v>0</v>
      </c>
      <c r="P30" s="244">
        <f>O30+M30</f>
        <v>0</v>
      </c>
    </row>
    <row r="31" spans="1:16" ht="19.5" customHeight="1" x14ac:dyDescent="0.25">
      <c r="A31" s="187">
        <v>43862</v>
      </c>
      <c r="B31" s="188">
        <f t="shared" ref="B31:B41" si="10">B12</f>
        <v>0</v>
      </c>
      <c r="C31" s="198">
        <f>C30+B31</f>
        <v>0</v>
      </c>
      <c r="D31" s="198"/>
      <c r="E31" s="198">
        <f t="shared" ref="E31:E41" si="11">2.5*D31</f>
        <v>0</v>
      </c>
      <c r="F31" s="198">
        <f>F30+E31</f>
        <v>0</v>
      </c>
      <c r="G31" s="199">
        <f t="shared" si="6"/>
        <v>0</v>
      </c>
      <c r="H31" s="251" t="str">
        <f t="shared" si="7"/>
        <v>0</v>
      </c>
      <c r="I31" s="199">
        <f>H31-H30</f>
        <v>0</v>
      </c>
      <c r="J31" s="201">
        <f t="shared" si="8"/>
        <v>0</v>
      </c>
      <c r="L31" s="243">
        <f t="shared" si="9"/>
        <v>0</v>
      </c>
      <c r="M31" s="220">
        <f t="shared" ref="M31:M41" si="12">L31*7%</f>
        <v>0</v>
      </c>
      <c r="N31" s="220">
        <f t="shared" ref="N31:N41" si="13">I31</f>
        <v>0</v>
      </c>
      <c r="O31" s="220">
        <f t="shared" ref="O31:O41" si="14">N31*6%</f>
        <v>0</v>
      </c>
      <c r="P31" s="244">
        <f t="shared" ref="P31:P41" si="15">O31+M31</f>
        <v>0</v>
      </c>
    </row>
    <row r="32" spans="1:16" ht="19.5" customHeight="1" x14ac:dyDescent="0.25">
      <c r="A32" s="187">
        <v>43891</v>
      </c>
      <c r="B32" s="188">
        <f t="shared" si="10"/>
        <v>0</v>
      </c>
      <c r="C32" s="198">
        <f>C31+B32</f>
        <v>0</v>
      </c>
      <c r="D32" s="198"/>
      <c r="E32" s="198">
        <f t="shared" si="11"/>
        <v>0</v>
      </c>
      <c r="F32" s="198">
        <f t="shared" ref="F32:F41" si="16">F31+E32</f>
        <v>0</v>
      </c>
      <c r="G32" s="199">
        <f t="shared" si="6"/>
        <v>0</v>
      </c>
      <c r="H32" s="251" t="str">
        <f t="shared" si="7"/>
        <v>0</v>
      </c>
      <c r="I32" s="199">
        <f t="shared" ref="I32:I41" si="17">H32-H31</f>
        <v>0</v>
      </c>
      <c r="J32" s="201">
        <f t="shared" si="8"/>
        <v>0</v>
      </c>
      <c r="L32" s="243">
        <f t="shared" si="9"/>
        <v>0</v>
      </c>
      <c r="M32" s="220">
        <f t="shared" si="12"/>
        <v>0</v>
      </c>
      <c r="N32" s="220">
        <f t="shared" si="13"/>
        <v>0</v>
      </c>
      <c r="O32" s="220">
        <f t="shared" si="14"/>
        <v>0</v>
      </c>
      <c r="P32" s="244">
        <f t="shared" si="15"/>
        <v>0</v>
      </c>
    </row>
    <row r="33" spans="1:16" ht="19.5" customHeight="1" x14ac:dyDescent="0.25">
      <c r="A33" s="187">
        <v>43922</v>
      </c>
      <c r="B33" s="188">
        <f t="shared" si="10"/>
        <v>0</v>
      </c>
      <c r="C33" s="198">
        <f>C32+B33</f>
        <v>0</v>
      </c>
      <c r="D33" s="198"/>
      <c r="E33" s="198">
        <f t="shared" si="11"/>
        <v>0</v>
      </c>
      <c r="F33" s="198">
        <f t="shared" si="16"/>
        <v>0</v>
      </c>
      <c r="G33" s="199">
        <f t="shared" si="6"/>
        <v>0</v>
      </c>
      <c r="H33" s="251" t="str">
        <f t="shared" si="7"/>
        <v>0</v>
      </c>
      <c r="I33" s="199">
        <f t="shared" si="17"/>
        <v>0</v>
      </c>
      <c r="J33" s="201">
        <f t="shared" si="8"/>
        <v>0</v>
      </c>
      <c r="L33" s="243">
        <f t="shared" si="9"/>
        <v>0</v>
      </c>
      <c r="M33" s="220">
        <f t="shared" si="12"/>
        <v>0</v>
      </c>
      <c r="N33" s="220">
        <f t="shared" si="13"/>
        <v>0</v>
      </c>
      <c r="O33" s="220">
        <f t="shared" si="14"/>
        <v>0</v>
      </c>
      <c r="P33" s="244">
        <f t="shared" si="15"/>
        <v>0</v>
      </c>
    </row>
    <row r="34" spans="1:16" ht="19.5" customHeight="1" x14ac:dyDescent="0.25">
      <c r="A34" s="187">
        <v>43952</v>
      </c>
      <c r="B34" s="188">
        <f t="shared" si="10"/>
        <v>0</v>
      </c>
      <c r="C34" s="198">
        <f>C33+B34</f>
        <v>0</v>
      </c>
      <c r="D34" s="198"/>
      <c r="E34" s="198">
        <f t="shared" si="11"/>
        <v>0</v>
      </c>
      <c r="F34" s="198">
        <f t="shared" si="16"/>
        <v>0</v>
      </c>
      <c r="G34" s="199">
        <f t="shared" si="6"/>
        <v>0</v>
      </c>
      <c r="H34" s="200" t="str">
        <f t="shared" si="7"/>
        <v>0</v>
      </c>
      <c r="I34" s="199">
        <f>H34-H33</f>
        <v>0</v>
      </c>
      <c r="J34" s="201">
        <f t="shared" si="8"/>
        <v>0</v>
      </c>
      <c r="L34" s="243">
        <f t="shared" si="9"/>
        <v>0</v>
      </c>
      <c r="M34" s="220">
        <f t="shared" si="12"/>
        <v>0</v>
      </c>
      <c r="N34" s="220">
        <f t="shared" si="13"/>
        <v>0</v>
      </c>
      <c r="O34" s="220">
        <f t="shared" si="14"/>
        <v>0</v>
      </c>
      <c r="P34" s="244">
        <f t="shared" si="15"/>
        <v>0</v>
      </c>
    </row>
    <row r="35" spans="1:16" ht="19.5" customHeight="1" x14ac:dyDescent="0.25">
      <c r="A35" s="187">
        <v>43983</v>
      </c>
      <c r="B35" s="188">
        <f t="shared" si="10"/>
        <v>0</v>
      </c>
      <c r="C35" s="198">
        <f t="shared" ref="C35:C39" si="18">C34+B35</f>
        <v>0</v>
      </c>
      <c r="D35" s="198"/>
      <c r="E35" s="198">
        <f t="shared" si="11"/>
        <v>0</v>
      </c>
      <c r="F35" s="198">
        <f t="shared" si="16"/>
        <v>0</v>
      </c>
      <c r="G35" s="199">
        <f t="shared" si="6"/>
        <v>0</v>
      </c>
      <c r="H35" s="200" t="str">
        <f t="shared" si="7"/>
        <v>0</v>
      </c>
      <c r="I35" s="199">
        <f t="shared" si="17"/>
        <v>0</v>
      </c>
      <c r="J35" s="201">
        <f t="shared" si="8"/>
        <v>0</v>
      </c>
      <c r="L35" s="243">
        <f t="shared" si="9"/>
        <v>0</v>
      </c>
      <c r="M35" s="220">
        <f t="shared" si="12"/>
        <v>0</v>
      </c>
      <c r="N35" s="220">
        <f t="shared" si="13"/>
        <v>0</v>
      </c>
      <c r="O35" s="220">
        <f t="shared" si="14"/>
        <v>0</v>
      </c>
      <c r="P35" s="244">
        <f t="shared" si="15"/>
        <v>0</v>
      </c>
    </row>
    <row r="36" spans="1:16" ht="19.5" customHeight="1" x14ac:dyDescent="0.25">
      <c r="A36" s="187">
        <v>44013</v>
      </c>
      <c r="B36" s="188">
        <f t="shared" si="10"/>
        <v>0</v>
      </c>
      <c r="C36" s="198">
        <f t="shared" si="18"/>
        <v>0</v>
      </c>
      <c r="D36" s="198"/>
      <c r="E36" s="198">
        <f t="shared" si="11"/>
        <v>0</v>
      </c>
      <c r="F36" s="198">
        <f t="shared" si="16"/>
        <v>0</v>
      </c>
      <c r="G36" s="199">
        <f t="shared" si="6"/>
        <v>0</v>
      </c>
      <c r="H36" s="200" t="str">
        <f t="shared" si="7"/>
        <v>0</v>
      </c>
      <c r="I36" s="199">
        <f t="shared" si="17"/>
        <v>0</v>
      </c>
      <c r="J36" s="201">
        <f t="shared" si="8"/>
        <v>0</v>
      </c>
      <c r="L36" s="243">
        <f t="shared" si="9"/>
        <v>0</v>
      </c>
      <c r="M36" s="220">
        <f t="shared" si="12"/>
        <v>0</v>
      </c>
      <c r="N36" s="220">
        <f t="shared" si="13"/>
        <v>0</v>
      </c>
      <c r="O36" s="220">
        <f t="shared" si="14"/>
        <v>0</v>
      </c>
      <c r="P36" s="244">
        <f t="shared" si="15"/>
        <v>0</v>
      </c>
    </row>
    <row r="37" spans="1:16" ht="19.5" customHeight="1" x14ac:dyDescent="0.25">
      <c r="A37" s="187">
        <v>44044</v>
      </c>
      <c r="B37" s="188">
        <f t="shared" si="10"/>
        <v>0</v>
      </c>
      <c r="C37" s="198">
        <f t="shared" si="18"/>
        <v>0</v>
      </c>
      <c r="D37" s="198"/>
      <c r="E37" s="198">
        <f t="shared" si="11"/>
        <v>0</v>
      </c>
      <c r="F37" s="198">
        <f t="shared" si="16"/>
        <v>0</v>
      </c>
      <c r="G37" s="199">
        <f t="shared" si="6"/>
        <v>0</v>
      </c>
      <c r="H37" s="200" t="str">
        <f t="shared" si="7"/>
        <v>0</v>
      </c>
      <c r="I37" s="199">
        <f t="shared" si="17"/>
        <v>0</v>
      </c>
      <c r="J37" s="201">
        <f t="shared" si="8"/>
        <v>0</v>
      </c>
      <c r="L37" s="243">
        <f t="shared" si="9"/>
        <v>0</v>
      </c>
      <c r="M37" s="220">
        <f t="shared" si="12"/>
        <v>0</v>
      </c>
      <c r="N37" s="220">
        <f t="shared" si="13"/>
        <v>0</v>
      </c>
      <c r="O37" s="220">
        <f t="shared" si="14"/>
        <v>0</v>
      </c>
      <c r="P37" s="244">
        <f t="shared" si="15"/>
        <v>0</v>
      </c>
    </row>
    <row r="38" spans="1:16" ht="19.5" customHeight="1" x14ac:dyDescent="0.25">
      <c r="A38" s="187">
        <v>44075</v>
      </c>
      <c r="B38" s="188">
        <f t="shared" si="10"/>
        <v>0</v>
      </c>
      <c r="C38" s="198">
        <f t="shared" si="18"/>
        <v>0</v>
      </c>
      <c r="D38" s="198"/>
      <c r="E38" s="198">
        <f t="shared" si="11"/>
        <v>0</v>
      </c>
      <c r="F38" s="198">
        <f t="shared" si="16"/>
        <v>0</v>
      </c>
      <c r="G38" s="199">
        <f t="shared" si="6"/>
        <v>0</v>
      </c>
      <c r="H38" s="200" t="str">
        <f t="shared" si="7"/>
        <v>0</v>
      </c>
      <c r="I38" s="199">
        <f t="shared" si="17"/>
        <v>0</v>
      </c>
      <c r="J38" s="201">
        <f t="shared" si="8"/>
        <v>0</v>
      </c>
      <c r="L38" s="243">
        <f t="shared" si="9"/>
        <v>0</v>
      </c>
      <c r="M38" s="220">
        <f t="shared" si="12"/>
        <v>0</v>
      </c>
      <c r="N38" s="220">
        <f t="shared" si="13"/>
        <v>0</v>
      </c>
      <c r="O38" s="220">
        <f t="shared" si="14"/>
        <v>0</v>
      </c>
      <c r="P38" s="244">
        <f t="shared" si="15"/>
        <v>0</v>
      </c>
    </row>
    <row r="39" spans="1:16" ht="19.5" customHeight="1" x14ac:dyDescent="0.25">
      <c r="A39" s="187">
        <v>44105</v>
      </c>
      <c r="B39" s="188">
        <f t="shared" si="10"/>
        <v>0</v>
      </c>
      <c r="C39" s="198">
        <f t="shared" si="18"/>
        <v>0</v>
      </c>
      <c r="D39" s="198"/>
      <c r="E39" s="198">
        <f t="shared" si="11"/>
        <v>0</v>
      </c>
      <c r="F39" s="198">
        <f t="shared" si="16"/>
        <v>0</v>
      </c>
      <c r="G39" s="199">
        <f t="shared" si="6"/>
        <v>0</v>
      </c>
      <c r="H39" s="200" t="str">
        <f t="shared" si="7"/>
        <v>0</v>
      </c>
      <c r="I39" s="199">
        <f t="shared" si="17"/>
        <v>0</v>
      </c>
      <c r="J39" s="201">
        <f t="shared" si="8"/>
        <v>0</v>
      </c>
      <c r="L39" s="243">
        <f t="shared" si="9"/>
        <v>0</v>
      </c>
      <c r="M39" s="220">
        <f t="shared" si="12"/>
        <v>0</v>
      </c>
      <c r="N39" s="220">
        <f t="shared" si="13"/>
        <v>0</v>
      </c>
      <c r="O39" s="220">
        <f t="shared" si="14"/>
        <v>0</v>
      </c>
      <c r="P39" s="244">
        <f t="shared" si="15"/>
        <v>0</v>
      </c>
    </row>
    <row r="40" spans="1:16" ht="19.5" customHeight="1" x14ac:dyDescent="0.25">
      <c r="A40" s="187">
        <v>44136</v>
      </c>
      <c r="B40" s="188">
        <f t="shared" si="10"/>
        <v>0</v>
      </c>
      <c r="C40" s="198">
        <f>C39+B40</f>
        <v>0</v>
      </c>
      <c r="D40" s="198"/>
      <c r="E40" s="198">
        <f t="shared" si="11"/>
        <v>0</v>
      </c>
      <c r="F40" s="198">
        <f t="shared" si="16"/>
        <v>0</v>
      </c>
      <c r="G40" s="199">
        <f t="shared" si="6"/>
        <v>0</v>
      </c>
      <c r="H40" s="200" t="str">
        <f t="shared" si="7"/>
        <v>0</v>
      </c>
      <c r="I40" s="199">
        <f t="shared" si="17"/>
        <v>0</v>
      </c>
      <c r="J40" s="201">
        <f t="shared" si="8"/>
        <v>0</v>
      </c>
      <c r="L40" s="243">
        <f t="shared" si="9"/>
        <v>0</v>
      </c>
      <c r="M40" s="220">
        <f t="shared" si="12"/>
        <v>0</v>
      </c>
      <c r="N40" s="220">
        <f t="shared" si="13"/>
        <v>0</v>
      </c>
      <c r="O40" s="220">
        <f t="shared" si="14"/>
        <v>0</v>
      </c>
      <c r="P40" s="244">
        <f t="shared" si="15"/>
        <v>0</v>
      </c>
    </row>
    <row r="41" spans="1:16" ht="19.5" customHeight="1" thickBot="1" x14ac:dyDescent="0.3">
      <c r="A41" s="189">
        <v>44166</v>
      </c>
      <c r="B41" s="188">
        <f t="shared" si="10"/>
        <v>0</v>
      </c>
      <c r="C41" s="202">
        <f t="shared" ref="C41" si="19">C40+B41</f>
        <v>0</v>
      </c>
      <c r="D41" s="202"/>
      <c r="E41" s="202">
        <f t="shared" si="11"/>
        <v>0</v>
      </c>
      <c r="F41" s="202">
        <f t="shared" si="16"/>
        <v>0</v>
      </c>
      <c r="G41" s="203">
        <f t="shared" si="6"/>
        <v>0</v>
      </c>
      <c r="H41" s="204" t="str">
        <f t="shared" si="7"/>
        <v>0</v>
      </c>
      <c r="I41" s="203">
        <f t="shared" si="17"/>
        <v>0</v>
      </c>
      <c r="J41" s="205">
        <f t="shared" si="8"/>
        <v>0</v>
      </c>
      <c r="L41" s="245">
        <f t="shared" si="9"/>
        <v>0</v>
      </c>
      <c r="M41" s="225">
        <f t="shared" si="12"/>
        <v>0</v>
      </c>
      <c r="N41" s="225">
        <f t="shared" si="13"/>
        <v>0</v>
      </c>
      <c r="O41" s="225">
        <f t="shared" si="14"/>
        <v>0</v>
      </c>
      <c r="P41" s="246">
        <f t="shared" si="15"/>
        <v>0</v>
      </c>
    </row>
    <row r="43" spans="1:16" ht="23.25" x14ac:dyDescent="0.25">
      <c r="A43" s="183" t="s">
        <v>174</v>
      </c>
      <c r="B43" s="184"/>
      <c r="C43" s="184"/>
      <c r="D43" s="184"/>
      <c r="E43" s="184"/>
      <c r="F43" s="184"/>
      <c r="G43" s="184"/>
      <c r="H43" s="184"/>
    </row>
    <row r="44" spans="1:16" ht="15.75" thickBot="1" x14ac:dyDescent="0.3"/>
    <row r="45" spans="1:16" ht="15.75" thickBot="1" x14ac:dyDescent="0.3">
      <c r="L45" s="247" t="s">
        <v>189</v>
      </c>
      <c r="M45" s="248"/>
      <c r="N45" s="248"/>
      <c r="O45" s="248"/>
      <c r="P45" s="249"/>
    </row>
    <row r="46" spans="1:16" s="178" customFormat="1" ht="60" x14ac:dyDescent="0.25">
      <c r="A46" s="206"/>
      <c r="B46" s="194" t="s">
        <v>107</v>
      </c>
      <c r="C46" s="194" t="s">
        <v>163</v>
      </c>
      <c r="D46" s="195" t="s">
        <v>154</v>
      </c>
      <c r="E46" s="195" t="s">
        <v>175</v>
      </c>
      <c r="F46" s="195" t="s">
        <v>176</v>
      </c>
      <c r="G46" s="195" t="s">
        <v>187</v>
      </c>
      <c r="H46" s="207" t="s">
        <v>177</v>
      </c>
      <c r="I46" s="175" t="s">
        <v>178</v>
      </c>
      <c r="J46" s="197" t="s">
        <v>179</v>
      </c>
      <c r="L46" s="5" t="s">
        <v>190</v>
      </c>
      <c r="M46" s="175" t="s">
        <v>194</v>
      </c>
      <c r="N46" s="175" t="s">
        <v>195</v>
      </c>
      <c r="O46" s="196" t="s">
        <v>196</v>
      </c>
      <c r="P46" s="197" t="s">
        <v>179</v>
      </c>
    </row>
    <row r="47" spans="1:16" ht="21.75" customHeight="1" x14ac:dyDescent="0.25">
      <c r="A47" s="187">
        <v>43831</v>
      </c>
      <c r="B47" s="188">
        <f>B30</f>
        <v>0</v>
      </c>
      <c r="C47" s="208">
        <f>B47</f>
        <v>0</v>
      </c>
      <c r="D47" s="198"/>
      <c r="E47" s="208">
        <f>3.5*D47</f>
        <v>0</v>
      </c>
      <c r="F47" s="208">
        <f>E47</f>
        <v>0</v>
      </c>
      <c r="G47" s="209">
        <f t="shared" ref="G47:G58" si="20">B47</f>
        <v>0</v>
      </c>
      <c r="H47" s="200" t="str">
        <f t="shared" ref="H47:H58" si="21">IF(C47&gt;F47,C47,"0")</f>
        <v>0</v>
      </c>
      <c r="I47" s="200" t="str">
        <f>H47</f>
        <v>0</v>
      </c>
      <c r="J47" s="211">
        <f t="shared" ref="J47:J58" si="22">(B47*3.45%)+(I47*1.8%)</f>
        <v>0</v>
      </c>
      <c r="L47" s="243">
        <f t="shared" ref="L47:L58" si="23">B47</f>
        <v>0</v>
      </c>
      <c r="M47" s="220">
        <f>L47*3.45%</f>
        <v>0</v>
      </c>
      <c r="N47" s="200" t="str">
        <f>I47</f>
        <v>0</v>
      </c>
      <c r="O47" s="220">
        <f>N47*1.8%</f>
        <v>0</v>
      </c>
      <c r="P47" s="244">
        <f>O47+M47</f>
        <v>0</v>
      </c>
    </row>
    <row r="48" spans="1:16" ht="21.75" customHeight="1" x14ac:dyDescent="0.25">
      <c r="A48" s="187">
        <v>43862</v>
      </c>
      <c r="B48" s="188">
        <f t="shared" ref="B48:B58" si="24">B31</f>
        <v>0</v>
      </c>
      <c r="C48" s="208">
        <f>C47+B48</f>
        <v>0</v>
      </c>
      <c r="D48" s="198"/>
      <c r="E48" s="208">
        <f t="shared" ref="E48:E58" si="25">3.5*D48</f>
        <v>0</v>
      </c>
      <c r="F48" s="208">
        <f>F47+E48</f>
        <v>0</v>
      </c>
      <c r="G48" s="209">
        <f t="shared" si="20"/>
        <v>0</v>
      </c>
      <c r="H48" s="200" t="str">
        <f t="shared" si="21"/>
        <v>0</v>
      </c>
      <c r="I48" s="212">
        <f>H48-H47</f>
        <v>0</v>
      </c>
      <c r="J48" s="211">
        <f t="shared" si="22"/>
        <v>0</v>
      </c>
      <c r="L48" s="243">
        <f t="shared" si="23"/>
        <v>0</v>
      </c>
      <c r="M48" s="220">
        <f t="shared" ref="M48:M58" si="26">L48*3.45%</f>
        <v>0</v>
      </c>
      <c r="N48" s="220">
        <f t="shared" ref="N48:N58" si="27">I48</f>
        <v>0</v>
      </c>
      <c r="O48" s="220">
        <f t="shared" ref="O48:O58" si="28">N48*1.8%</f>
        <v>0</v>
      </c>
      <c r="P48" s="244">
        <f t="shared" ref="P48:P58" si="29">O48+M48</f>
        <v>0</v>
      </c>
    </row>
    <row r="49" spans="1:16" ht="21.75" customHeight="1" x14ac:dyDescent="0.25">
      <c r="A49" s="187">
        <v>43891</v>
      </c>
      <c r="B49" s="188">
        <f t="shared" si="24"/>
        <v>0</v>
      </c>
      <c r="C49" s="208">
        <f>C48+B49</f>
        <v>0</v>
      </c>
      <c r="D49" s="198"/>
      <c r="E49" s="208">
        <f t="shared" si="25"/>
        <v>0</v>
      </c>
      <c r="F49" s="208">
        <f t="shared" ref="F49:F58" si="30">F48+E49</f>
        <v>0</v>
      </c>
      <c r="G49" s="209">
        <f t="shared" si="20"/>
        <v>0</v>
      </c>
      <c r="H49" s="200" t="str">
        <f t="shared" si="21"/>
        <v>0</v>
      </c>
      <c r="I49" s="210">
        <f t="shared" ref="I49:I58" si="31">H49-H48</f>
        <v>0</v>
      </c>
      <c r="J49" s="211">
        <f t="shared" si="22"/>
        <v>0</v>
      </c>
      <c r="L49" s="243">
        <f t="shared" si="23"/>
        <v>0</v>
      </c>
      <c r="M49" s="220">
        <f t="shared" si="26"/>
        <v>0</v>
      </c>
      <c r="N49" s="220">
        <f t="shared" si="27"/>
        <v>0</v>
      </c>
      <c r="O49" s="220">
        <f t="shared" si="28"/>
        <v>0</v>
      </c>
      <c r="P49" s="244">
        <f t="shared" si="29"/>
        <v>0</v>
      </c>
    </row>
    <row r="50" spans="1:16" ht="21.75" customHeight="1" x14ac:dyDescent="0.25">
      <c r="A50" s="187">
        <v>43922</v>
      </c>
      <c r="B50" s="188">
        <f t="shared" si="24"/>
        <v>0</v>
      </c>
      <c r="C50" s="208">
        <f>C49+B50</f>
        <v>0</v>
      </c>
      <c r="D50" s="198"/>
      <c r="E50" s="208">
        <f t="shared" si="25"/>
        <v>0</v>
      </c>
      <c r="F50" s="208">
        <f t="shared" si="30"/>
        <v>0</v>
      </c>
      <c r="G50" s="209">
        <f t="shared" si="20"/>
        <v>0</v>
      </c>
      <c r="H50" s="200" t="str">
        <f t="shared" si="21"/>
        <v>0</v>
      </c>
      <c r="I50" s="210">
        <f t="shared" si="31"/>
        <v>0</v>
      </c>
      <c r="J50" s="211">
        <f t="shared" si="22"/>
        <v>0</v>
      </c>
      <c r="L50" s="243">
        <f t="shared" si="23"/>
        <v>0</v>
      </c>
      <c r="M50" s="220">
        <f t="shared" si="26"/>
        <v>0</v>
      </c>
      <c r="N50" s="220">
        <f t="shared" si="27"/>
        <v>0</v>
      </c>
      <c r="O50" s="220">
        <f t="shared" si="28"/>
        <v>0</v>
      </c>
      <c r="P50" s="244">
        <f t="shared" si="29"/>
        <v>0</v>
      </c>
    </row>
    <row r="51" spans="1:16" ht="21.75" customHeight="1" x14ac:dyDescent="0.25">
      <c r="A51" s="187">
        <v>43952</v>
      </c>
      <c r="B51" s="188">
        <f t="shared" si="24"/>
        <v>0</v>
      </c>
      <c r="C51" s="208">
        <f>C50+B51</f>
        <v>0</v>
      </c>
      <c r="D51" s="198"/>
      <c r="E51" s="208">
        <f t="shared" si="25"/>
        <v>0</v>
      </c>
      <c r="F51" s="208">
        <f t="shared" si="30"/>
        <v>0</v>
      </c>
      <c r="G51" s="209">
        <f t="shared" si="20"/>
        <v>0</v>
      </c>
      <c r="H51" s="200" t="str">
        <f t="shared" si="21"/>
        <v>0</v>
      </c>
      <c r="I51" s="210">
        <f t="shared" si="31"/>
        <v>0</v>
      </c>
      <c r="J51" s="211">
        <f t="shared" si="22"/>
        <v>0</v>
      </c>
      <c r="L51" s="243">
        <f t="shared" si="23"/>
        <v>0</v>
      </c>
      <c r="M51" s="220">
        <f t="shared" si="26"/>
        <v>0</v>
      </c>
      <c r="N51" s="220">
        <f t="shared" si="27"/>
        <v>0</v>
      </c>
      <c r="O51" s="220">
        <f t="shared" si="28"/>
        <v>0</v>
      </c>
      <c r="P51" s="244">
        <f t="shared" si="29"/>
        <v>0</v>
      </c>
    </row>
    <row r="52" spans="1:16" ht="21.75" customHeight="1" x14ac:dyDescent="0.25">
      <c r="A52" s="187">
        <v>43983</v>
      </c>
      <c r="B52" s="188">
        <f t="shared" si="24"/>
        <v>0</v>
      </c>
      <c r="C52" s="208">
        <f t="shared" ref="C52:C56" si="32">C51+B52</f>
        <v>0</v>
      </c>
      <c r="D52" s="198"/>
      <c r="E52" s="208">
        <f t="shared" si="25"/>
        <v>0</v>
      </c>
      <c r="F52" s="208">
        <f t="shared" si="30"/>
        <v>0</v>
      </c>
      <c r="G52" s="209">
        <f t="shared" si="20"/>
        <v>0</v>
      </c>
      <c r="H52" s="200" t="str">
        <f t="shared" si="21"/>
        <v>0</v>
      </c>
      <c r="I52" s="210">
        <f t="shared" si="31"/>
        <v>0</v>
      </c>
      <c r="J52" s="211">
        <f t="shared" si="22"/>
        <v>0</v>
      </c>
      <c r="L52" s="243">
        <f t="shared" si="23"/>
        <v>0</v>
      </c>
      <c r="M52" s="220">
        <f t="shared" si="26"/>
        <v>0</v>
      </c>
      <c r="N52" s="220">
        <f t="shared" si="27"/>
        <v>0</v>
      </c>
      <c r="O52" s="220">
        <f t="shared" si="28"/>
        <v>0</v>
      </c>
      <c r="P52" s="244">
        <f t="shared" si="29"/>
        <v>0</v>
      </c>
    </row>
    <row r="53" spans="1:16" ht="21.75" customHeight="1" x14ac:dyDescent="0.25">
      <c r="A53" s="187">
        <v>44013</v>
      </c>
      <c r="B53" s="188">
        <f t="shared" si="24"/>
        <v>0</v>
      </c>
      <c r="C53" s="208">
        <f t="shared" si="32"/>
        <v>0</v>
      </c>
      <c r="D53" s="198"/>
      <c r="E53" s="208">
        <f t="shared" si="25"/>
        <v>0</v>
      </c>
      <c r="F53" s="208">
        <f t="shared" si="30"/>
        <v>0</v>
      </c>
      <c r="G53" s="209">
        <f t="shared" si="20"/>
        <v>0</v>
      </c>
      <c r="H53" s="200" t="str">
        <f t="shared" si="21"/>
        <v>0</v>
      </c>
      <c r="I53" s="210">
        <f t="shared" si="31"/>
        <v>0</v>
      </c>
      <c r="J53" s="211">
        <f t="shared" si="22"/>
        <v>0</v>
      </c>
      <c r="L53" s="243">
        <f t="shared" si="23"/>
        <v>0</v>
      </c>
      <c r="M53" s="220">
        <f t="shared" si="26"/>
        <v>0</v>
      </c>
      <c r="N53" s="220">
        <f t="shared" si="27"/>
        <v>0</v>
      </c>
      <c r="O53" s="220">
        <f t="shared" si="28"/>
        <v>0</v>
      </c>
      <c r="P53" s="244">
        <f t="shared" si="29"/>
        <v>0</v>
      </c>
    </row>
    <row r="54" spans="1:16" ht="21.75" customHeight="1" x14ac:dyDescent="0.25">
      <c r="A54" s="187">
        <v>44044</v>
      </c>
      <c r="B54" s="188">
        <f t="shared" si="24"/>
        <v>0</v>
      </c>
      <c r="C54" s="208">
        <f t="shared" si="32"/>
        <v>0</v>
      </c>
      <c r="D54" s="198"/>
      <c r="E54" s="208">
        <f t="shared" si="25"/>
        <v>0</v>
      </c>
      <c r="F54" s="208">
        <f t="shared" si="30"/>
        <v>0</v>
      </c>
      <c r="G54" s="209">
        <f t="shared" si="20"/>
        <v>0</v>
      </c>
      <c r="H54" s="200" t="str">
        <f t="shared" si="21"/>
        <v>0</v>
      </c>
      <c r="I54" s="210">
        <f t="shared" si="31"/>
        <v>0</v>
      </c>
      <c r="J54" s="211">
        <f t="shared" si="22"/>
        <v>0</v>
      </c>
      <c r="L54" s="243">
        <f t="shared" si="23"/>
        <v>0</v>
      </c>
      <c r="M54" s="220">
        <f t="shared" si="26"/>
        <v>0</v>
      </c>
      <c r="N54" s="220">
        <f t="shared" si="27"/>
        <v>0</v>
      </c>
      <c r="O54" s="220">
        <f t="shared" si="28"/>
        <v>0</v>
      </c>
      <c r="P54" s="244">
        <f t="shared" si="29"/>
        <v>0</v>
      </c>
    </row>
    <row r="55" spans="1:16" ht="21.75" customHeight="1" x14ac:dyDescent="0.25">
      <c r="A55" s="187">
        <v>44075</v>
      </c>
      <c r="B55" s="188">
        <f t="shared" si="24"/>
        <v>0</v>
      </c>
      <c r="C55" s="208">
        <f t="shared" si="32"/>
        <v>0</v>
      </c>
      <c r="D55" s="198"/>
      <c r="E55" s="208">
        <f t="shared" si="25"/>
        <v>0</v>
      </c>
      <c r="F55" s="208">
        <f t="shared" si="30"/>
        <v>0</v>
      </c>
      <c r="G55" s="209">
        <f t="shared" si="20"/>
        <v>0</v>
      </c>
      <c r="H55" s="200" t="str">
        <f t="shared" si="21"/>
        <v>0</v>
      </c>
      <c r="I55" s="212">
        <f t="shared" si="31"/>
        <v>0</v>
      </c>
      <c r="J55" s="211">
        <f t="shared" si="22"/>
        <v>0</v>
      </c>
      <c r="L55" s="243">
        <f t="shared" si="23"/>
        <v>0</v>
      </c>
      <c r="M55" s="220">
        <f t="shared" si="26"/>
        <v>0</v>
      </c>
      <c r="N55" s="220">
        <f t="shared" si="27"/>
        <v>0</v>
      </c>
      <c r="O55" s="220">
        <f t="shared" si="28"/>
        <v>0</v>
      </c>
      <c r="P55" s="244">
        <f t="shared" si="29"/>
        <v>0</v>
      </c>
    </row>
    <row r="56" spans="1:16" ht="21.75" customHeight="1" x14ac:dyDescent="0.25">
      <c r="A56" s="187">
        <v>44105</v>
      </c>
      <c r="B56" s="188">
        <f t="shared" si="24"/>
        <v>0</v>
      </c>
      <c r="C56" s="208">
        <f t="shared" si="32"/>
        <v>0</v>
      </c>
      <c r="D56" s="198"/>
      <c r="E56" s="208">
        <f t="shared" si="25"/>
        <v>0</v>
      </c>
      <c r="F56" s="208">
        <f t="shared" si="30"/>
        <v>0</v>
      </c>
      <c r="G56" s="209">
        <f t="shared" si="20"/>
        <v>0</v>
      </c>
      <c r="H56" s="200" t="str">
        <f t="shared" si="21"/>
        <v>0</v>
      </c>
      <c r="I56" s="210">
        <f t="shared" si="31"/>
        <v>0</v>
      </c>
      <c r="J56" s="211">
        <f t="shared" si="22"/>
        <v>0</v>
      </c>
      <c r="L56" s="243">
        <f t="shared" si="23"/>
        <v>0</v>
      </c>
      <c r="M56" s="220">
        <f t="shared" si="26"/>
        <v>0</v>
      </c>
      <c r="N56" s="220">
        <f t="shared" si="27"/>
        <v>0</v>
      </c>
      <c r="O56" s="220">
        <f t="shared" si="28"/>
        <v>0</v>
      </c>
      <c r="P56" s="244">
        <f t="shared" si="29"/>
        <v>0</v>
      </c>
    </row>
    <row r="57" spans="1:16" ht="21.75" customHeight="1" x14ac:dyDescent="0.25">
      <c r="A57" s="187">
        <v>44136</v>
      </c>
      <c r="B57" s="188">
        <f t="shared" si="24"/>
        <v>0</v>
      </c>
      <c r="C57" s="208">
        <f>C56+B57</f>
        <v>0</v>
      </c>
      <c r="D57" s="198"/>
      <c r="E57" s="208">
        <f t="shared" si="25"/>
        <v>0</v>
      </c>
      <c r="F57" s="208">
        <f t="shared" si="30"/>
        <v>0</v>
      </c>
      <c r="G57" s="209">
        <f t="shared" si="20"/>
        <v>0</v>
      </c>
      <c r="H57" s="200" t="str">
        <f t="shared" si="21"/>
        <v>0</v>
      </c>
      <c r="I57" s="212">
        <f t="shared" si="31"/>
        <v>0</v>
      </c>
      <c r="J57" s="211">
        <f t="shared" si="22"/>
        <v>0</v>
      </c>
      <c r="L57" s="243">
        <f t="shared" si="23"/>
        <v>0</v>
      </c>
      <c r="M57" s="220">
        <f t="shared" si="26"/>
        <v>0</v>
      </c>
      <c r="N57" s="220">
        <f t="shared" si="27"/>
        <v>0</v>
      </c>
      <c r="O57" s="220">
        <f t="shared" si="28"/>
        <v>0</v>
      </c>
      <c r="P57" s="244">
        <f t="shared" si="29"/>
        <v>0</v>
      </c>
    </row>
    <row r="58" spans="1:16" ht="21.75" customHeight="1" thickBot="1" x14ac:dyDescent="0.3">
      <c r="A58" s="189">
        <v>44166</v>
      </c>
      <c r="B58" s="188">
        <f t="shared" si="24"/>
        <v>0</v>
      </c>
      <c r="C58" s="213">
        <f t="shared" ref="C58" si="33">C57+B58</f>
        <v>0</v>
      </c>
      <c r="D58" s="202"/>
      <c r="E58" s="213">
        <f t="shared" si="25"/>
        <v>0</v>
      </c>
      <c r="F58" s="213">
        <f t="shared" si="30"/>
        <v>0</v>
      </c>
      <c r="G58" s="214">
        <f t="shared" si="20"/>
        <v>0</v>
      </c>
      <c r="H58" s="204" t="str">
        <f t="shared" si="21"/>
        <v>0</v>
      </c>
      <c r="I58" s="215">
        <f t="shared" si="31"/>
        <v>0</v>
      </c>
      <c r="J58" s="216">
        <f t="shared" si="22"/>
        <v>0</v>
      </c>
      <c r="L58" s="245">
        <f t="shared" si="23"/>
        <v>0</v>
      </c>
      <c r="M58" s="225">
        <f t="shared" si="26"/>
        <v>0</v>
      </c>
      <c r="N58" s="225">
        <f t="shared" si="27"/>
        <v>0</v>
      </c>
      <c r="O58" s="225">
        <f t="shared" si="28"/>
        <v>0</v>
      </c>
      <c r="P58" s="246">
        <f t="shared" si="29"/>
        <v>0</v>
      </c>
    </row>
    <row r="62" spans="1:16" ht="21.75" thickBot="1" x14ac:dyDescent="0.3">
      <c r="A62" s="581" t="s">
        <v>180</v>
      </c>
      <c r="B62" s="582"/>
      <c r="C62" s="582"/>
      <c r="D62" s="582"/>
      <c r="E62" s="582"/>
      <c r="F62" s="582"/>
      <c r="G62" s="582"/>
      <c r="H62" s="582"/>
      <c r="I62" s="217"/>
    </row>
    <row r="63" spans="1:16" ht="21" customHeight="1" thickBot="1" x14ac:dyDescent="0.3">
      <c r="A63" s="172" t="s">
        <v>150</v>
      </c>
      <c r="B63" s="218">
        <v>0.3206</v>
      </c>
    </row>
    <row r="64" spans="1:16" ht="15.75" thickBot="1" x14ac:dyDescent="0.3"/>
    <row r="65" spans="1:8" ht="45" x14ac:dyDescent="0.25">
      <c r="A65" s="4" t="s">
        <v>151</v>
      </c>
      <c r="B65" s="2" t="s">
        <v>152</v>
      </c>
      <c r="C65" s="2" t="s">
        <v>153</v>
      </c>
      <c r="D65" s="195" t="s">
        <v>154</v>
      </c>
      <c r="E65" s="175" t="s">
        <v>155</v>
      </c>
      <c r="F65" s="175" t="s">
        <v>156</v>
      </c>
      <c r="G65" s="175" t="s">
        <v>157</v>
      </c>
      <c r="H65" s="176" t="s">
        <v>158</v>
      </c>
    </row>
    <row r="66" spans="1:8" ht="21" customHeight="1" x14ac:dyDescent="0.25">
      <c r="A66" s="219">
        <v>43831</v>
      </c>
      <c r="B66" s="188">
        <f>B47</f>
        <v>0</v>
      </c>
      <c r="C66" s="220">
        <f>B66</f>
        <v>0</v>
      </c>
      <c r="D66" s="198"/>
      <c r="E66" s="199">
        <f>+D66</f>
        <v>0</v>
      </c>
      <c r="F66" s="221" t="e">
        <f>ROUND(($B$63/0.6)*((1.6*E66/C66)-1),4)</f>
        <v>#DIV/0!</v>
      </c>
      <c r="G66" s="220" t="e">
        <f>IF(F66&gt;0,F66*C66,0)</f>
        <v>#DIV/0!</v>
      </c>
      <c r="H66" s="237" t="e">
        <f>G66</f>
        <v>#DIV/0!</v>
      </c>
    </row>
    <row r="67" spans="1:8" ht="21" customHeight="1" x14ac:dyDescent="0.25">
      <c r="A67" s="219">
        <v>43862</v>
      </c>
      <c r="B67" s="188">
        <f t="shared" ref="B67:B77" si="34">B48</f>
        <v>0</v>
      </c>
      <c r="C67" s="220">
        <f>C66+B67</f>
        <v>0</v>
      </c>
      <c r="D67" s="198"/>
      <c r="E67" s="199">
        <f>D67+E66</f>
        <v>0</v>
      </c>
      <c r="F67" s="221" t="e">
        <f>ROUND(($B$63/0.6)*((1.6*E67/C67)-1),4)</f>
        <v>#DIV/0!</v>
      </c>
      <c r="G67" s="220" t="e">
        <f t="shared" ref="G67:G77" si="35">IF(F67&gt;0,F67*C67,0)</f>
        <v>#DIV/0!</v>
      </c>
      <c r="H67" s="237" t="e">
        <f>G67-G66</f>
        <v>#DIV/0!</v>
      </c>
    </row>
    <row r="68" spans="1:8" ht="21" customHeight="1" x14ac:dyDescent="0.25">
      <c r="A68" s="219">
        <v>43891</v>
      </c>
      <c r="B68" s="188">
        <f t="shared" si="34"/>
        <v>0</v>
      </c>
      <c r="C68" s="220">
        <f t="shared" ref="C68:C77" si="36">C67+B68</f>
        <v>0</v>
      </c>
      <c r="D68" s="198"/>
      <c r="E68" s="199">
        <f t="shared" ref="E68:E77" si="37">D68+E67</f>
        <v>0</v>
      </c>
      <c r="F68" s="221" t="e">
        <f>ROUND(($B$63/0.6)*((1.6*E68/C68)-1),4)</f>
        <v>#DIV/0!</v>
      </c>
      <c r="G68" s="222" t="e">
        <f t="shared" si="35"/>
        <v>#DIV/0!</v>
      </c>
      <c r="H68" s="181" t="e">
        <f t="shared" ref="H68:H77" si="38">G68-G67</f>
        <v>#DIV/0!</v>
      </c>
    </row>
    <row r="69" spans="1:8" ht="21" customHeight="1" x14ac:dyDescent="0.25">
      <c r="A69" s="219">
        <v>43922</v>
      </c>
      <c r="B69" s="188">
        <f t="shared" si="34"/>
        <v>0</v>
      </c>
      <c r="C69" s="220">
        <f t="shared" si="36"/>
        <v>0</v>
      </c>
      <c r="D69" s="198"/>
      <c r="E69" s="199">
        <f t="shared" si="37"/>
        <v>0</v>
      </c>
      <c r="F69" s="221" t="e">
        <f>ROUND(($B$63/0.6)*((1.6*E69/C69)-1),4)</f>
        <v>#DIV/0!</v>
      </c>
      <c r="G69" s="220" t="e">
        <f t="shared" si="35"/>
        <v>#DIV/0!</v>
      </c>
      <c r="H69" s="181" t="e">
        <f t="shared" si="38"/>
        <v>#DIV/0!</v>
      </c>
    </row>
    <row r="70" spans="1:8" ht="21" customHeight="1" x14ac:dyDescent="0.25">
      <c r="A70" s="219">
        <v>43952</v>
      </c>
      <c r="B70" s="188">
        <f t="shared" si="34"/>
        <v>0</v>
      </c>
      <c r="C70" s="220">
        <f t="shared" si="36"/>
        <v>0</v>
      </c>
      <c r="D70" s="198"/>
      <c r="E70" s="199">
        <f t="shared" si="37"/>
        <v>0</v>
      </c>
      <c r="F70" s="221" t="e">
        <f t="shared" ref="F70:F74" si="39">ROUND(($B$63/0.6)*((1.6*E70/C70)-1),4)</f>
        <v>#DIV/0!</v>
      </c>
      <c r="G70" s="220" t="e">
        <f t="shared" si="35"/>
        <v>#DIV/0!</v>
      </c>
      <c r="H70" s="181" t="e">
        <f t="shared" si="38"/>
        <v>#DIV/0!</v>
      </c>
    </row>
    <row r="71" spans="1:8" ht="21" customHeight="1" x14ac:dyDescent="0.25">
      <c r="A71" s="219">
        <v>43983</v>
      </c>
      <c r="B71" s="188">
        <f t="shared" si="34"/>
        <v>0</v>
      </c>
      <c r="C71" s="220">
        <f t="shared" si="36"/>
        <v>0</v>
      </c>
      <c r="D71" s="198"/>
      <c r="E71" s="199">
        <f t="shared" si="37"/>
        <v>0</v>
      </c>
      <c r="F71" s="221" t="e">
        <f t="shared" si="39"/>
        <v>#DIV/0!</v>
      </c>
      <c r="G71" s="222" t="e">
        <f t="shared" si="35"/>
        <v>#DIV/0!</v>
      </c>
      <c r="H71" s="181" t="e">
        <f t="shared" si="38"/>
        <v>#DIV/0!</v>
      </c>
    </row>
    <row r="72" spans="1:8" ht="21" customHeight="1" x14ac:dyDescent="0.25">
      <c r="A72" s="219">
        <v>44013</v>
      </c>
      <c r="B72" s="188">
        <f t="shared" si="34"/>
        <v>0</v>
      </c>
      <c r="C72" s="220">
        <f t="shared" si="36"/>
        <v>0</v>
      </c>
      <c r="D72" s="198"/>
      <c r="E72" s="199">
        <f t="shared" si="37"/>
        <v>0</v>
      </c>
      <c r="F72" s="221" t="e">
        <f t="shared" si="39"/>
        <v>#DIV/0!</v>
      </c>
      <c r="G72" s="220" t="e">
        <f t="shared" si="35"/>
        <v>#DIV/0!</v>
      </c>
      <c r="H72" s="181" t="e">
        <f t="shared" si="38"/>
        <v>#DIV/0!</v>
      </c>
    </row>
    <row r="73" spans="1:8" ht="21" customHeight="1" x14ac:dyDescent="0.25">
      <c r="A73" s="219">
        <v>44044</v>
      </c>
      <c r="B73" s="188">
        <f t="shared" si="34"/>
        <v>0</v>
      </c>
      <c r="C73" s="220">
        <f t="shared" si="36"/>
        <v>0</v>
      </c>
      <c r="D73" s="198"/>
      <c r="E73" s="199">
        <f t="shared" si="37"/>
        <v>0</v>
      </c>
      <c r="F73" s="221" t="e">
        <f t="shared" si="39"/>
        <v>#DIV/0!</v>
      </c>
      <c r="G73" s="223" t="e">
        <f t="shared" si="35"/>
        <v>#DIV/0!</v>
      </c>
      <c r="H73" s="181" t="e">
        <f t="shared" si="38"/>
        <v>#DIV/0!</v>
      </c>
    </row>
    <row r="74" spans="1:8" ht="21" customHeight="1" x14ac:dyDescent="0.25">
      <c r="A74" s="219">
        <v>44075</v>
      </c>
      <c r="B74" s="188">
        <f t="shared" si="34"/>
        <v>0</v>
      </c>
      <c r="C74" s="220">
        <f t="shared" si="36"/>
        <v>0</v>
      </c>
      <c r="D74" s="198"/>
      <c r="E74" s="199">
        <f t="shared" si="37"/>
        <v>0</v>
      </c>
      <c r="F74" s="221" t="e">
        <f t="shared" si="39"/>
        <v>#DIV/0!</v>
      </c>
      <c r="G74" s="220" t="e">
        <f t="shared" si="35"/>
        <v>#DIV/0!</v>
      </c>
      <c r="H74" s="181" t="e">
        <f t="shared" si="38"/>
        <v>#DIV/0!</v>
      </c>
    </row>
    <row r="75" spans="1:8" ht="21" customHeight="1" x14ac:dyDescent="0.25">
      <c r="A75" s="219">
        <v>44105</v>
      </c>
      <c r="B75" s="188">
        <f t="shared" si="34"/>
        <v>0</v>
      </c>
      <c r="C75" s="220">
        <f t="shared" si="36"/>
        <v>0</v>
      </c>
      <c r="D75" s="198"/>
      <c r="E75" s="199">
        <f t="shared" si="37"/>
        <v>0</v>
      </c>
      <c r="F75" s="221" t="e">
        <f>ROUND(($B$63/0.6)*((1.6*E75/C75)-1),4)</f>
        <v>#DIV/0!</v>
      </c>
      <c r="G75" s="220" t="e">
        <f t="shared" si="35"/>
        <v>#DIV/0!</v>
      </c>
      <c r="H75" s="181" t="e">
        <f t="shared" si="38"/>
        <v>#DIV/0!</v>
      </c>
    </row>
    <row r="76" spans="1:8" ht="21" customHeight="1" x14ac:dyDescent="0.25">
      <c r="A76" s="219">
        <v>44136</v>
      </c>
      <c r="B76" s="188">
        <f t="shared" si="34"/>
        <v>0</v>
      </c>
      <c r="C76" s="220">
        <f t="shared" si="36"/>
        <v>0</v>
      </c>
      <c r="D76" s="198"/>
      <c r="E76" s="199">
        <f t="shared" si="37"/>
        <v>0</v>
      </c>
      <c r="F76" s="221" t="e">
        <f>ROUND(($B$63/0.6)*((1.6*E76/C76)-1),4)</f>
        <v>#DIV/0!</v>
      </c>
      <c r="G76" s="220" t="e">
        <f t="shared" si="35"/>
        <v>#DIV/0!</v>
      </c>
      <c r="H76" s="181" t="e">
        <f t="shared" si="38"/>
        <v>#DIV/0!</v>
      </c>
    </row>
    <row r="77" spans="1:8" ht="21" customHeight="1" thickBot="1" x14ac:dyDescent="0.3">
      <c r="A77" s="224">
        <v>44166</v>
      </c>
      <c r="B77" s="188">
        <f t="shared" si="34"/>
        <v>0</v>
      </c>
      <c r="C77" s="225">
        <f t="shared" si="36"/>
        <v>0</v>
      </c>
      <c r="D77" s="202"/>
      <c r="E77" s="203">
        <f t="shared" si="37"/>
        <v>0</v>
      </c>
      <c r="F77" s="235" t="e">
        <f>ROUND(($B$63/0.6)*((1.6*E77/C77)-1),4)</f>
        <v>#DIV/0!</v>
      </c>
      <c r="G77" s="225" t="e">
        <f t="shared" si="35"/>
        <v>#DIV/0!</v>
      </c>
      <c r="H77" s="177" t="e">
        <f t="shared" si="38"/>
        <v>#DIV/0!</v>
      </c>
    </row>
    <row r="80" spans="1:8" ht="23.25" x14ac:dyDescent="0.25">
      <c r="A80" s="183" t="s">
        <v>181</v>
      </c>
      <c r="B80" s="184"/>
      <c r="C80" s="184"/>
      <c r="D80" s="184"/>
      <c r="E80" s="184"/>
      <c r="F80" s="184"/>
    </row>
    <row r="82" spans="1:8" ht="18.75" x14ac:dyDescent="0.25">
      <c r="A82" s="185" t="s">
        <v>162</v>
      </c>
      <c r="D82" s="186">
        <v>3428</v>
      </c>
    </row>
    <row r="83" spans="1:8" ht="15.75" thickBot="1" x14ac:dyDescent="0.3"/>
    <row r="84" spans="1:8" ht="30" x14ac:dyDescent="0.25">
      <c r="A84" s="5" t="s">
        <v>151</v>
      </c>
      <c r="B84" s="2" t="s">
        <v>107</v>
      </c>
      <c r="C84" s="2" t="s">
        <v>163</v>
      </c>
      <c r="D84" s="2" t="s">
        <v>164</v>
      </c>
      <c r="E84" s="175" t="s">
        <v>165</v>
      </c>
      <c r="F84" s="2" t="s">
        <v>182</v>
      </c>
      <c r="G84" s="175" t="s">
        <v>183</v>
      </c>
      <c r="H84" s="176" t="s">
        <v>188</v>
      </c>
    </row>
    <row r="85" spans="1:8" ht="19.5" customHeight="1" x14ac:dyDescent="0.25">
      <c r="A85" s="219">
        <v>43831</v>
      </c>
      <c r="B85" s="188">
        <f>B66</f>
        <v>0</v>
      </c>
      <c r="C85" s="227">
        <f>B85</f>
        <v>0</v>
      </c>
      <c r="D85" s="227">
        <f t="shared" ref="D85:D96" si="40">$D$8</f>
        <v>3428</v>
      </c>
      <c r="E85" s="227">
        <f>D85</f>
        <v>3428</v>
      </c>
      <c r="F85" s="179" t="str">
        <f>IF(E85&gt;C85,"","OUI")</f>
        <v/>
      </c>
      <c r="G85" s="209">
        <f t="shared" ref="G85:G96" si="41">IF(C85&gt;E85,C85,0)</f>
        <v>0</v>
      </c>
      <c r="H85" s="228">
        <f>G85</f>
        <v>0</v>
      </c>
    </row>
    <row r="86" spans="1:8" ht="19.5" customHeight="1" x14ac:dyDescent="0.25">
      <c r="A86" s="219">
        <v>43862</v>
      </c>
      <c r="B86" s="188">
        <f t="shared" ref="B86:B96" si="42">B67</f>
        <v>0</v>
      </c>
      <c r="C86" s="227">
        <f>C85+B86</f>
        <v>0</v>
      </c>
      <c r="D86" s="227">
        <f t="shared" si="40"/>
        <v>3428</v>
      </c>
      <c r="E86" s="227">
        <f>E85+D86</f>
        <v>6856</v>
      </c>
      <c r="F86" s="179" t="str">
        <f t="shared" ref="F86:F96" si="43">IF(E86&gt;C86,"","OUI")</f>
        <v/>
      </c>
      <c r="G86" s="209">
        <f t="shared" si="41"/>
        <v>0</v>
      </c>
      <c r="H86" s="228">
        <f>G86-G85</f>
        <v>0</v>
      </c>
    </row>
    <row r="87" spans="1:8" ht="19.5" customHeight="1" x14ac:dyDescent="0.25">
      <c r="A87" s="219">
        <v>43891</v>
      </c>
      <c r="B87" s="188">
        <f t="shared" si="42"/>
        <v>0</v>
      </c>
      <c r="C87" s="227">
        <f>C86+B87</f>
        <v>0</v>
      </c>
      <c r="D87" s="227">
        <f t="shared" si="40"/>
        <v>3428</v>
      </c>
      <c r="E87" s="227">
        <f t="shared" ref="E87:E96" si="44">E86+D87</f>
        <v>10284</v>
      </c>
      <c r="F87" s="179" t="str">
        <f t="shared" si="43"/>
        <v/>
      </c>
      <c r="G87" s="209">
        <f t="shared" si="41"/>
        <v>0</v>
      </c>
      <c r="H87" s="228">
        <f t="shared" ref="H87:H96" si="45">G87-G86</f>
        <v>0</v>
      </c>
    </row>
    <row r="88" spans="1:8" ht="19.5" customHeight="1" x14ac:dyDescent="0.25">
      <c r="A88" s="219">
        <v>43922</v>
      </c>
      <c r="B88" s="188">
        <f t="shared" si="42"/>
        <v>0</v>
      </c>
      <c r="C88" s="227">
        <f t="shared" ref="C88:C96" si="46">C87+B88</f>
        <v>0</v>
      </c>
      <c r="D88" s="227">
        <f t="shared" si="40"/>
        <v>3428</v>
      </c>
      <c r="E88" s="227">
        <f t="shared" si="44"/>
        <v>13712</v>
      </c>
      <c r="F88" s="179" t="str">
        <f t="shared" si="43"/>
        <v/>
      </c>
      <c r="G88" s="209">
        <f t="shared" si="41"/>
        <v>0</v>
      </c>
      <c r="H88" s="228">
        <f t="shared" si="45"/>
        <v>0</v>
      </c>
    </row>
    <row r="89" spans="1:8" ht="19.5" customHeight="1" x14ac:dyDescent="0.25">
      <c r="A89" s="219">
        <v>43952</v>
      </c>
      <c r="B89" s="188">
        <f t="shared" si="42"/>
        <v>0</v>
      </c>
      <c r="C89" s="227">
        <f t="shared" si="46"/>
        <v>0</v>
      </c>
      <c r="D89" s="227">
        <f t="shared" si="40"/>
        <v>3428</v>
      </c>
      <c r="E89" s="227">
        <f t="shared" si="44"/>
        <v>17140</v>
      </c>
      <c r="F89" s="179" t="str">
        <f t="shared" si="43"/>
        <v/>
      </c>
      <c r="G89" s="209">
        <f t="shared" si="41"/>
        <v>0</v>
      </c>
      <c r="H89" s="228">
        <f t="shared" si="45"/>
        <v>0</v>
      </c>
    </row>
    <row r="90" spans="1:8" ht="19.5" customHeight="1" x14ac:dyDescent="0.25">
      <c r="A90" s="219">
        <v>43983</v>
      </c>
      <c r="B90" s="188">
        <f t="shared" si="42"/>
        <v>0</v>
      </c>
      <c r="C90" s="227">
        <f t="shared" si="46"/>
        <v>0</v>
      </c>
      <c r="D90" s="227">
        <f t="shared" si="40"/>
        <v>3428</v>
      </c>
      <c r="E90" s="227">
        <f t="shared" si="44"/>
        <v>20568</v>
      </c>
      <c r="F90" s="179" t="str">
        <f t="shared" si="43"/>
        <v/>
      </c>
      <c r="G90" s="209">
        <f t="shared" si="41"/>
        <v>0</v>
      </c>
      <c r="H90" s="228">
        <f t="shared" si="45"/>
        <v>0</v>
      </c>
    </row>
    <row r="91" spans="1:8" ht="19.5" customHeight="1" x14ac:dyDescent="0.25">
      <c r="A91" s="219">
        <v>44013</v>
      </c>
      <c r="B91" s="188">
        <f t="shared" si="42"/>
        <v>0</v>
      </c>
      <c r="C91" s="227">
        <f t="shared" si="46"/>
        <v>0</v>
      </c>
      <c r="D91" s="227">
        <f t="shared" si="40"/>
        <v>3428</v>
      </c>
      <c r="E91" s="227">
        <f t="shared" si="44"/>
        <v>23996</v>
      </c>
      <c r="F91" s="179" t="str">
        <f t="shared" si="43"/>
        <v/>
      </c>
      <c r="G91" s="209">
        <f t="shared" si="41"/>
        <v>0</v>
      </c>
      <c r="H91" s="228">
        <f t="shared" si="45"/>
        <v>0</v>
      </c>
    </row>
    <row r="92" spans="1:8" ht="19.5" customHeight="1" x14ac:dyDescent="0.25">
      <c r="A92" s="219">
        <v>44044</v>
      </c>
      <c r="B92" s="188">
        <f t="shared" si="42"/>
        <v>0</v>
      </c>
      <c r="C92" s="227">
        <f t="shared" si="46"/>
        <v>0</v>
      </c>
      <c r="D92" s="227">
        <f t="shared" si="40"/>
        <v>3428</v>
      </c>
      <c r="E92" s="227">
        <f t="shared" si="44"/>
        <v>27424</v>
      </c>
      <c r="F92" s="179" t="str">
        <f t="shared" si="43"/>
        <v/>
      </c>
      <c r="G92" s="209">
        <f t="shared" si="41"/>
        <v>0</v>
      </c>
      <c r="H92" s="228">
        <f t="shared" si="45"/>
        <v>0</v>
      </c>
    </row>
    <row r="93" spans="1:8" ht="19.5" customHeight="1" x14ac:dyDescent="0.25">
      <c r="A93" s="219">
        <v>44075</v>
      </c>
      <c r="B93" s="188">
        <f t="shared" si="42"/>
        <v>0</v>
      </c>
      <c r="C93" s="227">
        <f t="shared" si="46"/>
        <v>0</v>
      </c>
      <c r="D93" s="227">
        <f t="shared" si="40"/>
        <v>3428</v>
      </c>
      <c r="E93" s="227">
        <f t="shared" si="44"/>
        <v>30852</v>
      </c>
      <c r="F93" s="179" t="str">
        <f t="shared" si="43"/>
        <v/>
      </c>
      <c r="G93" s="209">
        <f t="shared" si="41"/>
        <v>0</v>
      </c>
      <c r="H93" s="228">
        <f t="shared" si="45"/>
        <v>0</v>
      </c>
    </row>
    <row r="94" spans="1:8" ht="19.5" customHeight="1" x14ac:dyDescent="0.25">
      <c r="A94" s="219">
        <v>44105</v>
      </c>
      <c r="B94" s="188">
        <f t="shared" si="42"/>
        <v>0</v>
      </c>
      <c r="C94" s="227">
        <f t="shared" si="46"/>
        <v>0</v>
      </c>
      <c r="D94" s="227">
        <f t="shared" si="40"/>
        <v>3428</v>
      </c>
      <c r="E94" s="227">
        <f t="shared" si="44"/>
        <v>34280</v>
      </c>
      <c r="F94" s="179" t="str">
        <f t="shared" si="43"/>
        <v/>
      </c>
      <c r="G94" s="209">
        <f t="shared" si="41"/>
        <v>0</v>
      </c>
      <c r="H94" s="228">
        <f t="shared" si="45"/>
        <v>0</v>
      </c>
    </row>
    <row r="95" spans="1:8" ht="19.5" customHeight="1" x14ac:dyDescent="0.25">
      <c r="A95" s="219">
        <v>44136</v>
      </c>
      <c r="B95" s="188">
        <f t="shared" si="42"/>
        <v>0</v>
      </c>
      <c r="C95" s="227">
        <f t="shared" si="46"/>
        <v>0</v>
      </c>
      <c r="D95" s="227">
        <f t="shared" si="40"/>
        <v>3428</v>
      </c>
      <c r="E95" s="227">
        <f t="shared" si="44"/>
        <v>37708</v>
      </c>
      <c r="F95" s="179" t="str">
        <f t="shared" si="43"/>
        <v/>
      </c>
      <c r="G95" s="209">
        <f t="shared" si="41"/>
        <v>0</v>
      </c>
      <c r="H95" s="228">
        <f t="shared" si="45"/>
        <v>0</v>
      </c>
    </row>
    <row r="96" spans="1:8" ht="19.5" customHeight="1" thickBot="1" x14ac:dyDescent="0.3">
      <c r="A96" s="224">
        <v>44166</v>
      </c>
      <c r="B96" s="188">
        <f t="shared" si="42"/>
        <v>0</v>
      </c>
      <c r="C96" s="230">
        <f t="shared" si="46"/>
        <v>0</v>
      </c>
      <c r="D96" s="230">
        <f t="shared" si="40"/>
        <v>3428</v>
      </c>
      <c r="E96" s="230">
        <f t="shared" si="44"/>
        <v>41136</v>
      </c>
      <c r="F96" s="231" t="str">
        <f t="shared" si="43"/>
        <v/>
      </c>
      <c r="G96" s="214">
        <f t="shared" si="41"/>
        <v>0</v>
      </c>
      <c r="H96" s="232">
        <f t="shared" si="45"/>
        <v>0</v>
      </c>
    </row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B717-B4D5-4E9F-A32E-26812315CDC5}">
  <dimension ref="A1:M51"/>
  <sheetViews>
    <sheetView zoomScale="120" zoomScaleNormal="120" workbookViewId="0">
      <selection sqref="A1:G1"/>
    </sheetView>
    <sheetView workbookViewId="1">
      <selection sqref="A1:G1"/>
    </sheetView>
    <sheetView workbookViewId="2">
      <selection sqref="A1:G1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4" max="4" width="33.28515625" customWidth="1"/>
    <col min="5" max="5" width="14.42578125" customWidth="1"/>
    <col min="6" max="6" width="13.140625" customWidth="1"/>
    <col min="8" max="8" width="22.42578125" bestFit="1" customWidth="1"/>
    <col min="10" max="10" width="12.140625" bestFit="1" customWidth="1"/>
    <col min="12" max="12" width="13" bestFit="1" customWidth="1"/>
    <col min="13" max="13" width="11.85546875" bestFit="1" customWidth="1"/>
    <col min="15" max="15" width="20.28515625" bestFit="1" customWidth="1"/>
  </cols>
  <sheetData>
    <row r="1" spans="1:7" ht="64.5" customHeight="1" x14ac:dyDescent="0.25">
      <c r="A1" s="585" t="s">
        <v>304</v>
      </c>
      <c r="B1" s="586"/>
      <c r="C1" s="586"/>
      <c r="D1" s="586"/>
      <c r="E1" s="586"/>
      <c r="F1" s="586"/>
      <c r="G1" s="586"/>
    </row>
    <row r="3" spans="1:7" ht="21" x14ac:dyDescent="0.35">
      <c r="D3" s="449" t="s">
        <v>268</v>
      </c>
    </row>
    <row r="4" spans="1:7" ht="15.75" thickBot="1" x14ac:dyDescent="0.3">
      <c r="A4" s="266">
        <v>44627</v>
      </c>
      <c r="B4" s="583" t="s">
        <v>269</v>
      </c>
    </row>
    <row r="5" spans="1:7" x14ac:dyDescent="0.25">
      <c r="A5" s="266">
        <v>44628</v>
      </c>
      <c r="B5" s="584"/>
      <c r="D5" s="450" t="s">
        <v>270</v>
      </c>
      <c r="E5" s="6" t="s">
        <v>271</v>
      </c>
    </row>
    <row r="6" spans="1:7" x14ac:dyDescent="0.25">
      <c r="A6" s="266">
        <v>44629</v>
      </c>
      <c r="B6" s="584"/>
      <c r="D6" s="396" t="s">
        <v>272</v>
      </c>
      <c r="E6" s="3" t="s">
        <v>273</v>
      </c>
    </row>
    <row r="7" spans="1:7" x14ac:dyDescent="0.25">
      <c r="A7" s="266">
        <v>44630</v>
      </c>
      <c r="B7" s="584"/>
      <c r="D7" s="396" t="s">
        <v>274</v>
      </c>
      <c r="E7" s="3"/>
    </row>
    <row r="8" spans="1:7" x14ac:dyDescent="0.25">
      <c r="A8" s="266">
        <v>44631</v>
      </c>
      <c r="B8" s="584"/>
      <c r="D8" s="396"/>
      <c r="E8" s="3"/>
    </row>
    <row r="9" spans="1:7" x14ac:dyDescent="0.25">
      <c r="A9" s="266">
        <v>44632</v>
      </c>
      <c r="D9" s="396" t="s">
        <v>275</v>
      </c>
      <c r="E9" s="265">
        <v>3000</v>
      </c>
    </row>
    <row r="10" spans="1:7" x14ac:dyDescent="0.25">
      <c r="A10" s="266">
        <v>44633</v>
      </c>
      <c r="D10" s="396" t="s">
        <v>276</v>
      </c>
      <c r="E10" s="265">
        <v>3050</v>
      </c>
    </row>
    <row r="11" spans="1:7" x14ac:dyDescent="0.25">
      <c r="A11" s="266">
        <v>44634</v>
      </c>
      <c r="D11" s="396" t="s">
        <v>277</v>
      </c>
      <c r="E11" s="265">
        <v>3200</v>
      </c>
    </row>
    <row r="12" spans="1:7" ht="15.75" thickBot="1" x14ac:dyDescent="0.3">
      <c r="A12" s="266">
        <v>44635</v>
      </c>
      <c r="D12" s="400" t="s">
        <v>297</v>
      </c>
      <c r="E12" s="451">
        <v>44409</v>
      </c>
    </row>
    <row r="13" spans="1:7" x14ac:dyDescent="0.25">
      <c r="A13" s="266">
        <v>44636</v>
      </c>
    </row>
    <row r="14" spans="1:7" x14ac:dyDescent="0.25">
      <c r="A14" s="266">
        <v>44637</v>
      </c>
    </row>
    <row r="15" spans="1:7" x14ac:dyDescent="0.25">
      <c r="A15" s="266">
        <v>44638</v>
      </c>
      <c r="D15" s="260" t="s">
        <v>278</v>
      </c>
    </row>
    <row r="16" spans="1:7" x14ac:dyDescent="0.25">
      <c r="A16" s="266">
        <v>44639</v>
      </c>
    </row>
    <row r="17" spans="1:13" x14ac:dyDescent="0.25">
      <c r="A17" s="266">
        <v>44640</v>
      </c>
      <c r="D17" t="s">
        <v>279</v>
      </c>
    </row>
    <row r="18" spans="1:13" x14ac:dyDescent="0.25">
      <c r="A18" s="266">
        <v>44641</v>
      </c>
      <c r="D18" t="s">
        <v>280</v>
      </c>
    </row>
    <row r="19" spans="1:13" x14ac:dyDescent="0.25">
      <c r="A19" s="266">
        <v>44642</v>
      </c>
      <c r="D19" t="s">
        <v>281</v>
      </c>
    </row>
    <row r="20" spans="1:13" ht="15.75" thickBot="1" x14ac:dyDescent="0.3">
      <c r="A20" s="266">
        <v>44643</v>
      </c>
    </row>
    <row r="21" spans="1:13" ht="16.5" thickTop="1" thickBot="1" x14ac:dyDescent="0.3">
      <c r="A21" s="266">
        <v>44644</v>
      </c>
      <c r="D21" s="452" t="s">
        <v>279</v>
      </c>
      <c r="E21" s="453"/>
      <c r="F21" s="453"/>
      <c r="G21" s="453"/>
      <c r="H21" s="454"/>
    </row>
    <row r="22" spans="1:13" ht="15.75" thickTop="1" x14ac:dyDescent="0.25">
      <c r="A22" s="266">
        <v>44645</v>
      </c>
      <c r="D22" s="260" t="s">
        <v>301</v>
      </c>
      <c r="I22" s="260" t="s">
        <v>282</v>
      </c>
    </row>
    <row r="23" spans="1:13" ht="15.75" thickBot="1" x14ac:dyDescent="0.3">
      <c r="A23" s="266">
        <v>44646</v>
      </c>
    </row>
    <row r="24" spans="1:13" x14ac:dyDescent="0.25">
      <c r="A24" s="266">
        <v>44647</v>
      </c>
      <c r="D24" s="450" t="s">
        <v>0</v>
      </c>
      <c r="E24" s="257"/>
      <c r="F24" s="455"/>
      <c r="G24" s="262">
        <v>3050</v>
      </c>
      <c r="I24" s="450" t="s">
        <v>283</v>
      </c>
      <c r="J24" s="257"/>
      <c r="K24" s="257"/>
      <c r="L24" s="257"/>
      <c r="M24" s="6"/>
    </row>
    <row r="25" spans="1:13" x14ac:dyDescent="0.25">
      <c r="A25" s="266">
        <v>44648</v>
      </c>
      <c r="D25" s="396" t="s">
        <v>284</v>
      </c>
      <c r="E25" s="258">
        <v>24</v>
      </c>
      <c r="F25" s="273">
        <f>G24/26</f>
        <v>117.30769230769231</v>
      </c>
      <c r="G25" s="265">
        <f>-F25*E25</f>
        <v>-2815.3846153846152</v>
      </c>
      <c r="I25" s="396"/>
      <c r="J25" s="258"/>
      <c r="K25" s="258"/>
      <c r="L25" s="258"/>
      <c r="M25" s="3"/>
    </row>
    <row r="26" spans="1:13" x14ac:dyDescent="0.25">
      <c r="A26" s="266">
        <v>44649</v>
      </c>
      <c r="D26" s="396" t="s">
        <v>285</v>
      </c>
      <c r="E26" s="258">
        <v>24</v>
      </c>
      <c r="F26" s="456">
        <f>M30</f>
        <v>120.83333333333333</v>
      </c>
      <c r="G26" s="265">
        <f>F26*E26</f>
        <v>2900</v>
      </c>
      <c r="I26" s="396" t="s">
        <v>286</v>
      </c>
      <c r="J26" s="258"/>
      <c r="K26" s="258"/>
      <c r="L26" s="258" t="s">
        <v>302</v>
      </c>
      <c r="M26" s="265">
        <f>7*3000</f>
        <v>21000</v>
      </c>
    </row>
    <row r="27" spans="1:13" ht="15.75" thickBot="1" x14ac:dyDescent="0.3">
      <c r="A27" s="266">
        <v>44650</v>
      </c>
      <c r="D27" s="400" t="s">
        <v>287</v>
      </c>
      <c r="E27" s="259"/>
      <c r="F27" s="457"/>
      <c r="G27" s="263">
        <f>SUM(G24:G26)</f>
        <v>3134.6153846153848</v>
      </c>
      <c r="I27" s="396" t="s">
        <v>288</v>
      </c>
      <c r="J27" s="258"/>
      <c r="K27" s="258"/>
      <c r="L27" s="258" t="s">
        <v>298</v>
      </c>
      <c r="M27" s="265">
        <f>5*3050</f>
        <v>15250</v>
      </c>
    </row>
    <row r="28" spans="1:13" x14ac:dyDescent="0.25">
      <c r="A28" s="266">
        <v>44651</v>
      </c>
      <c r="F28" s="264"/>
      <c r="G28" s="264"/>
      <c r="I28" s="396" t="s">
        <v>289</v>
      </c>
      <c r="J28" s="258"/>
      <c r="K28" s="258"/>
      <c r="L28" s="258"/>
      <c r="M28" s="265">
        <f>SUM(M26:M27)</f>
        <v>36250</v>
      </c>
    </row>
    <row r="29" spans="1:13" x14ac:dyDescent="0.25">
      <c r="D29" s="260" t="s">
        <v>303</v>
      </c>
      <c r="F29" s="264"/>
      <c r="G29" s="264"/>
      <c r="I29" s="458" t="s">
        <v>290</v>
      </c>
      <c r="J29" s="258"/>
      <c r="K29" s="258"/>
      <c r="L29" s="258"/>
      <c r="M29" s="265">
        <f>M28/10</f>
        <v>3625</v>
      </c>
    </row>
    <row r="30" spans="1:13" ht="15.75" thickBot="1" x14ac:dyDescent="0.3">
      <c r="F30" s="264"/>
      <c r="G30" s="264"/>
      <c r="I30" s="459" t="s">
        <v>141</v>
      </c>
      <c r="J30" s="460"/>
      <c r="K30" s="460"/>
      <c r="L30" s="460" t="s">
        <v>291</v>
      </c>
      <c r="M30" s="461">
        <f>M29/30</f>
        <v>120.83333333333333</v>
      </c>
    </row>
    <row r="31" spans="1:13" x14ac:dyDescent="0.25">
      <c r="D31" s="450" t="s">
        <v>0</v>
      </c>
      <c r="E31" s="257"/>
      <c r="F31" s="455"/>
      <c r="G31" s="262">
        <v>3200</v>
      </c>
      <c r="M31" s="264"/>
    </row>
    <row r="32" spans="1:13" x14ac:dyDescent="0.25">
      <c r="D32" s="396" t="s">
        <v>284</v>
      </c>
      <c r="E32" s="258">
        <v>6</v>
      </c>
      <c r="F32" s="273">
        <f>G31/26</f>
        <v>123.07692307692308</v>
      </c>
      <c r="G32" s="265">
        <f>-F32*E32</f>
        <v>-738.46153846153845</v>
      </c>
      <c r="I32" s="260" t="s">
        <v>299</v>
      </c>
      <c r="M32" s="264"/>
    </row>
    <row r="33" spans="4:13" ht="15.75" thickBot="1" x14ac:dyDescent="0.3">
      <c r="D33" s="396" t="s">
        <v>285</v>
      </c>
      <c r="E33" s="258">
        <v>6</v>
      </c>
      <c r="F33" s="456">
        <f>+M40</f>
        <v>123.07692307692308</v>
      </c>
      <c r="G33" s="265">
        <f>+F33*E33</f>
        <v>738.46153846153845</v>
      </c>
      <c r="M33" s="264"/>
    </row>
    <row r="34" spans="4:13" ht="16.5" thickTop="1" thickBot="1" x14ac:dyDescent="0.3">
      <c r="D34" s="400" t="s">
        <v>287</v>
      </c>
      <c r="E34" s="259"/>
      <c r="F34" s="457"/>
      <c r="G34" s="263">
        <f>SUM(G31:G33)</f>
        <v>3200</v>
      </c>
      <c r="H34" s="462">
        <f>G34+G27</f>
        <v>6334.6153846153848</v>
      </c>
      <c r="I34" s="450" t="s">
        <v>292</v>
      </c>
      <c r="J34" s="257"/>
      <c r="K34" s="257"/>
      <c r="L34" s="257"/>
      <c r="M34" s="262">
        <v>3050</v>
      </c>
    </row>
    <row r="35" spans="4:13" ht="15.75" thickBot="1" x14ac:dyDescent="0.3">
      <c r="I35" s="400" t="s">
        <v>293</v>
      </c>
      <c r="J35" s="259"/>
      <c r="K35" s="259"/>
      <c r="L35" s="259" t="s">
        <v>294</v>
      </c>
      <c r="M35" s="263">
        <f>M34/26</f>
        <v>117.30769230769231</v>
      </c>
    </row>
    <row r="36" spans="4:13" ht="16.5" thickTop="1" thickBot="1" x14ac:dyDescent="0.3">
      <c r="D36" s="452" t="s">
        <v>280</v>
      </c>
      <c r="E36" s="453"/>
      <c r="F36" s="453"/>
      <c r="G36" s="453"/>
      <c r="H36" s="454"/>
    </row>
    <row r="37" spans="4:13" ht="16.5" thickTop="1" thickBot="1" x14ac:dyDescent="0.3">
      <c r="I37" s="260" t="s">
        <v>300</v>
      </c>
    </row>
    <row r="38" spans="4:13" ht="15.75" thickBot="1" x14ac:dyDescent="0.3">
      <c r="D38" s="463" t="s">
        <v>301</v>
      </c>
      <c r="E38" s="257"/>
      <c r="F38" s="257"/>
      <c r="G38" s="6"/>
    </row>
    <row r="39" spans="4:13" x14ac:dyDescent="0.25">
      <c r="D39" s="396"/>
      <c r="E39" s="258"/>
      <c r="F39" s="258"/>
      <c r="G39" s="3"/>
      <c r="I39" s="450" t="s">
        <v>292</v>
      </c>
      <c r="J39" s="257"/>
      <c r="K39" s="257"/>
      <c r="L39" s="257"/>
      <c r="M39" s="262">
        <v>3200</v>
      </c>
    </row>
    <row r="40" spans="4:13" ht="15.75" thickBot="1" x14ac:dyDescent="0.3">
      <c r="D40" s="396" t="s">
        <v>0</v>
      </c>
      <c r="E40" s="258"/>
      <c r="F40" s="273"/>
      <c r="G40" s="265">
        <v>3050</v>
      </c>
      <c r="I40" s="459" t="s">
        <v>293</v>
      </c>
      <c r="J40" s="460"/>
      <c r="K40" s="460"/>
      <c r="L40" s="460" t="s">
        <v>295</v>
      </c>
      <c r="M40" s="461">
        <f>M39/26</f>
        <v>123.07692307692308</v>
      </c>
    </row>
    <row r="41" spans="4:13" x14ac:dyDescent="0.25">
      <c r="D41" s="396" t="s">
        <v>284</v>
      </c>
      <c r="E41" s="258">
        <v>24</v>
      </c>
      <c r="F41" s="273">
        <f>F25</f>
        <v>117.30769230769231</v>
      </c>
      <c r="G41" s="265">
        <f>-F41*E41</f>
        <v>-2815.3846153846152</v>
      </c>
    </row>
    <row r="42" spans="4:13" x14ac:dyDescent="0.25">
      <c r="D42" s="396" t="s">
        <v>285</v>
      </c>
      <c r="E42" s="258">
        <v>24</v>
      </c>
      <c r="F42" s="456">
        <f>F41</f>
        <v>117.30769230769231</v>
      </c>
      <c r="G42" s="265">
        <f>F42*E42</f>
        <v>2815.3846153846152</v>
      </c>
    </row>
    <row r="43" spans="4:13" ht="15.75" thickBot="1" x14ac:dyDescent="0.3">
      <c r="D43" s="400" t="s">
        <v>287</v>
      </c>
      <c r="E43" s="259"/>
      <c r="F43" s="457"/>
      <c r="G43" s="263">
        <f>SUM(G40:G42)</f>
        <v>3050</v>
      </c>
    </row>
    <row r="44" spans="4:13" ht="15.75" thickBot="1" x14ac:dyDescent="0.3">
      <c r="F44" s="264"/>
      <c r="G44" s="264"/>
    </row>
    <row r="45" spans="4:13" x14ac:dyDescent="0.25">
      <c r="D45" s="463" t="s">
        <v>303</v>
      </c>
      <c r="E45" s="257"/>
      <c r="F45" s="257"/>
      <c r="G45" s="6"/>
    </row>
    <row r="46" spans="4:13" x14ac:dyDescent="0.25">
      <c r="D46" s="396"/>
      <c r="E46" s="258"/>
      <c r="F46" s="258"/>
      <c r="G46" s="3"/>
    </row>
    <row r="47" spans="4:13" x14ac:dyDescent="0.25">
      <c r="D47" s="396" t="s">
        <v>0</v>
      </c>
      <c r="E47" s="258"/>
      <c r="F47" s="273"/>
      <c r="G47" s="265">
        <v>3200</v>
      </c>
    </row>
    <row r="48" spans="4:13" x14ac:dyDescent="0.25">
      <c r="D48" s="396" t="s">
        <v>284</v>
      </c>
      <c r="E48" s="258">
        <v>6</v>
      </c>
      <c r="F48" s="273">
        <f>F32</f>
        <v>123.07692307692308</v>
      </c>
      <c r="G48" s="265">
        <f>-F48*E48</f>
        <v>-738.46153846153845</v>
      </c>
    </row>
    <row r="49" spans="4:8" x14ac:dyDescent="0.25">
      <c r="D49" s="396" t="s">
        <v>285</v>
      </c>
      <c r="E49" s="258">
        <v>6</v>
      </c>
      <c r="F49" s="456">
        <f>F48</f>
        <v>123.07692307692308</v>
      </c>
      <c r="G49" s="265">
        <f>+F49*E49</f>
        <v>738.46153846153845</v>
      </c>
    </row>
    <row r="50" spans="4:8" ht="15.75" thickBot="1" x14ac:dyDescent="0.3">
      <c r="D50" s="396" t="s">
        <v>296</v>
      </c>
      <c r="E50" s="258">
        <v>24</v>
      </c>
      <c r="F50" s="273">
        <f>120.83-117.3</f>
        <v>3.5300000000000011</v>
      </c>
      <c r="G50" s="265">
        <f>+F50*E50</f>
        <v>84.720000000000027</v>
      </c>
    </row>
    <row r="51" spans="4:8" ht="16.5" thickTop="1" thickBot="1" x14ac:dyDescent="0.3">
      <c r="D51" s="285" t="s">
        <v>287</v>
      </c>
      <c r="E51" s="259"/>
      <c r="F51" s="259"/>
      <c r="G51" s="464">
        <f>SUM(G47:G50)</f>
        <v>3284.7200000000003</v>
      </c>
      <c r="H51" s="462">
        <f>G51+G43</f>
        <v>6334.72</v>
      </c>
    </row>
  </sheetData>
  <mergeCells count="2">
    <mergeCell ref="B4:B8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1613-8F55-45C0-B4C0-A361EF589C0E}">
  <dimension ref="A1:J5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2">
        <v>9</v>
      </c>
      <c r="H2" t="s">
        <v>305</v>
      </c>
    </row>
    <row r="3" spans="1:10" x14ac:dyDescent="0.25">
      <c r="A3" s="266">
        <v>44677</v>
      </c>
      <c r="B3" s="472">
        <v>7</v>
      </c>
    </row>
    <row r="4" spans="1:10" x14ac:dyDescent="0.25">
      <c r="A4" s="266">
        <v>44678</v>
      </c>
      <c r="B4" s="472">
        <v>10</v>
      </c>
      <c r="H4" t="s">
        <v>0</v>
      </c>
      <c r="J4">
        <v>2480</v>
      </c>
    </row>
    <row r="5" spans="1:10" x14ac:dyDescent="0.25">
      <c r="A5" s="266">
        <v>44679</v>
      </c>
      <c r="B5" s="472">
        <v>4</v>
      </c>
      <c r="H5" t="s">
        <v>306</v>
      </c>
      <c r="J5">
        <v>720</v>
      </c>
    </row>
    <row r="6" spans="1:10" x14ac:dyDescent="0.25">
      <c r="A6" s="266">
        <v>44680</v>
      </c>
      <c r="B6" s="472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2">
        <v>7</v>
      </c>
    </row>
    <row r="10" spans="1:10" x14ac:dyDescent="0.25">
      <c r="A10" s="266">
        <v>44684</v>
      </c>
      <c r="B10" s="472">
        <v>7</v>
      </c>
    </row>
    <row r="11" spans="1:10" x14ac:dyDescent="0.25">
      <c r="A11" s="266">
        <v>44685</v>
      </c>
      <c r="B11" s="472">
        <v>7</v>
      </c>
    </row>
    <row r="12" spans="1:10" x14ac:dyDescent="0.25">
      <c r="A12" s="266">
        <v>44686</v>
      </c>
      <c r="B12" s="472">
        <v>7</v>
      </c>
    </row>
    <row r="13" spans="1:10" x14ac:dyDescent="0.25">
      <c r="A13" s="266">
        <v>44687</v>
      </c>
      <c r="B13" s="472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2">
        <v>7</v>
      </c>
    </row>
    <row r="17" spans="1:2" x14ac:dyDescent="0.25">
      <c r="A17" s="266">
        <v>44691</v>
      </c>
      <c r="B17" s="472">
        <v>7</v>
      </c>
    </row>
    <row r="18" spans="1:2" x14ac:dyDescent="0.25">
      <c r="A18" s="266">
        <v>44692</v>
      </c>
      <c r="B18" s="472">
        <v>7</v>
      </c>
    </row>
    <row r="19" spans="1:2" x14ac:dyDescent="0.25">
      <c r="A19" s="266">
        <v>44693</v>
      </c>
      <c r="B19" s="472">
        <v>7</v>
      </c>
    </row>
    <row r="20" spans="1:2" x14ac:dyDescent="0.25">
      <c r="A20" s="266">
        <v>44694</v>
      </c>
      <c r="B20" s="472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2">
        <v>7</v>
      </c>
    </row>
    <row r="24" spans="1:2" x14ac:dyDescent="0.25">
      <c r="A24" s="266">
        <v>44698</v>
      </c>
      <c r="B24" s="472">
        <v>7</v>
      </c>
    </row>
    <row r="25" spans="1:2" x14ac:dyDescent="0.25">
      <c r="A25" s="266">
        <v>44699</v>
      </c>
      <c r="B25" s="472">
        <v>7</v>
      </c>
    </row>
    <row r="26" spans="1:2" x14ac:dyDescent="0.25">
      <c r="A26" s="266">
        <v>44700</v>
      </c>
      <c r="B26" s="472">
        <v>7</v>
      </c>
    </row>
    <row r="27" spans="1:2" x14ac:dyDescent="0.25">
      <c r="A27" s="266">
        <v>44701</v>
      </c>
      <c r="B27" s="472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2">
        <v>7</v>
      </c>
    </row>
    <row r="31" spans="1:2" x14ac:dyDescent="0.25">
      <c r="A31" s="266">
        <v>44705</v>
      </c>
      <c r="B31" s="472">
        <v>7</v>
      </c>
    </row>
    <row r="32" spans="1:2" x14ac:dyDescent="0.25">
      <c r="A32" s="266">
        <v>44706</v>
      </c>
      <c r="B32" s="472">
        <v>7</v>
      </c>
    </row>
    <row r="33" spans="1:2" x14ac:dyDescent="0.25">
      <c r="A33" s="266">
        <v>44707</v>
      </c>
      <c r="B33" s="472" t="s">
        <v>307</v>
      </c>
    </row>
    <row r="34" spans="1:2" x14ac:dyDescent="0.25">
      <c r="A34" s="266">
        <v>44708</v>
      </c>
      <c r="B34" s="472">
        <v>7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2">
        <v>10</v>
      </c>
    </row>
    <row r="38" spans="1:2" x14ac:dyDescent="0.25">
      <c r="A38" s="266">
        <v>44712</v>
      </c>
      <c r="B38" s="472">
        <v>8</v>
      </c>
    </row>
    <row r="39" spans="1:2" x14ac:dyDescent="0.25">
      <c r="A39" s="266">
        <v>44713</v>
      </c>
      <c r="B39" s="472">
        <v>10</v>
      </c>
    </row>
    <row r="40" spans="1:2" x14ac:dyDescent="0.25">
      <c r="A40" s="266">
        <v>44714</v>
      </c>
      <c r="B40" s="472">
        <v>7</v>
      </c>
    </row>
    <row r="41" spans="1:2" x14ac:dyDescent="0.25">
      <c r="A41" s="266">
        <v>44715</v>
      </c>
      <c r="B41" s="472">
        <v>7</v>
      </c>
    </row>
    <row r="42" spans="1:2" x14ac:dyDescent="0.25">
      <c r="A42" s="266">
        <v>44716</v>
      </c>
      <c r="B42" s="472"/>
    </row>
    <row r="43" spans="1:2" x14ac:dyDescent="0.25">
      <c r="A43" s="266">
        <v>44717</v>
      </c>
      <c r="B43" s="472"/>
    </row>
    <row r="44" spans="1:2" x14ac:dyDescent="0.25">
      <c r="A44" s="266"/>
      <c r="B44" s="472"/>
    </row>
    <row r="45" spans="1:2" x14ac:dyDescent="0.25">
      <c r="A45" s="266"/>
      <c r="B45" s="472"/>
    </row>
    <row r="46" spans="1:2" x14ac:dyDescent="0.25">
      <c r="A46" s="266"/>
      <c r="B46" s="472"/>
    </row>
    <row r="47" spans="1:2" x14ac:dyDescent="0.25">
      <c r="A47" s="266"/>
      <c r="B47" s="472"/>
    </row>
    <row r="48" spans="1:2" x14ac:dyDescent="0.25">
      <c r="B48" s="472"/>
    </row>
    <row r="49" spans="2:2" x14ac:dyDescent="0.25">
      <c r="B49" s="472"/>
    </row>
    <row r="50" spans="2:2" x14ac:dyDescent="0.25">
      <c r="B50" s="472"/>
    </row>
    <row r="51" spans="2:2" x14ac:dyDescent="0.25">
      <c r="B51" s="472"/>
    </row>
    <row r="52" spans="2:2" x14ac:dyDescent="0.25">
      <c r="B52" s="472"/>
    </row>
    <row r="53" spans="2:2" x14ac:dyDescent="0.25">
      <c r="B53" s="472"/>
    </row>
    <row r="54" spans="2:2" x14ac:dyDescent="0.25">
      <c r="B54" s="472"/>
    </row>
    <row r="55" spans="2:2" x14ac:dyDescent="0.25">
      <c r="B55" s="472"/>
    </row>
    <row r="56" spans="2:2" x14ac:dyDescent="0.25">
      <c r="B56" s="47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5717-3A44-4733-A958-779308E3380F}">
  <dimension ref="A1:J56"/>
  <sheetViews>
    <sheetView topLeftCell="A25"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2">
        <v>9</v>
      </c>
      <c r="H2" t="s">
        <v>305</v>
      </c>
    </row>
    <row r="3" spans="1:10" x14ac:dyDescent="0.25">
      <c r="A3" s="266">
        <v>44677</v>
      </c>
      <c r="B3" s="472">
        <v>7</v>
      </c>
    </row>
    <row r="4" spans="1:10" x14ac:dyDescent="0.25">
      <c r="A4" s="266">
        <v>44678</v>
      </c>
      <c r="B4" s="472">
        <v>10</v>
      </c>
      <c r="H4" t="s">
        <v>0</v>
      </c>
      <c r="J4">
        <v>2480</v>
      </c>
    </row>
    <row r="5" spans="1:10" x14ac:dyDescent="0.25">
      <c r="A5" s="266">
        <v>44679</v>
      </c>
      <c r="B5" s="472">
        <v>4</v>
      </c>
      <c r="H5" t="s">
        <v>306</v>
      </c>
      <c r="J5">
        <v>720</v>
      </c>
    </row>
    <row r="6" spans="1:10" x14ac:dyDescent="0.25">
      <c r="A6" s="266">
        <v>44680</v>
      </c>
      <c r="B6" s="472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2">
        <v>7</v>
      </c>
    </row>
    <row r="10" spans="1:10" x14ac:dyDescent="0.25">
      <c r="A10" s="266">
        <v>44684</v>
      </c>
      <c r="B10" s="472">
        <v>7</v>
      </c>
    </row>
    <row r="11" spans="1:10" x14ac:dyDescent="0.25">
      <c r="A11" s="266">
        <v>44685</v>
      </c>
      <c r="B11" s="472">
        <v>7</v>
      </c>
    </row>
    <row r="12" spans="1:10" x14ac:dyDescent="0.25">
      <c r="A12" s="266">
        <v>44686</v>
      </c>
      <c r="B12" s="472">
        <v>7</v>
      </c>
    </row>
    <row r="13" spans="1:10" x14ac:dyDescent="0.25">
      <c r="A13" s="266">
        <v>44687</v>
      </c>
      <c r="B13" s="472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2">
        <v>7</v>
      </c>
    </row>
    <row r="17" spans="1:2" x14ac:dyDescent="0.25">
      <c r="A17" s="266">
        <v>44691</v>
      </c>
      <c r="B17" s="472">
        <v>7</v>
      </c>
    </row>
    <row r="18" spans="1:2" x14ac:dyDescent="0.25">
      <c r="A18" s="266">
        <v>44692</v>
      </c>
      <c r="B18" s="472">
        <v>7</v>
      </c>
    </row>
    <row r="19" spans="1:2" x14ac:dyDescent="0.25">
      <c r="A19" s="266">
        <v>44693</v>
      </c>
      <c r="B19" s="472">
        <v>7</v>
      </c>
    </row>
    <row r="20" spans="1:2" x14ac:dyDescent="0.25">
      <c r="A20" s="266">
        <v>44694</v>
      </c>
      <c r="B20" s="472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2">
        <v>7</v>
      </c>
    </row>
    <row r="24" spans="1:2" x14ac:dyDescent="0.25">
      <c r="A24" s="266">
        <v>44698</v>
      </c>
      <c r="B24" s="472">
        <v>7</v>
      </c>
    </row>
    <row r="25" spans="1:2" x14ac:dyDescent="0.25">
      <c r="A25" s="266">
        <v>44699</v>
      </c>
      <c r="B25" s="472">
        <v>7</v>
      </c>
    </row>
    <row r="26" spans="1:2" x14ac:dyDescent="0.25">
      <c r="A26" s="266">
        <v>44700</v>
      </c>
      <c r="B26" s="472">
        <v>7</v>
      </c>
    </row>
    <row r="27" spans="1:2" x14ac:dyDescent="0.25">
      <c r="A27" s="266">
        <v>44701</v>
      </c>
      <c r="B27" s="472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2">
        <v>9</v>
      </c>
    </row>
    <row r="31" spans="1:2" x14ac:dyDescent="0.25">
      <c r="A31" s="266">
        <v>44705</v>
      </c>
      <c r="B31" s="472">
        <v>9</v>
      </c>
    </row>
    <row r="32" spans="1:2" x14ac:dyDescent="0.25">
      <c r="A32" s="266">
        <v>44706</v>
      </c>
      <c r="B32" s="472">
        <v>9</v>
      </c>
    </row>
    <row r="33" spans="1:2" x14ac:dyDescent="0.25">
      <c r="A33" s="266">
        <v>44707</v>
      </c>
      <c r="B33" s="472" t="s">
        <v>307</v>
      </c>
    </row>
    <row r="34" spans="1:2" x14ac:dyDescent="0.25">
      <c r="A34" s="266">
        <v>44708</v>
      </c>
      <c r="B34" s="472">
        <v>9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2">
        <v>10</v>
      </c>
    </row>
    <row r="38" spans="1:2" x14ac:dyDescent="0.25">
      <c r="A38" s="266">
        <v>44712</v>
      </c>
      <c r="B38" s="472">
        <v>8</v>
      </c>
    </row>
    <row r="39" spans="1:2" x14ac:dyDescent="0.25">
      <c r="A39" s="266">
        <v>44713</v>
      </c>
      <c r="B39" s="472">
        <v>10</v>
      </c>
    </row>
    <row r="40" spans="1:2" x14ac:dyDescent="0.25">
      <c r="A40" s="266">
        <v>44714</v>
      </c>
      <c r="B40" s="472">
        <v>7</v>
      </c>
    </row>
    <row r="41" spans="1:2" x14ac:dyDescent="0.25">
      <c r="A41" s="266">
        <v>44715</v>
      </c>
      <c r="B41" s="472">
        <v>7</v>
      </c>
    </row>
    <row r="42" spans="1:2" x14ac:dyDescent="0.25">
      <c r="A42" s="266">
        <v>44716</v>
      </c>
      <c r="B42" s="472"/>
    </row>
    <row r="43" spans="1:2" x14ac:dyDescent="0.25">
      <c r="A43" s="266">
        <v>44717</v>
      </c>
      <c r="B43" s="472"/>
    </row>
    <row r="44" spans="1:2" x14ac:dyDescent="0.25">
      <c r="A44" s="266"/>
      <c r="B44" s="472"/>
    </row>
    <row r="45" spans="1:2" x14ac:dyDescent="0.25">
      <c r="A45" s="266"/>
      <c r="B45" s="472"/>
    </row>
    <row r="46" spans="1:2" x14ac:dyDescent="0.25">
      <c r="A46" s="266"/>
      <c r="B46" s="472"/>
    </row>
    <row r="47" spans="1:2" x14ac:dyDescent="0.25">
      <c r="A47" s="266"/>
      <c r="B47" s="472"/>
    </row>
    <row r="48" spans="1:2" x14ac:dyDescent="0.25">
      <c r="B48" s="472"/>
    </row>
    <row r="49" spans="2:2" x14ac:dyDescent="0.25">
      <c r="B49" s="472"/>
    </row>
    <row r="50" spans="2:2" x14ac:dyDescent="0.25">
      <c r="B50" s="472"/>
    </row>
    <row r="51" spans="2:2" x14ac:dyDescent="0.25">
      <c r="B51" s="472"/>
    </row>
    <row r="52" spans="2:2" x14ac:dyDescent="0.25">
      <c r="B52" s="472"/>
    </row>
    <row r="53" spans="2:2" x14ac:dyDescent="0.25">
      <c r="B53" s="472"/>
    </row>
    <row r="54" spans="2:2" x14ac:dyDescent="0.25">
      <c r="B54" s="472"/>
    </row>
    <row r="55" spans="2:2" x14ac:dyDescent="0.25">
      <c r="B55" s="472"/>
    </row>
    <row r="56" spans="2:2" x14ac:dyDescent="0.25">
      <c r="B56" s="47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F394-3235-4C3D-8189-8DAFD9BD8ABA}">
  <dimension ref="A1:J5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2">
        <v>9</v>
      </c>
      <c r="H2" t="s">
        <v>305</v>
      </c>
    </row>
    <row r="3" spans="1:10" x14ac:dyDescent="0.25">
      <c r="A3" s="266">
        <v>44677</v>
      </c>
      <c r="B3" s="472">
        <v>7</v>
      </c>
    </row>
    <row r="4" spans="1:10" x14ac:dyDescent="0.25">
      <c r="A4" s="266">
        <v>44678</v>
      </c>
      <c r="B4" s="472">
        <v>10</v>
      </c>
      <c r="H4" t="s">
        <v>0</v>
      </c>
      <c r="J4">
        <v>3800</v>
      </c>
    </row>
    <row r="5" spans="1:10" x14ac:dyDescent="0.25">
      <c r="A5" s="266">
        <v>44679</v>
      </c>
      <c r="B5" s="472">
        <v>4</v>
      </c>
      <c r="H5" t="s">
        <v>306</v>
      </c>
      <c r="J5">
        <v>1200</v>
      </c>
    </row>
    <row r="6" spans="1:10" x14ac:dyDescent="0.25">
      <c r="A6" s="266">
        <v>44680</v>
      </c>
      <c r="B6" s="472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2">
        <v>7</v>
      </c>
    </row>
    <row r="10" spans="1:10" x14ac:dyDescent="0.25">
      <c r="A10" s="266">
        <v>44684</v>
      </c>
      <c r="B10" s="472">
        <v>7</v>
      </c>
    </row>
    <row r="11" spans="1:10" x14ac:dyDescent="0.25">
      <c r="A11" s="266">
        <v>44685</v>
      </c>
      <c r="B11" s="472">
        <v>7</v>
      </c>
    </row>
    <row r="12" spans="1:10" x14ac:dyDescent="0.25">
      <c r="A12" s="266">
        <v>44686</v>
      </c>
      <c r="B12" s="472">
        <v>7</v>
      </c>
    </row>
    <row r="13" spans="1:10" x14ac:dyDescent="0.25">
      <c r="A13" s="266">
        <v>44687</v>
      </c>
      <c r="B13" s="472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2">
        <v>7</v>
      </c>
    </row>
    <row r="17" spans="1:2" x14ac:dyDescent="0.25">
      <c r="A17" s="266">
        <v>44691</v>
      </c>
      <c r="B17" s="472">
        <v>7</v>
      </c>
    </row>
    <row r="18" spans="1:2" x14ac:dyDescent="0.25">
      <c r="A18" s="266">
        <v>44692</v>
      </c>
      <c r="B18" s="472">
        <v>7</v>
      </c>
    </row>
    <row r="19" spans="1:2" x14ac:dyDescent="0.25">
      <c r="A19" s="266">
        <v>44693</v>
      </c>
      <c r="B19" s="472">
        <v>7</v>
      </c>
    </row>
    <row r="20" spans="1:2" x14ac:dyDescent="0.25">
      <c r="A20" s="266">
        <v>44694</v>
      </c>
      <c r="B20" s="472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2">
        <v>7</v>
      </c>
    </row>
    <row r="24" spans="1:2" x14ac:dyDescent="0.25">
      <c r="A24" s="266">
        <v>44698</v>
      </c>
      <c r="B24" s="472">
        <v>7</v>
      </c>
    </row>
    <row r="25" spans="1:2" x14ac:dyDescent="0.25">
      <c r="A25" s="266">
        <v>44699</v>
      </c>
      <c r="B25" s="472">
        <v>7</v>
      </c>
    </row>
    <row r="26" spans="1:2" x14ac:dyDescent="0.25">
      <c r="A26" s="266">
        <v>44700</v>
      </c>
      <c r="B26" s="472">
        <v>7</v>
      </c>
    </row>
    <row r="27" spans="1:2" x14ac:dyDescent="0.25">
      <c r="A27" s="266">
        <v>44701</v>
      </c>
      <c r="B27" s="472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2">
        <v>9</v>
      </c>
    </row>
    <row r="31" spans="1:2" x14ac:dyDescent="0.25">
      <c r="A31" s="266">
        <v>44705</v>
      </c>
      <c r="B31" s="472">
        <v>9</v>
      </c>
    </row>
    <row r="32" spans="1:2" x14ac:dyDescent="0.25">
      <c r="A32" s="266">
        <v>44706</v>
      </c>
      <c r="B32" s="472">
        <v>9</v>
      </c>
    </row>
    <row r="33" spans="1:2" x14ac:dyDescent="0.25">
      <c r="A33" s="266">
        <v>44707</v>
      </c>
      <c r="B33" s="472" t="s">
        <v>307</v>
      </c>
    </row>
    <row r="34" spans="1:2" x14ac:dyDescent="0.25">
      <c r="A34" s="266">
        <v>44708</v>
      </c>
      <c r="B34" s="472">
        <v>9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2">
        <v>10</v>
      </c>
    </row>
    <row r="38" spans="1:2" x14ac:dyDescent="0.25">
      <c r="A38" s="266">
        <v>44712</v>
      </c>
      <c r="B38" s="472">
        <v>8</v>
      </c>
    </row>
    <row r="39" spans="1:2" x14ac:dyDescent="0.25">
      <c r="A39" s="266">
        <v>44713</v>
      </c>
      <c r="B39" s="472">
        <v>10</v>
      </c>
    </row>
    <row r="40" spans="1:2" x14ac:dyDescent="0.25">
      <c r="A40" s="266">
        <v>44714</v>
      </c>
      <c r="B40" s="472">
        <v>7</v>
      </c>
    </row>
    <row r="41" spans="1:2" x14ac:dyDescent="0.25">
      <c r="A41" s="266">
        <v>44715</v>
      </c>
      <c r="B41" s="472">
        <v>7</v>
      </c>
    </row>
    <row r="42" spans="1:2" x14ac:dyDescent="0.25">
      <c r="A42" s="266">
        <v>44716</v>
      </c>
      <c r="B42" s="472"/>
    </row>
    <row r="43" spans="1:2" x14ac:dyDescent="0.25">
      <c r="A43" s="266">
        <v>44717</v>
      </c>
      <c r="B43" s="472"/>
    </row>
    <row r="44" spans="1:2" x14ac:dyDescent="0.25">
      <c r="A44" s="266"/>
      <c r="B44" s="472"/>
    </row>
    <row r="45" spans="1:2" x14ac:dyDescent="0.25">
      <c r="A45" s="266"/>
      <c r="B45" s="472"/>
    </row>
    <row r="46" spans="1:2" x14ac:dyDescent="0.25">
      <c r="A46" s="266"/>
      <c r="B46" s="472"/>
    </row>
    <row r="47" spans="1:2" x14ac:dyDescent="0.25">
      <c r="A47" s="266"/>
      <c r="B47" s="472"/>
    </row>
    <row r="48" spans="1:2" x14ac:dyDescent="0.25">
      <c r="B48" s="472"/>
    </row>
    <row r="49" spans="2:2" x14ac:dyDescent="0.25">
      <c r="B49" s="472"/>
    </row>
    <row r="50" spans="2:2" x14ac:dyDescent="0.25">
      <c r="B50" s="472"/>
    </row>
    <row r="51" spans="2:2" x14ac:dyDescent="0.25">
      <c r="B51" s="472"/>
    </row>
    <row r="52" spans="2:2" x14ac:dyDescent="0.25">
      <c r="B52" s="472"/>
    </row>
    <row r="53" spans="2:2" x14ac:dyDescent="0.25">
      <c r="B53" s="472"/>
    </row>
    <row r="54" spans="2:2" x14ac:dyDescent="0.25">
      <c r="B54" s="472"/>
    </row>
    <row r="55" spans="2:2" x14ac:dyDescent="0.25">
      <c r="B55" s="472"/>
    </row>
    <row r="56" spans="2:2" x14ac:dyDescent="0.25">
      <c r="B56" s="47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2B7F-5EE9-4C2D-8FE3-B777DE621495}">
  <dimension ref="A1:J5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29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2">
        <v>9</v>
      </c>
      <c r="H2" t="s">
        <v>305</v>
      </c>
    </row>
    <row r="3" spans="1:10" x14ac:dyDescent="0.25">
      <c r="A3" s="266">
        <v>44677</v>
      </c>
      <c r="B3" s="472">
        <v>7</v>
      </c>
    </row>
    <row r="4" spans="1:10" x14ac:dyDescent="0.25">
      <c r="A4" s="266">
        <v>44678</v>
      </c>
      <c r="B4" s="472">
        <v>10</v>
      </c>
      <c r="H4" t="s">
        <v>0</v>
      </c>
      <c r="J4">
        <v>2000</v>
      </c>
    </row>
    <row r="5" spans="1:10" x14ac:dyDescent="0.25">
      <c r="A5" s="266">
        <v>44679</v>
      </c>
      <c r="B5" s="472">
        <v>4</v>
      </c>
      <c r="H5" t="s">
        <v>308</v>
      </c>
      <c r="J5">
        <v>515</v>
      </c>
    </row>
    <row r="6" spans="1:10" x14ac:dyDescent="0.25">
      <c r="A6" s="266">
        <v>44680</v>
      </c>
      <c r="B6" s="472">
        <v>7</v>
      </c>
      <c r="H6" t="s">
        <v>309</v>
      </c>
      <c r="J6">
        <v>325</v>
      </c>
    </row>
    <row r="7" spans="1:10" x14ac:dyDescent="0.25">
      <c r="A7" s="266">
        <v>44681</v>
      </c>
      <c r="H7" t="s">
        <v>310</v>
      </c>
      <c r="J7">
        <v>465</v>
      </c>
    </row>
    <row r="8" spans="1:10" x14ac:dyDescent="0.25">
      <c r="A8" s="266">
        <v>44682</v>
      </c>
      <c r="H8" t="s">
        <v>311</v>
      </c>
      <c r="J8">
        <v>730</v>
      </c>
    </row>
    <row r="9" spans="1:10" x14ac:dyDescent="0.25">
      <c r="A9" s="266">
        <v>44683</v>
      </c>
      <c r="B9" s="472">
        <v>7</v>
      </c>
      <c r="H9" t="s">
        <v>312</v>
      </c>
      <c r="J9">
        <v>320</v>
      </c>
    </row>
    <row r="10" spans="1:10" x14ac:dyDescent="0.25">
      <c r="A10" s="266">
        <v>44684</v>
      </c>
      <c r="B10" s="472">
        <v>7</v>
      </c>
      <c r="H10" t="s">
        <v>313</v>
      </c>
      <c r="J10" s="473">
        <v>0.2</v>
      </c>
    </row>
    <row r="11" spans="1:10" x14ac:dyDescent="0.25">
      <c r="A11" s="266">
        <v>44685</v>
      </c>
      <c r="B11" s="472">
        <v>7</v>
      </c>
    </row>
    <row r="12" spans="1:10" x14ac:dyDescent="0.25">
      <c r="A12" s="266">
        <v>44686</v>
      </c>
      <c r="B12" s="472">
        <v>7</v>
      </c>
    </row>
    <row r="13" spans="1:10" x14ac:dyDescent="0.25">
      <c r="A13" s="266">
        <v>44687</v>
      </c>
      <c r="B13" s="472">
        <v>4</v>
      </c>
    </row>
    <row r="14" spans="1:10" x14ac:dyDescent="0.25">
      <c r="A14" s="266">
        <v>44688</v>
      </c>
      <c r="B14" s="472">
        <v>3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2">
        <v>7</v>
      </c>
    </row>
    <row r="17" spans="1:2" x14ac:dyDescent="0.25">
      <c r="A17" s="266">
        <v>44691</v>
      </c>
      <c r="B17" s="472">
        <v>7</v>
      </c>
    </row>
    <row r="18" spans="1:2" x14ac:dyDescent="0.25">
      <c r="A18" s="266">
        <v>44692</v>
      </c>
      <c r="B18" s="472">
        <v>7</v>
      </c>
    </row>
    <row r="19" spans="1:2" x14ac:dyDescent="0.25">
      <c r="A19" s="266">
        <v>44693</v>
      </c>
      <c r="B19" s="472">
        <v>7</v>
      </c>
    </row>
    <row r="20" spans="1:2" x14ac:dyDescent="0.25">
      <c r="A20" s="266">
        <v>44694</v>
      </c>
      <c r="B20" s="472">
        <v>7</v>
      </c>
    </row>
    <row r="21" spans="1:2" x14ac:dyDescent="0.25">
      <c r="A21" s="266">
        <v>44695</v>
      </c>
      <c r="B21" s="472">
        <v>3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2">
        <v>7</v>
      </c>
    </row>
    <row r="24" spans="1:2" x14ac:dyDescent="0.25">
      <c r="A24" s="266">
        <v>44698</v>
      </c>
      <c r="B24" s="472">
        <v>7</v>
      </c>
    </row>
    <row r="25" spans="1:2" x14ac:dyDescent="0.25">
      <c r="A25" s="266">
        <v>44699</v>
      </c>
      <c r="B25" s="472">
        <v>7</v>
      </c>
    </row>
    <row r="26" spans="1:2" x14ac:dyDescent="0.25">
      <c r="A26" s="266">
        <v>44700</v>
      </c>
      <c r="B26" s="472">
        <v>7</v>
      </c>
    </row>
    <row r="27" spans="1:2" x14ac:dyDescent="0.25">
      <c r="A27" s="266">
        <v>44701</v>
      </c>
      <c r="B27" s="472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2">
        <v>7</v>
      </c>
    </row>
    <row r="31" spans="1:2" x14ac:dyDescent="0.25">
      <c r="A31" s="266">
        <v>44705</v>
      </c>
      <c r="B31" s="472">
        <v>7</v>
      </c>
    </row>
    <row r="32" spans="1:2" x14ac:dyDescent="0.25">
      <c r="A32" s="266">
        <v>44706</v>
      </c>
      <c r="B32" s="472">
        <v>7</v>
      </c>
    </row>
    <row r="33" spans="1:2" x14ac:dyDescent="0.25">
      <c r="A33" s="266">
        <v>44707</v>
      </c>
      <c r="B33" s="472" t="s">
        <v>307</v>
      </c>
    </row>
    <row r="34" spans="1:2" x14ac:dyDescent="0.25">
      <c r="A34" s="266">
        <v>44708</v>
      </c>
      <c r="B34" s="472">
        <v>7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2">
        <v>10</v>
      </c>
    </row>
    <row r="38" spans="1:2" x14ac:dyDescent="0.25">
      <c r="A38" s="266">
        <v>44712</v>
      </c>
      <c r="B38" s="472">
        <v>8</v>
      </c>
    </row>
    <row r="39" spans="1:2" x14ac:dyDescent="0.25">
      <c r="A39" s="266">
        <v>44713</v>
      </c>
      <c r="B39" s="472">
        <v>10</v>
      </c>
    </row>
    <row r="40" spans="1:2" x14ac:dyDescent="0.25">
      <c r="A40" s="266">
        <v>44714</v>
      </c>
      <c r="B40" s="472">
        <v>7</v>
      </c>
    </row>
    <row r="41" spans="1:2" x14ac:dyDescent="0.25">
      <c r="A41" s="266">
        <v>44715</v>
      </c>
      <c r="B41" s="472">
        <v>7</v>
      </c>
    </row>
    <row r="42" spans="1:2" x14ac:dyDescent="0.25">
      <c r="A42" s="266">
        <v>44716</v>
      </c>
      <c r="B42" s="472"/>
    </row>
    <row r="43" spans="1:2" x14ac:dyDescent="0.25">
      <c r="A43" s="266">
        <v>44717</v>
      </c>
      <c r="B43" s="472"/>
    </row>
    <row r="44" spans="1:2" x14ac:dyDescent="0.25">
      <c r="A44" s="266"/>
      <c r="B44" s="472"/>
    </row>
    <row r="45" spans="1:2" x14ac:dyDescent="0.25">
      <c r="A45" s="266"/>
      <c r="B45" s="472"/>
    </row>
    <row r="46" spans="1:2" x14ac:dyDescent="0.25">
      <c r="A46" s="266"/>
      <c r="B46" s="472"/>
    </row>
    <row r="47" spans="1:2" x14ac:dyDescent="0.25">
      <c r="A47" s="266"/>
      <c r="B47" s="472"/>
    </row>
    <row r="48" spans="1:2" x14ac:dyDescent="0.25">
      <c r="B48" s="472"/>
    </row>
    <row r="49" spans="2:2" x14ac:dyDescent="0.25">
      <c r="B49" s="472"/>
    </row>
    <row r="50" spans="2:2" x14ac:dyDescent="0.25">
      <c r="B50" s="472"/>
    </row>
    <row r="51" spans="2:2" x14ac:dyDescent="0.25">
      <c r="B51" s="472"/>
    </row>
    <row r="52" spans="2:2" x14ac:dyDescent="0.25">
      <c r="B52" s="472"/>
    </row>
    <row r="53" spans="2:2" x14ac:dyDescent="0.25">
      <c r="B53" s="472"/>
    </row>
    <row r="54" spans="2:2" x14ac:dyDescent="0.25">
      <c r="B54" s="472"/>
    </row>
    <row r="55" spans="2:2" x14ac:dyDescent="0.25">
      <c r="B55" s="472"/>
    </row>
    <row r="56" spans="2:2" x14ac:dyDescent="0.25">
      <c r="B56" s="47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ARRET DE TRAVAIL</vt:lpstr>
      <vt:lpstr>DONNEES SUR CP</vt:lpstr>
      <vt:lpstr>Tableau simplifié de calcul</vt:lpstr>
      <vt:lpstr>REGULARISATION</vt:lpstr>
      <vt:lpstr>DECOMPTE DES CONGES PAYES</vt:lpstr>
      <vt:lpstr>CAS 1</vt:lpstr>
      <vt:lpstr>CAS 2</vt:lpstr>
      <vt:lpstr>CAS 3</vt:lpstr>
      <vt:lpstr>CAS 4</vt:lpstr>
      <vt:lpstr>Bulletin 2</vt:lpstr>
      <vt:lpstr>REGUL </vt:lpstr>
      <vt:lpstr>Bulletin 3</vt:lpstr>
      <vt:lpstr>Bulletin 4</vt:lpstr>
      <vt:lpstr>REGUL S1</vt:lpstr>
      <vt:lpstr>BP2</vt:lpstr>
      <vt:lpstr>BP3</vt:lpstr>
      <vt:lpstr>BP4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2022-09-07T09:54:17Z</dcterms:modified>
</cp:coreProperties>
</file>