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bis-ARRET-DE-TRAVAIL-MALADIE ET MAINTIEN BRUT - Copie\DOCUMENTS\"/>
    </mc:Choice>
  </mc:AlternateContent>
  <xr:revisionPtr revIDLastSave="0" documentId="13_ncr:1_{F02BBD76-827F-4666-95B2-45C73C509021}" xr6:coauthVersionLast="47" xr6:coauthVersionMax="47" xr10:uidLastSave="{00000000-0000-0000-0000-000000000000}"/>
  <bookViews>
    <workbookView xWindow="23880" yWindow="-120" windowWidth="25440" windowHeight="15390" firstSheet="2" activeTab="2" xr2:uid="{2CDD76BD-2964-405C-B9B8-D38D49F646F8}"/>
  </bookViews>
  <sheets>
    <sheet name="Bulletin non-cadre" sheetId="7" state="hidden" r:id="rId1"/>
    <sheet name=" bulletin simplif non-cadre" sheetId="8" state="hidden" r:id="rId2"/>
    <sheet name="Exercice 1" sheetId="21" r:id="rId3"/>
    <sheet name="OUTILS" sheetId="26" state="hidden" r:id="rId4"/>
    <sheet name=" bulletin cadre" sheetId="2" state="hidden" r:id="rId5"/>
    <sheet name="bulletin cadre simplifié" sheetId="3" state="hidden" r:id="rId6"/>
    <sheet name="Décomposition non-cadre" sheetId="9" state="hidden" r:id="rId7"/>
    <sheet name="Décomposition cadre" sheetId="10" state="hidden" r:id="rId8"/>
    <sheet name="temps partiel" sheetId="14" state="hidden" r:id="rId9"/>
    <sheet name="temps complet" sheetId="16" state="hidden" r:id="rId10"/>
    <sheet name=" enonce NC" sheetId="6" state="hidden" r:id="rId11"/>
  </sheets>
  <externalReferences>
    <externalReference r:id="rId12"/>
    <externalReference r:id="rId13"/>
  </externalReferences>
  <definedNames>
    <definedName name="_Toc409093540" localSheetId="4">' bulletin cadre'!$A$5</definedName>
    <definedName name="_Toc409093540" localSheetId="1">' bulletin simplif non-cadre'!$A$1</definedName>
    <definedName name="_Toc409093540" localSheetId="10">' enonce NC'!$A$1</definedName>
    <definedName name="_Toc409093540" localSheetId="0">'Bulletin non-cadre'!$A$5</definedName>
    <definedName name="_Toc409093540" localSheetId="7">'Décomposition cadre'!#REF!</definedName>
    <definedName name="_Toc409093540" localSheetId="6">'Décomposition non-cadre'!#REF!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21" l="1"/>
  <c r="E49" i="21"/>
  <c r="E47" i="21"/>
  <c r="E151" i="21"/>
  <c r="C151" i="21"/>
  <c r="C152" i="21" s="1"/>
  <c r="D37" i="21"/>
  <c r="E52" i="26"/>
  <c r="E53" i="26" s="1"/>
  <c r="C52" i="26"/>
  <c r="G52" i="26" s="1"/>
  <c r="H52" i="26" s="1"/>
  <c r="E41" i="26"/>
  <c r="E42" i="26" s="1"/>
  <c r="C41" i="26"/>
  <c r="C42" i="26" s="1"/>
  <c r="C43" i="26" s="1"/>
  <c r="C44" i="26" s="1"/>
  <c r="C45" i="26" s="1"/>
  <c r="F35" i="26"/>
  <c r="D35" i="26"/>
  <c r="F34" i="26"/>
  <c r="D34" i="26"/>
  <c r="F33" i="26"/>
  <c r="D33" i="26"/>
  <c r="F32" i="26"/>
  <c r="D32" i="26"/>
  <c r="F31" i="26"/>
  <c r="G31" i="26" s="1"/>
  <c r="G32" i="26" s="1"/>
  <c r="G33" i="26" s="1"/>
  <c r="G34" i="26" s="1"/>
  <c r="G35" i="26" s="1"/>
  <c r="D31" i="26"/>
  <c r="C31" i="26"/>
  <c r="C32" i="26" s="1"/>
  <c r="F25" i="26"/>
  <c r="D25" i="26"/>
  <c r="F24" i="26"/>
  <c r="D24" i="26"/>
  <c r="F23" i="26"/>
  <c r="D23" i="26"/>
  <c r="F22" i="26"/>
  <c r="D22" i="26"/>
  <c r="F21" i="26"/>
  <c r="G21" i="26" s="1"/>
  <c r="G22" i="26" s="1"/>
  <c r="G23" i="26" s="1"/>
  <c r="G24" i="26" s="1"/>
  <c r="G25" i="26" s="1"/>
  <c r="D21" i="26"/>
  <c r="C21" i="26"/>
  <c r="C22" i="26" s="1"/>
  <c r="C12" i="26"/>
  <c r="C13" i="26" s="1"/>
  <c r="E11" i="26"/>
  <c r="E12" i="26" s="1"/>
  <c r="E13" i="26" s="1"/>
  <c r="E14" i="26" s="1"/>
  <c r="E15" i="26" s="1"/>
  <c r="C11" i="26"/>
  <c r="F151" i="21" l="1"/>
  <c r="E152" i="21"/>
  <c r="D153" i="21"/>
  <c r="C14" i="26"/>
  <c r="F13" i="26"/>
  <c r="C33" i="26"/>
  <c r="H32" i="26"/>
  <c r="I32" i="26" s="1"/>
  <c r="J32" i="26" s="1"/>
  <c r="K32" i="26" s="1"/>
  <c r="E43" i="26"/>
  <c r="F42" i="26"/>
  <c r="C23" i="26"/>
  <c r="H22" i="26"/>
  <c r="I22" i="26" s="1"/>
  <c r="J22" i="26" s="1"/>
  <c r="K22" i="26" s="1"/>
  <c r="E54" i="26"/>
  <c r="F12" i="26"/>
  <c r="C53" i="26"/>
  <c r="H21" i="26"/>
  <c r="I21" i="26" s="1"/>
  <c r="J21" i="26" s="1"/>
  <c r="K21" i="26" s="1"/>
  <c r="H31" i="26"/>
  <c r="I31" i="26" s="1"/>
  <c r="J31" i="26" s="1"/>
  <c r="K31" i="26" s="1"/>
  <c r="F52" i="26"/>
  <c r="F11" i="26"/>
  <c r="G11" i="26" s="1"/>
  <c r="H11" i="26" s="1"/>
  <c r="F41" i="26"/>
  <c r="E153" i="21" l="1"/>
  <c r="F152" i="21"/>
  <c r="G152" i="21" s="1"/>
  <c r="C153" i="21"/>
  <c r="G151" i="21"/>
  <c r="H151" i="21" s="1"/>
  <c r="G53" i="26"/>
  <c r="H53" i="26" s="1"/>
  <c r="C54" i="26"/>
  <c r="G13" i="26"/>
  <c r="H13" i="26" s="1"/>
  <c r="G12" i="26"/>
  <c r="H12" i="26" s="1"/>
  <c r="C24" i="26"/>
  <c r="H23" i="26"/>
  <c r="I23" i="26" s="1"/>
  <c r="J23" i="26" s="1"/>
  <c r="K23" i="26" s="1"/>
  <c r="C34" i="26"/>
  <c r="H33" i="26"/>
  <c r="I33" i="26" s="1"/>
  <c r="J33" i="26" s="1"/>
  <c r="K33" i="26" s="1"/>
  <c r="F14" i="26"/>
  <c r="G14" i="26" s="1"/>
  <c r="H14" i="26" s="1"/>
  <c r="C15" i="26"/>
  <c r="F15" i="26" s="1"/>
  <c r="G15" i="26" s="1"/>
  <c r="H15" i="26" s="1"/>
  <c r="F53" i="26"/>
  <c r="G42" i="26"/>
  <c r="H42" i="26" s="1"/>
  <c r="I42" i="26"/>
  <c r="I41" i="26"/>
  <c r="G41" i="26"/>
  <c r="H41" i="26" s="1"/>
  <c r="E55" i="26"/>
  <c r="F54" i="26"/>
  <c r="F43" i="26"/>
  <c r="E44" i="26"/>
  <c r="F153" i="21" l="1"/>
  <c r="G153" i="21" s="1"/>
  <c r="H153" i="21" s="1"/>
  <c r="H152" i="21"/>
  <c r="E45" i="26"/>
  <c r="F45" i="26" s="1"/>
  <c r="F44" i="26"/>
  <c r="C35" i="26"/>
  <c r="H35" i="26" s="1"/>
  <c r="I35" i="26" s="1"/>
  <c r="H34" i="26"/>
  <c r="I34" i="26" s="1"/>
  <c r="J34" i="26" s="1"/>
  <c r="K34" i="26" s="1"/>
  <c r="C55" i="26"/>
  <c r="G54" i="26"/>
  <c r="H54" i="26" s="1"/>
  <c r="E56" i="26"/>
  <c r="F55" i="26"/>
  <c r="I43" i="26"/>
  <c r="G43" i="26"/>
  <c r="H43" i="26" s="1"/>
  <c r="C25" i="26"/>
  <c r="H25" i="26" s="1"/>
  <c r="I25" i="26" s="1"/>
  <c r="H24" i="26"/>
  <c r="I24" i="26" s="1"/>
  <c r="J24" i="26" s="1"/>
  <c r="K24" i="26" s="1"/>
  <c r="D74" i="21" l="1"/>
  <c r="J35" i="26"/>
  <c r="K35" i="26" s="1"/>
  <c r="J25" i="26"/>
  <c r="K25" i="26" s="1"/>
  <c r="G44" i="26"/>
  <c r="H44" i="26" s="1"/>
  <c r="I44" i="26"/>
  <c r="C56" i="26"/>
  <c r="G56" i="26" s="1"/>
  <c r="H56" i="26" s="1"/>
  <c r="G55" i="26"/>
  <c r="H55" i="26" s="1"/>
  <c r="I45" i="26"/>
  <c r="G45" i="26"/>
  <c r="F56" i="26" l="1"/>
  <c r="H45" i="26"/>
  <c r="B105" i="21" l="1"/>
  <c r="D105" i="21" s="1"/>
  <c r="B113" i="21"/>
  <c r="B114" i="21" s="1"/>
  <c r="D114" i="21" s="1"/>
  <c r="B112" i="21"/>
  <c r="D112" i="21" s="1"/>
  <c r="D111" i="21"/>
  <c r="B103" i="21"/>
  <c r="B104" i="21" s="1"/>
  <c r="D104" i="21" s="1"/>
  <c r="B98" i="21"/>
  <c r="D98" i="21" s="1"/>
  <c r="B97" i="21"/>
  <c r="D97" i="21" s="1"/>
  <c r="B95" i="21"/>
  <c r="B94" i="21"/>
  <c r="B90" i="21"/>
  <c r="B89" i="21"/>
  <c r="C88" i="21"/>
  <c r="D95" i="21" s="1"/>
  <c r="E51" i="21"/>
  <c r="E50" i="21"/>
  <c r="D103" i="21" l="1"/>
  <c r="D107" i="21"/>
  <c r="D113" i="21"/>
  <c r="D115" i="21"/>
  <c r="D90" i="21"/>
  <c r="D91" i="21"/>
  <c r="D94" i="21"/>
  <c r="D89" i="21"/>
  <c r="D92" i="21"/>
  <c r="D93" i="21"/>
  <c r="D100" i="21" l="1"/>
  <c r="L36" i="2" l="1"/>
  <c r="J20" i="2"/>
  <c r="B33" i="2"/>
  <c r="F33" i="2" s="1"/>
  <c r="F16" i="2"/>
  <c r="I20" i="2"/>
  <c r="F44" i="2"/>
  <c r="B29" i="2"/>
  <c r="B20" i="2"/>
  <c r="B21" i="2"/>
  <c r="B19" i="2"/>
  <c r="J19" i="7"/>
  <c r="I18" i="7"/>
  <c r="I16" i="7"/>
  <c r="F29" i="7"/>
  <c r="B30" i="7"/>
  <c r="F30" i="7" s="1"/>
  <c r="B29" i="7"/>
  <c r="I19" i="7" s="1"/>
  <c r="F25" i="7"/>
  <c r="B18" i="7"/>
  <c r="B19" i="7"/>
  <c r="B17" i="7"/>
  <c r="L19" i="7" l="1"/>
  <c r="D29" i="7"/>
  <c r="K19" i="7"/>
  <c r="D33" i="2"/>
  <c r="D30" i="7"/>
  <c r="J30" i="2" l="1"/>
  <c r="J29" i="2"/>
  <c r="J25" i="2"/>
  <c r="K25" i="2" s="1"/>
  <c r="J26" i="2"/>
  <c r="K26" i="2" s="1"/>
  <c r="K20" i="2"/>
  <c r="J18" i="2"/>
  <c r="K18" i="2" s="1"/>
  <c r="J17" i="2"/>
  <c r="K17" i="2" s="1"/>
  <c r="J16" i="2"/>
  <c r="K16" i="2" s="1"/>
  <c r="J12" i="2"/>
  <c r="K12" i="2" s="1"/>
  <c r="J27" i="7"/>
  <c r="J26" i="7"/>
  <c r="J23" i="7"/>
  <c r="K23" i="7" s="1"/>
  <c r="J18" i="7"/>
  <c r="K18" i="7" s="1"/>
  <c r="J17" i="7"/>
  <c r="K17" i="7" s="1"/>
  <c r="J16" i="7"/>
  <c r="K16" i="7" s="1"/>
  <c r="J13" i="7"/>
  <c r="K13" i="7" s="1"/>
  <c r="J12" i="7"/>
  <c r="K12" i="7" s="1"/>
  <c r="L28" i="7"/>
  <c r="L35" i="7" s="1"/>
  <c r="B31" i="2" l="1"/>
  <c r="F38" i="7" l="1"/>
  <c r="F37" i="7"/>
  <c r="F31" i="7"/>
  <c r="F28" i="7"/>
  <c r="F27" i="7"/>
  <c r="F24" i="7"/>
  <c r="L23" i="7" s="1"/>
  <c r="F20" i="7"/>
  <c r="F10" i="7"/>
  <c r="L16" i="7" s="1"/>
  <c r="F11" i="7"/>
  <c r="L17" i="7" s="1"/>
  <c r="F13" i="7"/>
  <c r="L22" i="7" s="1"/>
  <c r="F14" i="7"/>
  <c r="F15" i="7"/>
  <c r="F16" i="7"/>
  <c r="L14" i="7" s="1"/>
  <c r="F9" i="7"/>
  <c r="F35" i="2"/>
  <c r="D35" i="2"/>
  <c r="E32" i="7"/>
  <c r="F32" i="7" s="1"/>
  <c r="L12" i="7" s="1"/>
  <c r="L13" i="2" l="1"/>
  <c r="B33" i="7"/>
  <c r="L13" i="7"/>
  <c r="L24" i="7"/>
  <c r="L18" i="7"/>
  <c r="L11" i="7"/>
  <c r="D48" i="9"/>
  <c r="E28" i="9"/>
  <c r="D28" i="9"/>
  <c r="E21" i="9"/>
  <c r="D21" i="9"/>
  <c r="E18" i="9"/>
  <c r="D18" i="9"/>
  <c r="D53" i="10"/>
  <c r="E25" i="10"/>
  <c r="D25" i="10"/>
  <c r="E19" i="10"/>
  <c r="D19" i="10"/>
  <c r="F40" i="7" l="1"/>
  <c r="I26" i="7"/>
  <c r="B34" i="7"/>
  <c r="B35" i="7" s="1"/>
  <c r="L31" i="7"/>
  <c r="K35" i="7" s="1"/>
  <c r="I22" i="8"/>
  <c r="K26" i="7" l="1"/>
  <c r="I27" i="7"/>
  <c r="K27" i="7" s="1"/>
  <c r="K31" i="7" s="1"/>
  <c r="K33" i="7" s="1"/>
  <c r="E28" i="8"/>
  <c r="I16" i="8"/>
  <c r="C16" i="8"/>
  <c r="I8" i="8"/>
  <c r="C8" i="8"/>
  <c r="I25" i="3"/>
  <c r="E24" i="3"/>
  <c r="I17" i="3"/>
  <c r="C17" i="3"/>
  <c r="I15" i="3"/>
  <c r="E15" i="3" s="1"/>
  <c r="C15" i="3"/>
  <c r="D15" i="3" s="1"/>
  <c r="I14" i="3"/>
  <c r="C14" i="3"/>
  <c r="I13" i="3"/>
  <c r="E13" i="3" s="1"/>
  <c r="C13" i="3"/>
  <c r="D13" i="3" s="1"/>
  <c r="I11" i="3"/>
  <c r="E10" i="3"/>
  <c r="D10" i="3"/>
  <c r="I9" i="3"/>
  <c r="C9" i="3"/>
  <c r="E8" i="3"/>
  <c r="I7" i="3"/>
  <c r="B3" i="3"/>
  <c r="F43" i="2"/>
  <c r="F25" i="2"/>
  <c r="F24" i="2"/>
  <c r="F22" i="2"/>
  <c r="D21" i="2"/>
  <c r="D20" i="2"/>
  <c r="D19" i="2"/>
  <c r="F17" i="2"/>
  <c r="F15" i="2"/>
  <c r="F10" i="2"/>
  <c r="L16" i="2" s="1"/>
  <c r="D10" i="2"/>
  <c r="L25" i="2" l="1"/>
  <c r="F36" i="2"/>
  <c r="B9" i="3"/>
  <c r="E9" i="3" s="1"/>
  <c r="B27" i="3" s="1"/>
  <c r="B25" i="3"/>
  <c r="E25" i="3" s="1"/>
  <c r="B14" i="3"/>
  <c r="B17" i="3" s="1"/>
  <c r="E17" i="3" s="1"/>
  <c r="B23" i="3"/>
  <c r="D23" i="3" s="1"/>
  <c r="B22" i="3"/>
  <c r="E22" i="3" s="1"/>
  <c r="F42" i="2"/>
  <c r="B7" i="3"/>
  <c r="B20" i="3" s="1"/>
  <c r="D19" i="7"/>
  <c r="D17" i="7"/>
  <c r="B3" i="8"/>
  <c r="D18" i="7"/>
  <c r="F9" i="2"/>
  <c r="L11" i="2" s="1"/>
  <c r="D9" i="2"/>
  <c r="D28" i="2"/>
  <c r="F28" i="2"/>
  <c r="D24" i="2"/>
  <c r="B11" i="3"/>
  <c r="E11" i="3" s="1"/>
  <c r="L12" i="2" l="1"/>
  <c r="B18" i="2"/>
  <c r="F18" i="2" s="1"/>
  <c r="B37" i="2"/>
  <c r="E14" i="3"/>
  <c r="E23" i="3"/>
  <c r="D27" i="7"/>
  <c r="D9" i="3"/>
  <c r="D17" i="3"/>
  <c r="D14" i="3"/>
  <c r="D22" i="3"/>
  <c r="D7" i="3"/>
  <c r="E7" i="3"/>
  <c r="D10" i="7"/>
  <c r="B21" i="8"/>
  <c r="B22" i="8"/>
  <c r="E22" i="8" s="1"/>
  <c r="B8" i="8"/>
  <c r="E8" i="8" s="1"/>
  <c r="B11" i="8"/>
  <c r="E11" i="8" s="1"/>
  <c r="B7" i="8"/>
  <c r="D31" i="7"/>
  <c r="D9" i="8" s="1"/>
  <c r="D28" i="7"/>
  <c r="D24" i="7"/>
  <c r="E36" i="8"/>
  <c r="E20" i="3"/>
  <c r="D32" i="2"/>
  <c r="F32" i="2"/>
  <c r="D11" i="2"/>
  <c r="F11" i="2"/>
  <c r="L17" i="2" s="1"/>
  <c r="D27" i="3"/>
  <c r="B28" i="3"/>
  <c r="D28" i="3" s="1"/>
  <c r="F27" i="2"/>
  <c r="D27" i="2"/>
  <c r="I29" i="2" l="1"/>
  <c r="K29" i="2" s="1"/>
  <c r="B38" i="2"/>
  <c r="L18" i="2"/>
  <c r="E30" i="3"/>
  <c r="G30" i="3" s="1"/>
  <c r="H30" i="3" s="1"/>
  <c r="D30" i="3"/>
  <c r="D32" i="7"/>
  <c r="E9" i="8"/>
  <c r="E21" i="8"/>
  <c r="D21" i="8"/>
  <c r="B20" i="8"/>
  <c r="E20" i="8" s="1"/>
  <c r="B14" i="8"/>
  <c r="E7" i="8"/>
  <c r="D7" i="8"/>
  <c r="D8" i="8"/>
  <c r="F12" i="2"/>
  <c r="L27" i="2" s="1"/>
  <c r="F29" i="2"/>
  <c r="D29" i="2"/>
  <c r="F34" i="2"/>
  <c r="L26" i="2" s="1"/>
  <c r="D34" i="2"/>
  <c r="I30" i="2" l="1"/>
  <c r="K30" i="2" s="1"/>
  <c r="K32" i="2" s="1"/>
  <c r="K34" i="2" s="1"/>
  <c r="B39" i="2"/>
  <c r="B25" i="8"/>
  <c r="D25" i="8" s="1"/>
  <c r="D34" i="3"/>
  <c r="D32" i="3"/>
  <c r="D11" i="7"/>
  <c r="B15" i="8"/>
  <c r="E14" i="8"/>
  <c r="D14" i="8"/>
  <c r="F13" i="2"/>
  <c r="L23" i="2" s="1"/>
  <c r="D31" i="2"/>
  <c r="F31" i="2"/>
  <c r="L20" i="2" s="1"/>
  <c r="F45" i="2" l="1"/>
  <c r="L32" i="2"/>
  <c r="K36" i="2" s="1"/>
  <c r="D33" i="7"/>
  <c r="D35" i="7"/>
  <c r="B26" i="8"/>
  <c r="D26" i="8" s="1"/>
  <c r="D15" i="8"/>
  <c r="B16" i="8"/>
  <c r="E15" i="8"/>
  <c r="D34" i="7"/>
  <c r="D40" i="7" l="1"/>
  <c r="D41" i="8"/>
  <c r="E16" i="8"/>
  <c r="E31" i="8" s="1"/>
  <c r="D36" i="8" s="1"/>
  <c r="D16" i="8"/>
  <c r="D31" i="8" s="1"/>
  <c r="D34" i="8" s="1"/>
  <c r="D37" i="2"/>
  <c r="D38" i="2" l="1"/>
  <c r="D39" i="2"/>
  <c r="D45" i="2" s="1"/>
  <c r="B34" i="3" l="1"/>
</calcChain>
</file>

<file path=xl/sharedStrings.xml><?xml version="1.0" encoding="utf-8"?>
<sst xmlns="http://schemas.openxmlformats.org/spreadsheetml/2006/main" count="683" uniqueCount="329">
  <si>
    <t>Bulletin d’un salarié  cadre</t>
  </si>
  <si>
    <t>Salaire brut</t>
  </si>
  <si>
    <t>Bases</t>
  </si>
  <si>
    <t>Salarial</t>
  </si>
  <si>
    <t>Retenues sal</t>
  </si>
  <si>
    <t>Patronal</t>
  </si>
  <si>
    <t>Cot patron.</t>
  </si>
  <si>
    <t>Chomage</t>
  </si>
  <si>
    <t>Retraite</t>
  </si>
  <si>
    <t>C.S.G. non déductible</t>
  </si>
  <si>
    <t>C.S.G. déductible</t>
  </si>
  <si>
    <t>CRDS non déductible</t>
  </si>
  <si>
    <t>Contribution au dialogue social</t>
  </si>
  <si>
    <t>Pénibilité cotisation universelle</t>
  </si>
  <si>
    <t>PÔLE EMPLOI</t>
  </si>
  <si>
    <t>RETRAITE COMPLEMENTAIRE</t>
  </si>
  <si>
    <t>RETRAITE COMPLEMENTAIRE CADRES et DIVERS</t>
  </si>
  <si>
    <t>Mutuelle</t>
  </si>
  <si>
    <t>CRDS sur mutuelle</t>
  </si>
  <si>
    <t>Taxes diverses sur salaires</t>
  </si>
  <si>
    <t>Taxe d'apprentissage</t>
  </si>
  <si>
    <t>Formation continue</t>
  </si>
  <si>
    <t>Total de cotisations</t>
  </si>
  <si>
    <t>SANTE</t>
  </si>
  <si>
    <t>Sécurité sociale - Maladie - Maternité - Invalidité décés</t>
  </si>
  <si>
    <t>Complémentaire incapacité invalidité décés</t>
  </si>
  <si>
    <t>Complémentaire santé</t>
  </si>
  <si>
    <t>Accident du travail - Maladies professionnelles</t>
  </si>
  <si>
    <t>Sécurité sociale plafonnée</t>
  </si>
  <si>
    <t>Sécurité sociale déplafonnée</t>
  </si>
  <si>
    <t>Complémentaire Tranche A</t>
  </si>
  <si>
    <t>Complémentaire GMP</t>
  </si>
  <si>
    <t>Complémentaire Tranche B</t>
  </si>
  <si>
    <t>Complémentaire Tranche C</t>
  </si>
  <si>
    <t>Supplémentaire</t>
  </si>
  <si>
    <t xml:space="preserve">Famille sécurité sociale </t>
  </si>
  <si>
    <t>Famille sécurité sociale</t>
  </si>
  <si>
    <t>Assurance chomage</t>
  </si>
  <si>
    <t>APEC</t>
  </si>
  <si>
    <t>Autres contributions  dues par l'employeur</t>
  </si>
  <si>
    <t>Autres contributions déplafonnées dues par l'employeur</t>
  </si>
  <si>
    <t>Cotisations statutaires ou prévues par la convention collective</t>
  </si>
  <si>
    <t>C.S.G. non imposable à l'impôt sur le revenu</t>
  </si>
  <si>
    <t>C.S.G/CRDS imposable à l'impôt sur le revenu</t>
  </si>
  <si>
    <t>Allègement des cotisations</t>
  </si>
  <si>
    <t>Total de cotisations et contributions</t>
  </si>
  <si>
    <t>Net payé en euros</t>
  </si>
  <si>
    <t>Total versé
par l'employeur</t>
  </si>
  <si>
    <t>Allègement
de cotisations</t>
  </si>
  <si>
    <t>Bulletin d’un salarié non cadre</t>
  </si>
  <si>
    <t>Maladie</t>
  </si>
  <si>
    <t>Vieillesse</t>
  </si>
  <si>
    <t xml:space="preserve">Versement transport </t>
  </si>
  <si>
    <t>Allocations familiales</t>
  </si>
  <si>
    <t>Allocations logement FNAL</t>
  </si>
  <si>
    <t>Contribution de solidarité autonomie</t>
  </si>
  <si>
    <t>Accident du travail</t>
  </si>
  <si>
    <t>Allègement FILLON =</t>
  </si>
  <si>
    <t>Chômage 1</t>
  </si>
  <si>
    <t>AGS</t>
  </si>
  <si>
    <t>NON CADRES</t>
  </si>
  <si>
    <t>AGFF TA</t>
  </si>
  <si>
    <t>Prévoyance</t>
  </si>
  <si>
    <t>C.S.G. non déductible sur prevoyance et mutuelle</t>
  </si>
  <si>
    <t>C.S.G. déductible sur prevoyance et mutuelle</t>
  </si>
  <si>
    <t>CRDS non déductible sur prevoyance et mutuelle</t>
  </si>
  <si>
    <t>DIVERS</t>
  </si>
  <si>
    <t>Formation professionnelle</t>
  </si>
  <si>
    <t>Net à payer :</t>
  </si>
  <si>
    <t>Net imposable</t>
  </si>
  <si>
    <t>RETRAITE COMPLEMENTAIRE ET PREVOYANCES</t>
  </si>
  <si>
    <t>Taux salarial</t>
  </si>
  <si>
    <t>Part salarié</t>
  </si>
  <si>
    <t>Part employeur</t>
  </si>
  <si>
    <t>Complémentaire Tranche 1</t>
  </si>
  <si>
    <t>Complémentaire Tranche 2</t>
  </si>
  <si>
    <t>Autres contributions dues par l'employeur</t>
  </si>
  <si>
    <t>Brut</t>
  </si>
  <si>
    <t>Prévoyances</t>
  </si>
  <si>
    <t>Selon conventions</t>
  </si>
  <si>
    <t>TA</t>
  </si>
  <si>
    <t>Variable</t>
  </si>
  <si>
    <t>Vieillesse sur TA</t>
  </si>
  <si>
    <t>Vieillesse sur brut</t>
  </si>
  <si>
    <t>T1</t>
  </si>
  <si>
    <t>3,45% OU 5,25%</t>
  </si>
  <si>
    <t xml:space="preserve">Chômage </t>
  </si>
  <si>
    <t>TA + TB</t>
  </si>
  <si>
    <t>BRUT</t>
  </si>
  <si>
    <t>TA ou BRUT</t>
  </si>
  <si>
    <t>0,10% OU 0,5%</t>
  </si>
  <si>
    <t>1% OU 1,55%</t>
  </si>
  <si>
    <t>Forfait social</t>
  </si>
  <si>
    <t>Part patronale
 de prévoyance</t>
  </si>
  <si>
    <t>Retraite complémentaire</t>
  </si>
  <si>
    <t>AGFF</t>
  </si>
  <si>
    <t>T2</t>
  </si>
  <si>
    <t>Participation à l'effort de construction construction</t>
  </si>
  <si>
    <t>BRUT *  98,25%
 + part pat de prévoyance</t>
  </si>
  <si>
    <t>CSG</t>
  </si>
  <si>
    <t>CRDS</t>
  </si>
  <si>
    <t>Taux patronal</t>
  </si>
  <si>
    <t>Libellé des cotisations apparaissant sur le bulletin simplifié</t>
  </si>
  <si>
    <t>Cotisations correspondantes</t>
  </si>
  <si>
    <t>Allègement 
de cotisations</t>
  </si>
  <si>
    <t>Décomposition des cotisations apparaissant sur le bulletin de paie d'un salarié non-cadre</t>
  </si>
  <si>
    <t>Bulletin simplifié d’un salarié  cadre</t>
  </si>
  <si>
    <t>Cotisation GMP</t>
  </si>
  <si>
    <t>Retraite cadre AGIRC</t>
  </si>
  <si>
    <t>TB</t>
  </si>
  <si>
    <t>AGFF TB</t>
  </si>
  <si>
    <t>Contribution exceptionnelle temporaire</t>
  </si>
  <si>
    <t>TOTAL SUR BULLETIN</t>
  </si>
  <si>
    <t>Décomposition des cotisations apparaissant sur le bulletin de paie d'un salarié cadre</t>
  </si>
  <si>
    <t>Pas de total, montant uniquement</t>
  </si>
  <si>
    <t>Brut - retenues salariales</t>
  </si>
  <si>
    <t>Brut + patronales</t>
  </si>
  <si>
    <t>Fillon + autres allègements 
+éventuellement réduction de 1,8% sur allocations familiales</t>
  </si>
  <si>
    <t>URSSAF</t>
  </si>
  <si>
    <t>Bulletin simplifié d’un salarié non cadre</t>
  </si>
  <si>
    <t>Pas de taux, montant uniquement</t>
  </si>
  <si>
    <t>NET PAYE EN EUROS</t>
  </si>
  <si>
    <t>Allègement de 
cotisations</t>
  </si>
  <si>
    <t xml:space="preserve">Allègement FILLON </t>
  </si>
  <si>
    <t>ETAT DE COTISATIONS SALARIE NON-CADRE</t>
  </si>
  <si>
    <t>Versement transport</t>
  </si>
  <si>
    <t xml:space="preserve">Contribution de solidarité autonomie </t>
  </si>
  <si>
    <t xml:space="preserve">Chômage 1 </t>
  </si>
  <si>
    <t xml:space="preserve">AGS </t>
  </si>
  <si>
    <t>ETAT DE COTISATIONS SALARIE CADRE</t>
  </si>
  <si>
    <t>Mutuelle sur TA</t>
  </si>
  <si>
    <t xml:space="preserve">CSG déductible sur mutuelle </t>
  </si>
  <si>
    <t xml:space="preserve">CSG non-déductible sur mutuelle </t>
  </si>
  <si>
    <t xml:space="preserve">Retraite complémentaire </t>
  </si>
  <si>
    <t xml:space="preserve">Contribution exceptionnelle temporaire </t>
  </si>
  <si>
    <t>Taxe de construction</t>
  </si>
  <si>
    <t>Prévoyance décés invalidité sur TA</t>
  </si>
  <si>
    <t xml:space="preserve">APEC  </t>
  </si>
  <si>
    <t>Salaire de base</t>
  </si>
  <si>
    <t>TAUX</t>
  </si>
  <si>
    <t>DECOMPOSITION DU SALAIRE BRUT EN TRANCHES</t>
  </si>
  <si>
    <t>Horaire contractuel</t>
  </si>
  <si>
    <t>lundi à jeudi: 7 heures par jour</t>
  </si>
  <si>
    <t>Primes</t>
  </si>
  <si>
    <t>Absences</t>
  </si>
  <si>
    <t>Heures compl</t>
  </si>
  <si>
    <t>6 h à 125%</t>
  </si>
  <si>
    <t>35 h</t>
  </si>
  <si>
    <t>lundi à vendredi : 7 heures par jour</t>
  </si>
  <si>
    <t>21 h</t>
  </si>
  <si>
    <t>105 h</t>
  </si>
  <si>
    <t>Versement transp</t>
  </si>
  <si>
    <t>Allocations logement</t>
  </si>
  <si>
    <t>Formation prof</t>
  </si>
  <si>
    <t>Taxe de constr</t>
  </si>
  <si>
    <t>Allocations famil</t>
  </si>
  <si>
    <t>&gt; 11</t>
  </si>
  <si>
    <t xml:space="preserve"> - de 20</t>
  </si>
  <si>
    <t>&gt; 20</t>
  </si>
  <si>
    <t>&gt;3,5 SMIC</t>
  </si>
  <si>
    <t>VARIABLE</t>
  </si>
  <si>
    <t>TAUX SINON</t>
  </si>
  <si>
    <t>CONDIT</t>
  </si>
  <si>
    <t>1,5% / BRUT</t>
  </si>
  <si>
    <t>0,10% / TA</t>
  </si>
  <si>
    <t>NON CADRES T1</t>
  </si>
  <si>
    <t>AGFF T1</t>
  </si>
  <si>
    <t>NON CADRES T2</t>
  </si>
  <si>
    <t>AGFF T2</t>
  </si>
  <si>
    <t>Taxe construction</t>
  </si>
  <si>
    <t>NET A PAYER AVANT IMPOT SUR LE REVENU</t>
  </si>
  <si>
    <t>IMPOT SUR LE REVENU</t>
  </si>
  <si>
    <t>Exonération, écrètement et allègements</t>
  </si>
  <si>
    <t>Acompte</t>
  </si>
  <si>
    <t>Avantage en nature</t>
  </si>
  <si>
    <t>Saisie sur salaires</t>
  </si>
  <si>
    <t>Titres repas</t>
  </si>
  <si>
    <t>Déplacement</t>
  </si>
  <si>
    <t>dont évolution de la rémunération liée à la suppression des cotisations chômage et maladie</t>
  </si>
  <si>
    <t>Taux</t>
  </si>
  <si>
    <t>Montant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</si>
  <si>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</si>
  <si>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</si>
  <si>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</si>
  <si>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</si>
  <si>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</si>
  <si>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</si>
  <si>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</si>
  <si>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Dans votre intérêt et pour vous aider à faire valoir vos droits, conserver ce bulletin de paie sans limitation de durée</t>
  </si>
  <si>
    <t>BULLETIN DE SALAIRE</t>
  </si>
  <si>
    <t>Employeur</t>
  </si>
  <si>
    <t>Salarié</t>
  </si>
  <si>
    <t>S1</t>
  </si>
  <si>
    <t>Nom :</t>
  </si>
  <si>
    <t>Adresse  :</t>
  </si>
  <si>
    <t>Prénom :</t>
  </si>
  <si>
    <t>Complément :</t>
  </si>
  <si>
    <t>N° de S.S. :</t>
  </si>
  <si>
    <t>Adresse :</t>
  </si>
  <si>
    <t>Code postal :</t>
  </si>
  <si>
    <t>Ville :</t>
  </si>
  <si>
    <t>CP/ Ville</t>
  </si>
  <si>
    <t>N° SIRET :</t>
  </si>
  <si>
    <t>Emploi :</t>
  </si>
  <si>
    <t>Code NAF(APE) :</t>
  </si>
  <si>
    <t>Contrat :</t>
  </si>
  <si>
    <t>Site d'emploi :</t>
  </si>
  <si>
    <t>Position :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</si>
  <si>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</si>
  <si>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</si>
  <si>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</si>
  <si>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</si>
  <si>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</si>
  <si>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</si>
  <si>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</si>
  <si>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</si>
  <si>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</si>
  <si>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Période du :</t>
  </si>
  <si>
    <t>Au :</t>
  </si>
  <si>
    <t>Eléments de revenu brut</t>
  </si>
  <si>
    <t>Nombre/Base</t>
  </si>
  <si>
    <t>Taux/Val unitaire</t>
  </si>
  <si>
    <t>Montants</t>
  </si>
  <si>
    <t>Prime de rendement</t>
  </si>
  <si>
    <t>Indemnités dimanches</t>
  </si>
  <si>
    <t>Indemnité de précarité</t>
  </si>
  <si>
    <t>Retenues pour congés payés</t>
  </si>
  <si>
    <t>Indemnité de congés payés</t>
  </si>
  <si>
    <t>Retenue absence arrêt de travail</t>
  </si>
  <si>
    <t xml:space="preserve">IJSS </t>
  </si>
  <si>
    <t>Maintien de salaire</t>
  </si>
  <si>
    <t>13ème mois</t>
  </si>
  <si>
    <t>Prime d'ancienneté</t>
  </si>
  <si>
    <t>Cotisations et contributions sociales</t>
  </si>
  <si>
    <t>Assiettes</t>
  </si>
  <si>
    <t>Sécurité sociale - Maladie - Maternité - Invalidité décès</t>
  </si>
  <si>
    <t>Complémentaires santé</t>
  </si>
  <si>
    <t>Complémentaire incapacité invalidité décès Tranche 1</t>
  </si>
  <si>
    <t>Complémentaire incapacité invalidité décès Tranche 2</t>
  </si>
  <si>
    <t xml:space="preserve">Accident du travail - Maladies professionnelles </t>
  </si>
  <si>
    <t xml:space="preserve">Sécurité sociale plafonnée 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</si>
  <si>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</si>
  <si>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</si>
  <si>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</si>
  <si>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</si>
  <si>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</si>
  <si>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</si>
  <si>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</si>
  <si>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</si>
  <si>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</si>
  <si>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</si>
  <si>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</si>
  <si>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>versement transport :</t>
  </si>
  <si>
    <t>FNAL : 0,50%</t>
  </si>
  <si>
    <t>Dialogue social : 0,016%</t>
  </si>
  <si>
    <t>Solidarité autonomie : 0,30%</t>
  </si>
  <si>
    <t>Apprentissage : 0,68%</t>
  </si>
  <si>
    <t>Formation</t>
  </si>
  <si>
    <t>Construction : 0,45%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</si>
  <si>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</si>
  <si>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</si>
  <si>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</si>
  <si>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</si>
  <si>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</si>
  <si>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</si>
  <si>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</si>
  <si>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</si>
  <si>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</si>
  <si>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</si>
  <si>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</si>
  <si>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</si>
  <si>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Allègement de cotisation maladie employeur</t>
  </si>
  <si>
    <t xml:space="preserve">Réduction générale de cotisations patronales </t>
  </si>
  <si>
    <t xml:space="preserve">Perte due à l'augmentation de la CSG </t>
  </si>
  <si>
    <t xml:space="preserve">Gain du à la réduction de cotisation maladie </t>
  </si>
  <si>
    <t>Gain du à l'exonération de cotisation chômage</t>
  </si>
  <si>
    <t xml:space="preserve">Allègement de cotisation allocations familiales  </t>
  </si>
  <si>
    <t>FNAL</t>
  </si>
  <si>
    <t>Contribution solidarité</t>
  </si>
  <si>
    <t>Taxe apprentissage</t>
  </si>
  <si>
    <t>Dialogue social</t>
  </si>
  <si>
    <t>Total</t>
  </si>
  <si>
    <t>Regularisation mensuelle progressive des plafonds de sécurité sociale</t>
  </si>
  <si>
    <t>Plafond de sécurité sociale</t>
  </si>
  <si>
    <t>MOIS</t>
  </si>
  <si>
    <t>Salaires bruts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</si>
  <si>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</si>
  <si>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</si>
  <si>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</si>
  <si>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</si>
  <si>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</si>
  <si>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</si>
  <si>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</si>
  <si>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</si>
  <si>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</si>
  <si>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</si>
  <si>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</si>
  <si>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</si>
  <si>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</si>
  <si>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smics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</si>
  <si>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</si>
  <si>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</si>
  <si>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</si>
  <si>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</si>
  <si>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</si>
  <si>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</si>
  <si>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</si>
  <si>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</si>
  <si>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</si>
  <si>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</si>
  <si>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</si>
  <si>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</si>
  <si>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</si>
  <si>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</si>
  <si>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coeff maximum cumulé</t>
  </si>
  <si>
    <t>BRUTS</t>
  </si>
  <si>
    <t>CUMULS</t>
  </si>
  <si>
    <t>SMICS
 CUMULES</t>
  </si>
  <si>
    <t>COEF ALLEGT
CUMULES</t>
  </si>
  <si>
    <t>ALLEGT 
CUMULES</t>
  </si>
  <si>
    <t>ALLEGT 
DU MOIS</t>
  </si>
  <si>
    <t>Remarque</t>
  </si>
  <si>
    <t>Regularisation mensuelle progressive de la cotisation CET</t>
  </si>
  <si>
    <t>CET à payer</t>
  </si>
  <si>
    <t>CET 
cumulées</t>
  </si>
  <si>
    <t>CET 
du mois</t>
  </si>
  <si>
    <t>N-2</t>
  </si>
  <si>
    <t>N-1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</si>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</sst>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%"/>
    <numFmt numFmtId="165" formatCode="0.000000%"/>
    <numFmt numFmtId="166" formatCode="#,##0.00\ &quot;€&quot;"/>
    <numFmt numFmtId="167" formatCode="0.0000"/>
    <numFmt numFmtId="168" formatCode="_-* #,##0\ &quot;€&quot;_-;\-* #,##0\ &quot;€&quot;_-;_-* &quot;-&quot;??\ &quot;€&quot;_-;_-@_-"/>
    <numFmt numFmtId="169" formatCode="[$-F800]dddd\,\ mmmm\ dd\,\ yyyy"/>
    <numFmt numFmtId="170" formatCode="_-* #,##0.00\ [$€-40C]_-;\-* #,##0.00\ [$€-40C]_-;_-* &quot;-&quot;??\ [$€-40C]_-;_-@_-"/>
    <numFmt numFmtId="171" formatCode="0.0000%"/>
    <numFmt numFmtId="172" formatCode="0.00000%"/>
    <numFmt numFmtId="173" formatCode="#,##0.00\ [$€-40C];[Red]\-#,##0.00\ [$€-40C]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i/>
      <sz val="9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theme="4" tint="-0.24994659260841701"/>
      <name val="Arial"/>
      <family val="2"/>
    </font>
    <font>
      <sz val="11"/>
      <color theme="4" tint="-0.24994659260841701"/>
      <name val="Calibri"/>
      <family val="2"/>
      <scheme val="minor"/>
    </font>
    <font>
      <b/>
      <sz val="11"/>
      <color theme="4"/>
      <name val="Arial"/>
      <family val="2"/>
    </font>
    <font>
      <b/>
      <sz val="9"/>
      <color theme="4"/>
      <name val="Arial"/>
      <family val="2"/>
    </font>
    <font>
      <b/>
      <sz val="8"/>
      <color theme="4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</cellStyleXfs>
  <cellXfs count="681">
    <xf numFmtId="0" fontId="0" fillId="0" borderId="0" xfId="0"/>
    <xf numFmtId="0" fontId="4" fillId="0" borderId="0" xfId="0" applyFont="1" applyAlignment="1">
      <alignment vertical="center"/>
    </xf>
    <xf numFmtId="10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0" fontId="7" fillId="0" borderId="4" xfId="0" applyNumberFormat="1" applyFont="1" applyBorder="1" applyAlignment="1">
      <alignment horizontal="center" vertical="center"/>
    </xf>
    <xf numFmtId="8" fontId="8" fillId="0" borderId="4" xfId="0" applyNumberFormat="1" applyFont="1" applyBorder="1" applyAlignment="1">
      <alignment horizontal="right" vertical="center"/>
    </xf>
    <xf numFmtId="164" fontId="8" fillId="2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8" fontId="5" fillId="0" borderId="0" xfId="0" applyNumberFormat="1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8" fontId="7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8" fontId="9" fillId="0" borderId="10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0" fontId="8" fillId="0" borderId="4" xfId="2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8" fontId="7" fillId="0" borderId="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8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8" fontId="7" fillId="0" borderId="18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8" fontId="9" fillId="2" borderId="10" xfId="0" applyNumberFormat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8" fontId="13" fillId="2" borderId="10" xfId="0" applyNumberFormat="1" applyFont="1" applyFill="1" applyBorder="1" applyAlignment="1">
      <alignment horizontal="right" vertical="center"/>
    </xf>
    <xf numFmtId="164" fontId="8" fillId="2" borderId="4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8" fontId="12" fillId="0" borderId="0" xfId="0" applyNumberFormat="1" applyFont="1" applyAlignment="1">
      <alignment vertical="center"/>
    </xf>
    <xf numFmtId="8" fontId="9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0" fontId="9" fillId="0" borderId="4" xfId="0" applyNumberFormat="1" applyFont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8" fontId="7" fillId="0" borderId="10" xfId="0" applyNumberFormat="1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17" fillId="0" borderId="1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44" fontId="5" fillId="0" borderId="4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8" fontId="5" fillId="0" borderId="13" xfId="0" applyNumberFormat="1" applyFont="1" applyBorder="1" applyAlignment="1">
      <alignment horizontal="justify" vertical="center"/>
    </xf>
    <xf numFmtId="8" fontId="5" fillId="0" borderId="16" xfId="0" applyNumberFormat="1" applyFont="1" applyBorder="1" applyAlignment="1">
      <alignment horizontal="justify" vertical="center"/>
    </xf>
    <xf numFmtId="0" fontId="7" fillId="2" borderId="13" xfId="0" applyFont="1" applyFill="1" applyBorder="1" applyAlignment="1">
      <alignment horizontal="right" vertical="center"/>
    </xf>
    <xf numFmtId="8" fontId="5" fillId="0" borderId="21" xfId="1" applyNumberFormat="1" applyFont="1" applyBorder="1" applyAlignment="1">
      <alignment vertical="center"/>
    </xf>
    <xf numFmtId="7" fontId="9" fillId="2" borderId="10" xfId="0" applyNumberFormat="1" applyFont="1" applyFill="1" applyBorder="1" applyAlignment="1">
      <alignment horizontal="right" vertical="center"/>
    </xf>
    <xf numFmtId="8" fontId="7" fillId="0" borderId="22" xfId="0" applyNumberFormat="1" applyFont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5" xfId="0" applyFont="1" applyBorder="1" applyAlignment="1">
      <alignment horizontal="left" vertical="center"/>
    </xf>
    <xf numFmtId="8" fontId="24" fillId="0" borderId="6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8" fontId="23" fillId="0" borderId="4" xfId="0" applyNumberFormat="1" applyFont="1" applyBorder="1" applyAlignment="1">
      <alignment horizontal="right" vertical="center"/>
    </xf>
    <xf numFmtId="10" fontId="23" fillId="0" borderId="4" xfId="0" applyNumberFormat="1" applyFont="1" applyBorder="1" applyAlignment="1">
      <alignment horizontal="center" vertical="center"/>
    </xf>
    <xf numFmtId="8" fontId="25" fillId="3" borderId="10" xfId="0" applyNumberFormat="1" applyFont="1" applyFill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44" fontId="23" fillId="0" borderId="4" xfId="0" applyNumberFormat="1" applyFont="1" applyBorder="1" applyAlignment="1">
      <alignment horizontal="right" vertical="center"/>
    </xf>
    <xf numFmtId="8" fontId="25" fillId="0" borderId="10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10" fontId="23" fillId="0" borderId="4" xfId="2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8" fontId="21" fillId="0" borderId="0" xfId="0" applyNumberFormat="1" applyFont="1" applyAlignment="1">
      <alignment vertical="center"/>
    </xf>
    <xf numFmtId="8" fontId="26" fillId="0" borderId="0" xfId="0" applyNumberFormat="1" applyFont="1" applyAlignment="1">
      <alignment vertical="center"/>
    </xf>
    <xf numFmtId="10" fontId="26" fillId="0" borderId="4" xfId="2" applyNumberFormat="1" applyFont="1" applyFill="1" applyBorder="1" applyAlignment="1">
      <alignment horizontal="center" vertical="center"/>
    </xf>
    <xf numFmtId="8" fontId="26" fillId="0" borderId="4" xfId="0" applyNumberFormat="1" applyFont="1" applyBorder="1" applyAlignment="1">
      <alignment horizontal="right" vertical="center"/>
    </xf>
    <xf numFmtId="10" fontId="26" fillId="0" borderId="4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0" fontId="24" fillId="0" borderId="4" xfId="0" applyNumberFormat="1" applyFont="1" applyBorder="1" applyAlignment="1">
      <alignment horizontal="center" vertical="center"/>
    </xf>
    <xf numFmtId="7" fontId="25" fillId="0" borderId="10" xfId="0" applyNumberFormat="1" applyFont="1" applyBorder="1" applyAlignment="1">
      <alignment horizontal="right" vertical="center"/>
    </xf>
    <xf numFmtId="164" fontId="23" fillId="0" borderId="4" xfId="3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8" fontId="24" fillId="0" borderId="4" xfId="0" applyNumberFormat="1" applyFont="1" applyBorder="1" applyAlignment="1">
      <alignment horizontal="right" vertical="center"/>
    </xf>
    <xf numFmtId="165" fontId="21" fillId="0" borderId="0" xfId="2" applyNumberFormat="1" applyFont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8" fontId="28" fillId="0" borderId="4" xfId="0" applyNumberFormat="1" applyFont="1" applyBorder="1" applyAlignment="1">
      <alignment horizontal="center" vertical="center" wrapText="1"/>
    </xf>
    <xf numFmtId="8" fontId="28" fillId="0" borderId="4" xfId="0" applyNumberFormat="1" applyFont="1" applyBorder="1" applyAlignment="1">
      <alignment horizontal="center" vertical="center"/>
    </xf>
    <xf numFmtId="8" fontId="24" fillId="0" borderId="0" xfId="0" applyNumberFormat="1" applyFont="1" applyAlignment="1">
      <alignment horizontal="right" vertical="center"/>
    </xf>
    <xf numFmtId="8" fontId="28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justify" vertical="center"/>
    </xf>
    <xf numFmtId="8" fontId="28" fillId="0" borderId="0" xfId="0" applyNumberFormat="1" applyFont="1" applyAlignment="1">
      <alignment horizontal="justify" vertical="center"/>
    </xf>
    <xf numFmtId="8" fontId="25" fillId="5" borderId="10" xfId="0" applyNumberFormat="1" applyFont="1" applyFill="1" applyBorder="1" applyAlignment="1">
      <alignment horizontal="right" vertical="center"/>
    </xf>
    <xf numFmtId="8" fontId="25" fillId="4" borderId="10" xfId="0" applyNumberFormat="1" applyFont="1" applyFill="1" applyBorder="1" applyAlignment="1">
      <alignment horizontal="right" vertical="center"/>
    </xf>
    <xf numFmtId="8" fontId="25" fillId="6" borderId="10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left" vertical="center"/>
    </xf>
    <xf numFmtId="8" fontId="25" fillId="0" borderId="0" xfId="0" applyNumberFormat="1" applyFont="1" applyAlignment="1">
      <alignment vertical="center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10" fontId="8" fillId="0" borderId="4" xfId="0" applyNumberFormat="1" applyFont="1" applyBorder="1" applyAlignment="1">
      <alignment horizontal="right" vertical="center"/>
    </xf>
    <xf numFmtId="8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8" fontId="8" fillId="0" borderId="5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8" fontId="8" fillId="8" borderId="5" xfId="0" applyNumberFormat="1" applyFont="1" applyFill="1" applyBorder="1" applyAlignment="1">
      <alignment horizontal="center" vertical="center"/>
    </xf>
    <xf numFmtId="10" fontId="8" fillId="8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8" fontId="8" fillId="0" borderId="5" xfId="0" applyNumberFormat="1" applyFont="1" applyBorder="1" applyAlignment="1">
      <alignment horizontal="right" vertical="center"/>
    </xf>
    <xf numFmtId="10" fontId="8" fillId="0" borderId="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Continuous" vertical="distributed"/>
    </xf>
    <xf numFmtId="0" fontId="15" fillId="0" borderId="0" xfId="0" applyFont="1" applyAlignment="1">
      <alignment horizontal="centerContinuous" vertical="distributed"/>
    </xf>
    <xf numFmtId="0" fontId="34" fillId="0" borderId="0" xfId="0" applyFont="1" applyAlignment="1">
      <alignment horizontal="centerContinuous" vertical="distributed"/>
    </xf>
    <xf numFmtId="10" fontId="8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164" fontId="8" fillId="0" borderId="4" xfId="3" applyNumberFormat="1" applyFont="1" applyFill="1" applyBorder="1" applyAlignment="1">
      <alignment horizontal="center" vertical="center"/>
    </xf>
    <xf numFmtId="166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7" fontId="9" fillId="0" borderId="10" xfId="0" applyNumberFormat="1" applyFont="1" applyBorder="1" applyAlignment="1">
      <alignment horizontal="right" vertical="center"/>
    </xf>
    <xf numFmtId="44" fontId="8" fillId="0" borderId="10" xfId="1" applyFont="1" applyFill="1" applyBorder="1" applyAlignment="1">
      <alignment horizontal="right" vertical="center"/>
    </xf>
    <xf numFmtId="8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4" fontId="8" fillId="0" borderId="4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0" borderId="0" xfId="0" applyFont="1"/>
    <xf numFmtId="8" fontId="24" fillId="0" borderId="22" xfId="0" applyNumberFormat="1" applyFont="1" applyBorder="1" applyAlignment="1">
      <alignment horizontal="right" vertical="center"/>
    </xf>
    <xf numFmtId="8" fontId="28" fillId="0" borderId="3" xfId="0" applyNumberFormat="1" applyFont="1" applyBorder="1" applyAlignment="1">
      <alignment horizontal="center" vertical="center" wrapText="1"/>
    </xf>
    <xf numFmtId="8" fontId="28" fillId="0" borderId="10" xfId="0" applyNumberFormat="1" applyFont="1" applyBorder="1" applyAlignment="1">
      <alignment horizontal="center" vertical="center" wrapText="1"/>
    </xf>
    <xf numFmtId="8" fontId="28" fillId="0" borderId="15" xfId="0" applyNumberFormat="1" applyFont="1" applyBorder="1" applyAlignment="1">
      <alignment horizontal="center" vertical="center"/>
    </xf>
    <xf numFmtId="8" fontId="28" fillId="0" borderId="16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10" fontId="7" fillId="3" borderId="5" xfId="0" applyNumberFormat="1" applyFont="1" applyFill="1" applyBorder="1" applyAlignment="1">
      <alignment horizontal="center" vertical="center"/>
    </xf>
    <xf numFmtId="10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8" fontId="5" fillId="3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/>
    </xf>
    <xf numFmtId="8" fontId="24" fillId="0" borderId="0" xfId="0" applyNumberFormat="1" applyFont="1" applyAlignment="1">
      <alignment horizontal="left" vertical="center"/>
    </xf>
    <xf numFmtId="44" fontId="24" fillId="0" borderId="0" xfId="0" applyNumberFormat="1" applyFont="1" applyAlignment="1">
      <alignment horizontal="left" vertical="center"/>
    </xf>
    <xf numFmtId="44" fontId="28" fillId="0" borderId="0" xfId="0" applyNumberFormat="1" applyFont="1" applyAlignment="1">
      <alignment horizontal="justify" vertical="center"/>
    </xf>
    <xf numFmtId="8" fontId="13" fillId="0" borderId="10" xfId="0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8" fontId="47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left" vertical="center"/>
    </xf>
    <xf numFmtId="8" fontId="46" fillId="0" borderId="5" xfId="0" applyNumberFormat="1" applyFont="1" applyBorder="1" applyAlignment="1">
      <alignment horizontal="center" vertical="center"/>
    </xf>
    <xf numFmtId="10" fontId="47" fillId="3" borderId="5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1" fillId="0" borderId="5" xfId="0" applyFont="1" applyBorder="1" applyAlignment="1">
      <alignment vertical="center"/>
    </xf>
    <xf numFmtId="8" fontId="46" fillId="0" borderId="0" xfId="0" applyNumberFormat="1" applyFont="1" applyAlignment="1">
      <alignment horizontal="right" vertical="center"/>
    </xf>
    <xf numFmtId="10" fontId="46" fillId="0" borderId="0" xfId="0" applyNumberFormat="1" applyFont="1" applyAlignment="1">
      <alignment horizontal="center" vertical="center"/>
    </xf>
    <xf numFmtId="8" fontId="51" fillId="0" borderId="0" xfId="0" applyNumberFormat="1" applyFont="1" applyAlignment="1">
      <alignment horizontal="right" vertical="center"/>
    </xf>
    <xf numFmtId="0" fontId="51" fillId="0" borderId="5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44" fontId="46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6" fillId="8" borderId="5" xfId="0" applyFont="1" applyFill="1" applyBorder="1" applyAlignment="1">
      <alignment horizontal="left" vertical="center"/>
    </xf>
    <xf numFmtId="8" fontId="46" fillId="8" borderId="5" xfId="0" applyNumberFormat="1" applyFont="1" applyFill="1" applyBorder="1" applyAlignment="1">
      <alignment horizontal="center" vertical="center"/>
    </xf>
    <xf numFmtId="10" fontId="46" fillId="8" borderId="5" xfId="0" applyNumberFormat="1" applyFont="1" applyFill="1" applyBorder="1" applyAlignment="1">
      <alignment horizontal="center" vertical="center"/>
    </xf>
    <xf numFmtId="10" fontId="41" fillId="0" borderId="5" xfId="0" applyNumberFormat="1" applyFont="1" applyBorder="1" applyAlignment="1">
      <alignment horizontal="center" vertical="center"/>
    </xf>
    <xf numFmtId="0" fontId="47" fillId="8" borderId="5" xfId="0" applyFont="1" applyFill="1" applyBorder="1" applyAlignment="1">
      <alignment horizontal="left" vertical="center"/>
    </xf>
    <xf numFmtId="10" fontId="43" fillId="3" borderId="5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8" fontId="46" fillId="0" borderId="5" xfId="0" applyNumberFormat="1" applyFont="1" applyBorder="1" applyAlignment="1">
      <alignment horizontal="right" vertical="center"/>
    </xf>
    <xf numFmtId="10" fontId="46" fillId="0" borderId="5" xfId="2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3" fillId="3" borderId="5" xfId="0" applyFont="1" applyFill="1" applyBorder="1" applyAlignment="1">
      <alignment horizontal="center" vertical="center"/>
    </xf>
    <xf numFmtId="10" fontId="46" fillId="0" borderId="5" xfId="0" applyNumberFormat="1" applyFont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0" fontId="43" fillId="3" borderId="5" xfId="0" applyFont="1" applyFill="1" applyBorder="1" applyAlignment="1">
      <alignment vertical="center" wrapText="1"/>
    </xf>
    <xf numFmtId="0" fontId="40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justify" vertical="center"/>
    </xf>
    <xf numFmtId="8" fontId="43" fillId="0" borderId="5" xfId="1" applyNumberFormat="1" applyFont="1" applyBorder="1" applyAlignment="1">
      <alignment vertical="center"/>
    </xf>
    <xf numFmtId="0" fontId="43" fillId="0" borderId="5" xfId="0" applyFont="1" applyBorder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43" fillId="3" borderId="1" xfId="0" applyFont="1" applyFill="1" applyBorder="1" applyAlignment="1">
      <alignment horizontal="justify" vertical="center"/>
    </xf>
    <xf numFmtId="8" fontId="43" fillId="3" borderId="26" xfId="0" applyNumberFormat="1" applyFont="1" applyFill="1" applyBorder="1" applyAlignment="1">
      <alignment horizontal="center" vertical="center" wrapText="1"/>
    </xf>
    <xf numFmtId="44" fontId="23" fillId="0" borderId="4" xfId="1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3" fillId="0" borderId="5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8" fontId="57" fillId="0" borderId="5" xfId="0" applyNumberFormat="1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8" fontId="23" fillId="7" borderId="4" xfId="0" applyNumberFormat="1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right" vertical="center"/>
    </xf>
    <xf numFmtId="8" fontId="25" fillId="7" borderId="10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left" vertical="center"/>
    </xf>
    <xf numFmtId="8" fontId="8" fillId="0" borderId="0" xfId="0" applyNumberFormat="1" applyFont="1" applyAlignment="1">
      <alignment horizontal="right" vertical="center"/>
    </xf>
    <xf numFmtId="8" fontId="8" fillId="0" borderId="6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/>
    </xf>
    <xf numFmtId="8" fontId="8" fillId="3" borderId="5" xfId="0" applyNumberFormat="1" applyFont="1" applyFill="1" applyBorder="1" applyAlignment="1">
      <alignment horizontal="right" vertical="center"/>
    </xf>
    <xf numFmtId="0" fontId="47" fillId="8" borderId="0" xfId="0" applyFont="1" applyFill="1" applyAlignment="1">
      <alignment horizontal="left" vertical="center"/>
    </xf>
    <xf numFmtId="8" fontId="46" fillId="0" borderId="0" xfId="0" applyNumberFormat="1" applyFont="1" applyAlignment="1">
      <alignment horizontal="center" vertical="center"/>
    </xf>
    <xf numFmtId="10" fontId="43" fillId="3" borderId="0" xfId="0" applyNumberFormat="1" applyFont="1" applyFill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60" fillId="0" borderId="5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8" fontId="7" fillId="0" borderId="10" xfId="0" applyNumberFormat="1" applyFont="1" applyBorder="1" applyAlignment="1">
      <alignment horizontal="center" vertical="center"/>
    </xf>
    <xf numFmtId="44" fontId="25" fillId="0" borderId="10" xfId="0" applyNumberFormat="1" applyFont="1" applyBorder="1" applyAlignment="1">
      <alignment horizontal="right" vertical="center"/>
    </xf>
    <xf numFmtId="10" fontId="23" fillId="7" borderId="4" xfId="0" applyNumberFormat="1" applyFont="1" applyFill="1" applyBorder="1" applyAlignment="1">
      <alignment horizontal="center" vertical="center"/>
    </xf>
    <xf numFmtId="44" fontId="25" fillId="7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4" fontId="23" fillId="3" borderId="4" xfId="2" applyNumberFormat="1" applyFont="1" applyFill="1" applyBorder="1" applyAlignment="1">
      <alignment horizontal="center" vertical="center"/>
    </xf>
    <xf numFmtId="10" fontId="23" fillId="3" borderId="4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0" fontId="5" fillId="0" borderId="15" xfId="0" applyFont="1" applyBorder="1" applyAlignment="1">
      <alignment horizontal="justify" vertical="center"/>
    </xf>
    <xf numFmtId="8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8" fontId="4" fillId="0" borderId="16" xfId="0" applyNumberFormat="1" applyFont="1" applyBorder="1" applyAlignment="1">
      <alignment vertical="center"/>
    </xf>
    <xf numFmtId="44" fontId="23" fillId="0" borderId="10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44" fontId="8" fillId="0" borderId="4" xfId="1" applyFont="1" applyFill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44" fontId="8" fillId="0" borderId="10" xfId="1" applyFont="1" applyFill="1" applyBorder="1" applyAlignment="1">
      <alignment horizontal="center" vertical="center"/>
    </xf>
    <xf numFmtId="10" fontId="8" fillId="0" borderId="4" xfId="1" applyNumberFormat="1" applyFont="1" applyFill="1" applyBorder="1" applyAlignment="1">
      <alignment horizontal="right" vertical="center"/>
    </xf>
    <xf numFmtId="44" fontId="38" fillId="0" borderId="4" xfId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44" fontId="8" fillId="0" borderId="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44" fontId="8" fillId="0" borderId="10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8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8" fontId="8" fillId="0" borderId="16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6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vertical="center"/>
    </xf>
    <xf numFmtId="0" fontId="0" fillId="0" borderId="33" xfId="0" applyBorder="1" applyAlignment="1">
      <alignment vertical="center"/>
    </xf>
    <xf numFmtId="17" fontId="62" fillId="0" borderId="36" xfId="0" applyNumberFormat="1" applyFont="1" applyBorder="1" applyAlignment="1">
      <alignment vertical="center"/>
    </xf>
    <xf numFmtId="168" fontId="0" fillId="0" borderId="37" xfId="1" applyNumberFormat="1" applyFont="1" applyBorder="1" applyAlignment="1">
      <alignment vertical="center"/>
    </xf>
    <xf numFmtId="168" fontId="0" fillId="0" borderId="38" xfId="1" applyNumberFormat="1" applyFont="1" applyBorder="1" applyAlignment="1">
      <alignment vertical="center"/>
    </xf>
    <xf numFmtId="17" fontId="0" fillId="0" borderId="36" xfId="0" applyNumberFormat="1" applyBorder="1" applyAlignment="1">
      <alignment vertical="center"/>
    </xf>
    <xf numFmtId="17" fontId="0" fillId="0" borderId="39" xfId="0" applyNumberFormat="1" applyBorder="1" applyAlignment="1">
      <alignment vertical="center"/>
    </xf>
    <xf numFmtId="168" fontId="0" fillId="0" borderId="40" xfId="1" applyNumberFormat="1" applyFont="1" applyBorder="1" applyAlignment="1">
      <alignment vertical="center"/>
    </xf>
    <xf numFmtId="168" fontId="0" fillId="0" borderId="41" xfId="1" applyNumberFormat="1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63" fillId="0" borderId="36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9" fontId="15" fillId="0" borderId="37" xfId="0" applyNumberFormat="1" applyFont="1" applyBorder="1" applyAlignment="1">
      <alignment horizontal="center" vertical="center"/>
    </xf>
    <xf numFmtId="10" fontId="15" fillId="0" borderId="38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10" fontId="15" fillId="0" borderId="37" xfId="0" applyNumberFormat="1" applyFont="1" applyBorder="1" applyAlignment="1">
      <alignment horizontal="center" vertical="center"/>
    </xf>
    <xf numFmtId="0" fontId="63" fillId="0" borderId="39" xfId="0" applyFont="1" applyBorder="1" applyAlignment="1">
      <alignment horizontal="left" vertical="center"/>
    </xf>
    <xf numFmtId="10" fontId="15" fillId="0" borderId="40" xfId="0" applyNumberFormat="1" applyFont="1" applyBorder="1" applyAlignment="1">
      <alignment horizontal="center" vertical="center"/>
    </xf>
    <xf numFmtId="10" fontId="15" fillId="0" borderId="41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0" fontId="8" fillId="8" borderId="4" xfId="0" applyNumberFormat="1" applyFont="1" applyFill="1" applyBorder="1" applyAlignment="1">
      <alignment horizontal="center" vertical="center"/>
    </xf>
    <xf numFmtId="8" fontId="8" fillId="8" borderId="4" xfId="0" applyNumberFormat="1" applyFont="1" applyFill="1" applyBorder="1" applyAlignment="1">
      <alignment horizontal="right" vertical="center"/>
    </xf>
    <xf numFmtId="8" fontId="13" fillId="8" borderId="10" xfId="0" applyNumberFormat="1" applyFont="1" applyFill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3" xfId="0" applyFont="1" applyBorder="1" applyAlignment="1">
      <alignment horizontal="justify" vertical="center"/>
    </xf>
    <xf numFmtId="0" fontId="66" fillId="0" borderId="42" xfId="0" applyFont="1" applyBorder="1" applyAlignment="1">
      <alignment vertical="center"/>
    </xf>
    <xf numFmtId="0" fontId="67" fillId="0" borderId="42" xfId="0" applyFont="1" applyBorder="1" applyAlignment="1">
      <alignment vertical="center"/>
    </xf>
    <xf numFmtId="44" fontId="68" fillId="10" borderId="4" xfId="1" applyFont="1" applyFill="1" applyBorder="1" applyAlignment="1">
      <alignment horizontal="right" vertical="center" wrapText="1" readingOrder="1"/>
    </xf>
    <xf numFmtId="8" fontId="67" fillId="0" borderId="43" xfId="0" applyNumberFormat="1" applyFont="1" applyBorder="1" applyAlignment="1">
      <alignment vertical="center"/>
    </xf>
    <xf numFmtId="0" fontId="67" fillId="0" borderId="44" xfId="0" applyFont="1" applyBorder="1" applyAlignment="1">
      <alignment vertical="center"/>
    </xf>
    <xf numFmtId="0" fontId="69" fillId="10" borderId="3" xfId="0" applyFont="1" applyFill="1" applyBorder="1" applyAlignment="1">
      <alignment horizontal="left" vertical="center" wrapText="1" readingOrder="1"/>
    </xf>
    <xf numFmtId="0" fontId="69" fillId="10" borderId="4" xfId="0" applyFont="1" applyFill="1" applyBorder="1" applyAlignment="1">
      <alignment horizontal="center" vertical="center" wrapText="1" readingOrder="1"/>
    </xf>
    <xf numFmtId="44" fontId="69" fillId="10" borderId="4" xfId="1" applyFont="1" applyFill="1" applyBorder="1" applyAlignment="1">
      <alignment horizontal="right" vertical="center" wrapText="1" readingOrder="1"/>
    </xf>
    <xf numFmtId="44" fontId="69" fillId="10" borderId="45" xfId="1" applyFont="1" applyFill="1" applyBorder="1" applyAlignment="1">
      <alignment horizontal="right" vertical="center" wrapText="1" readingOrder="1"/>
    </xf>
    <xf numFmtId="44" fontId="69" fillId="10" borderId="46" xfId="1" applyFont="1" applyFill="1" applyBorder="1" applyAlignment="1">
      <alignment horizontal="right" vertical="center" wrapText="1" readingOrder="1"/>
    </xf>
    <xf numFmtId="0" fontId="68" fillId="10" borderId="3" xfId="0" applyFont="1" applyFill="1" applyBorder="1" applyAlignment="1">
      <alignment horizontal="left" vertical="center" wrapText="1" readingOrder="1"/>
    </xf>
    <xf numFmtId="43" fontId="68" fillId="10" borderId="4" xfId="4" applyFont="1" applyFill="1" applyBorder="1" applyAlignment="1">
      <alignment horizontal="right" vertical="center" wrapText="1" readingOrder="1"/>
    </xf>
    <xf numFmtId="44" fontId="70" fillId="10" borderId="47" xfId="1" applyFont="1" applyFill="1" applyBorder="1" applyAlignment="1">
      <alignment horizontal="right" vertical="center" wrapText="1"/>
    </xf>
    <xf numFmtId="0" fontId="74" fillId="0" borderId="15" xfId="5" applyFont="1" applyBorder="1" applyAlignment="1">
      <alignment horizontal="center" vertical="center"/>
    </xf>
    <xf numFmtId="0" fontId="75" fillId="0" borderId="13" xfId="5" applyFont="1" applyBorder="1" applyAlignment="1">
      <alignment horizontal="center" vertical="center"/>
    </xf>
    <xf numFmtId="0" fontId="75" fillId="0" borderId="49" xfId="5" applyFont="1" applyBorder="1" applyAlignment="1">
      <alignment horizontal="center" vertical="center"/>
    </xf>
    <xf numFmtId="44" fontId="72" fillId="10" borderId="47" xfId="0" applyNumberFormat="1" applyFont="1" applyFill="1" applyBorder="1" applyAlignment="1">
      <alignment horizontal="center" vertical="center" wrapText="1"/>
    </xf>
    <xf numFmtId="0" fontId="64" fillId="4" borderId="31" xfId="5" applyFont="1" applyFill="1" applyBorder="1" applyAlignment="1">
      <alignment horizontal="centerContinuous" vertical="center"/>
    </xf>
    <xf numFmtId="0" fontId="67" fillId="4" borderId="32" xfId="0" applyFont="1" applyFill="1" applyBorder="1" applyAlignment="1">
      <alignment horizontal="centerContinuous" vertical="center"/>
    </xf>
    <xf numFmtId="0" fontId="67" fillId="4" borderId="6" xfId="0" applyFont="1" applyFill="1" applyBorder="1" applyAlignment="1">
      <alignment horizontal="centerContinuous" vertical="center"/>
    </xf>
    <xf numFmtId="0" fontId="67" fillId="0" borderId="0" xfId="0" applyFont="1" applyAlignment="1">
      <alignment vertical="center"/>
    </xf>
    <xf numFmtId="0" fontId="65" fillId="0" borderId="33" xfId="5" applyFont="1" applyBorder="1" applyAlignment="1">
      <alignment vertical="center"/>
    </xf>
    <xf numFmtId="0" fontId="67" fillId="0" borderId="34" xfId="0" applyFont="1" applyBorder="1" applyAlignment="1">
      <alignment vertical="center"/>
    </xf>
    <xf numFmtId="0" fontId="67" fillId="0" borderId="35" xfId="0" applyFont="1" applyBorder="1" applyAlignment="1">
      <alignment vertical="center"/>
    </xf>
    <xf numFmtId="0" fontId="67" fillId="0" borderId="33" xfId="0" applyFont="1" applyBorder="1" applyAlignment="1">
      <alignment vertical="center"/>
    </xf>
    <xf numFmtId="0" fontId="67" fillId="0" borderId="52" xfId="0" applyFont="1" applyBorder="1" applyAlignment="1">
      <alignment vertical="center"/>
    </xf>
    <xf numFmtId="0" fontId="66" fillId="0" borderId="35" xfId="0" applyFont="1" applyBorder="1" applyAlignment="1">
      <alignment horizontal="center" vertical="center"/>
    </xf>
    <xf numFmtId="14" fontId="73" fillId="0" borderId="36" xfId="5" applyNumberFormat="1" applyBorder="1" applyAlignment="1">
      <alignment vertical="center"/>
    </xf>
    <xf numFmtId="0" fontId="67" fillId="0" borderId="50" xfId="0" applyFont="1" applyBorder="1" applyAlignment="1">
      <alignment vertical="center"/>
    </xf>
    <xf numFmtId="0" fontId="67" fillId="0" borderId="53" xfId="0" applyFont="1" applyBorder="1" applyAlignment="1">
      <alignment vertical="center"/>
    </xf>
    <xf numFmtId="0" fontId="67" fillId="0" borderId="36" xfId="0" applyFont="1" applyBorder="1" applyAlignment="1">
      <alignment vertical="center"/>
    </xf>
    <xf numFmtId="0" fontId="67" fillId="0" borderId="54" xfId="0" applyFont="1" applyBorder="1" applyAlignment="1">
      <alignment vertical="center"/>
    </xf>
    <xf numFmtId="0" fontId="67" fillId="0" borderId="38" xfId="0" applyFont="1" applyBorder="1" applyAlignment="1">
      <alignment vertical="center"/>
    </xf>
    <xf numFmtId="0" fontId="67" fillId="0" borderId="39" xfId="0" applyFont="1" applyBorder="1" applyAlignment="1">
      <alignment vertical="center"/>
    </xf>
    <xf numFmtId="0" fontId="67" fillId="0" borderId="51" xfId="0" applyFont="1" applyBorder="1" applyAlignment="1">
      <alignment vertical="center"/>
    </xf>
    <xf numFmtId="0" fontId="67" fillId="0" borderId="55" xfId="0" applyFont="1" applyBorder="1" applyAlignment="1">
      <alignment vertical="center"/>
    </xf>
    <xf numFmtId="0" fontId="67" fillId="0" borderId="56" xfId="0" applyFont="1" applyBorder="1" applyAlignment="1">
      <alignment vertical="center"/>
    </xf>
    <xf numFmtId="0" fontId="67" fillId="0" borderId="41" xfId="0" applyFont="1" applyBorder="1" applyAlignment="1">
      <alignment vertical="center"/>
    </xf>
    <xf numFmtId="0" fontId="65" fillId="11" borderId="1" xfId="5" applyFont="1" applyFill="1" applyBorder="1" applyAlignment="1">
      <alignment horizontal="center" vertical="center"/>
    </xf>
    <xf numFmtId="0" fontId="65" fillId="11" borderId="57" xfId="5" applyFont="1" applyFill="1" applyBorder="1" applyAlignment="1">
      <alignment horizontal="center" vertical="center"/>
    </xf>
    <xf numFmtId="0" fontId="64" fillId="4" borderId="1" xfId="5" applyFont="1" applyFill="1" applyBorder="1" applyAlignment="1">
      <alignment horizontal="centerContinuous" vertical="center"/>
    </xf>
    <xf numFmtId="0" fontId="67" fillId="4" borderId="57" xfId="0" applyFont="1" applyFill="1" applyBorder="1" applyAlignment="1">
      <alignment horizontal="centerContinuous" vertical="center"/>
    </xf>
    <xf numFmtId="0" fontId="67" fillId="4" borderId="58" xfId="0" applyFont="1" applyFill="1" applyBorder="1" applyAlignment="1">
      <alignment horizontal="centerContinuous" vertical="center"/>
    </xf>
    <xf numFmtId="0" fontId="67" fillId="4" borderId="26" xfId="0" applyFont="1" applyFill="1" applyBorder="1" applyAlignment="1">
      <alignment horizontal="centerContinuous" vertical="center"/>
    </xf>
    <xf numFmtId="0" fontId="65" fillId="0" borderId="59" xfId="5" applyFont="1" applyBorder="1" applyAlignment="1">
      <alignment horizontal="center" vertical="center"/>
    </xf>
    <xf numFmtId="0" fontId="66" fillId="0" borderId="57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13" borderId="60" xfId="0" applyFont="1" applyFill="1" applyBorder="1" applyAlignment="1">
      <alignment vertical="center"/>
    </xf>
    <xf numFmtId="2" fontId="67" fillId="0" borderId="34" xfId="0" applyNumberFormat="1" applyFont="1" applyBorder="1" applyAlignment="1">
      <alignment vertical="center"/>
    </xf>
    <xf numFmtId="166" fontId="67" fillId="0" borderId="34" xfId="0" applyNumberFormat="1" applyFont="1" applyBorder="1" applyAlignment="1">
      <alignment horizontal="right" vertical="center"/>
    </xf>
    <xf numFmtId="44" fontId="67" fillId="13" borderId="35" xfId="1" applyFont="1" applyFill="1" applyBorder="1" applyAlignment="1">
      <alignment vertical="center"/>
    </xf>
    <xf numFmtId="0" fontId="70" fillId="0" borderId="0" xfId="0" applyFont="1" applyAlignment="1">
      <alignment vertical="center"/>
    </xf>
    <xf numFmtId="0" fontId="67" fillId="0" borderId="63" xfId="0" applyFont="1" applyBorder="1" applyAlignment="1">
      <alignment vertical="center"/>
    </xf>
    <xf numFmtId="2" fontId="67" fillId="0" borderId="61" xfId="0" applyNumberFormat="1" applyFont="1" applyBorder="1" applyAlignment="1">
      <alignment vertical="center"/>
    </xf>
    <xf numFmtId="166" fontId="67" fillId="0" borderId="61" xfId="0" applyNumberFormat="1" applyFont="1" applyBorder="1" applyAlignment="1">
      <alignment horizontal="right" vertical="center"/>
    </xf>
    <xf numFmtId="44" fontId="67" fillId="0" borderId="61" xfId="1" applyFont="1" applyBorder="1" applyAlignment="1">
      <alignment vertical="center"/>
    </xf>
    <xf numFmtId="44" fontId="67" fillId="0" borderId="62" xfId="1" applyFont="1" applyBorder="1" applyAlignment="1">
      <alignment vertical="center"/>
    </xf>
    <xf numFmtId="44" fontId="67" fillId="13" borderId="64" xfId="1" applyFont="1" applyFill="1" applyBorder="1" applyAlignment="1">
      <alignment vertical="center"/>
    </xf>
    <xf numFmtId="0" fontId="67" fillId="0" borderId="37" xfId="0" applyFont="1" applyBorder="1" applyAlignment="1">
      <alignment vertical="center"/>
    </xf>
    <xf numFmtId="44" fontId="67" fillId="13" borderId="38" xfId="0" applyNumberFormat="1" applyFont="1" applyFill="1" applyBorder="1" applyAlignment="1">
      <alignment vertical="center"/>
    </xf>
    <xf numFmtId="0" fontId="67" fillId="13" borderId="38" xfId="0" applyFont="1" applyFill="1" applyBorder="1" applyAlignment="1">
      <alignment vertical="center"/>
    </xf>
    <xf numFmtId="170" fontId="67" fillId="13" borderId="38" xfId="0" applyNumberFormat="1" applyFont="1" applyFill="1" applyBorder="1" applyAlignment="1">
      <alignment vertical="center"/>
    </xf>
    <xf numFmtId="0" fontId="67" fillId="0" borderId="0" xfId="0" applyFont="1" applyAlignment="1">
      <alignment horizontal="center" vertical="center"/>
    </xf>
    <xf numFmtId="170" fontId="67" fillId="13" borderId="67" xfId="0" applyNumberFormat="1" applyFont="1" applyFill="1" applyBorder="1" applyAlignment="1">
      <alignment vertical="center"/>
    </xf>
    <xf numFmtId="44" fontId="67" fillId="13" borderId="55" xfId="1" applyFont="1" applyFill="1" applyBorder="1" applyAlignment="1">
      <alignment vertical="center"/>
    </xf>
    <xf numFmtId="44" fontId="76" fillId="0" borderId="3" xfId="1" applyFont="1" applyBorder="1" applyAlignment="1">
      <alignment vertical="center"/>
    </xf>
    <xf numFmtId="44" fontId="70" fillId="10" borderId="4" xfId="1" applyFont="1" applyFill="1" applyBorder="1" applyAlignment="1">
      <alignment horizontal="right" vertical="center" wrapText="1"/>
    </xf>
    <xf numFmtId="44" fontId="76" fillId="0" borderId="10" xfId="1" applyFont="1" applyBorder="1" applyAlignment="1">
      <alignment vertical="center"/>
    </xf>
    <xf numFmtId="44" fontId="67" fillId="13" borderId="60" xfId="1" applyFont="1" applyFill="1" applyBorder="1" applyAlignment="1">
      <alignment vertical="center"/>
    </xf>
    <xf numFmtId="44" fontId="76" fillId="0" borderId="65" xfId="1" applyFont="1" applyBorder="1" applyAlignment="1">
      <alignment vertical="center"/>
    </xf>
    <xf numFmtId="0" fontId="69" fillId="10" borderId="15" xfId="0" applyFont="1" applyFill="1" applyBorder="1" applyAlignment="1">
      <alignment horizontal="left" vertical="center" wrapText="1" readingOrder="1"/>
    </xf>
    <xf numFmtId="0" fontId="67" fillId="0" borderId="13" xfId="0" applyFont="1" applyBorder="1" applyAlignment="1">
      <alignment vertical="center"/>
    </xf>
    <xf numFmtId="0" fontId="67" fillId="0" borderId="69" xfId="0" applyFont="1" applyBorder="1" applyAlignment="1">
      <alignment vertical="center"/>
    </xf>
    <xf numFmtId="0" fontId="70" fillId="10" borderId="8" xfId="0" applyFont="1" applyFill="1" applyBorder="1" applyAlignment="1">
      <alignment horizontal="right" vertical="center" wrapText="1"/>
    </xf>
    <xf numFmtId="0" fontId="68" fillId="10" borderId="8" xfId="0" applyFont="1" applyFill="1" applyBorder="1" applyAlignment="1">
      <alignment horizontal="left" vertical="center" wrapText="1" readingOrder="1"/>
    </xf>
    <xf numFmtId="0" fontId="68" fillId="10" borderId="70" xfId="0" applyFont="1" applyFill="1" applyBorder="1" applyAlignment="1">
      <alignment horizontal="left" vertical="center" wrapText="1" readingOrder="1"/>
    </xf>
    <xf numFmtId="0" fontId="68" fillId="10" borderId="71" xfId="0" applyFont="1" applyFill="1" applyBorder="1" applyAlignment="1">
      <alignment horizontal="left" vertical="center" wrapText="1" readingOrder="1"/>
    </xf>
    <xf numFmtId="44" fontId="68" fillId="10" borderId="72" xfId="0" applyNumberFormat="1" applyFont="1" applyFill="1" applyBorder="1" applyAlignment="1">
      <alignment horizontal="left" vertical="center" wrapText="1" readingOrder="1"/>
    </xf>
    <xf numFmtId="0" fontId="69" fillId="4" borderId="73" xfId="0" applyFont="1" applyFill="1" applyBorder="1" applyAlignment="1">
      <alignment horizontal="left" vertical="center" wrapText="1" readingOrder="1"/>
    </xf>
    <xf numFmtId="0" fontId="69" fillId="4" borderId="70" xfId="0" applyFont="1" applyFill="1" applyBorder="1" applyAlignment="1">
      <alignment horizontal="center" vertical="center" wrapText="1" readingOrder="1"/>
    </xf>
    <xf numFmtId="0" fontId="69" fillId="4" borderId="71" xfId="0" applyFont="1" applyFill="1" applyBorder="1" applyAlignment="1">
      <alignment horizontal="center" vertical="center" wrapText="1" readingOrder="1"/>
    </xf>
    <xf numFmtId="0" fontId="69" fillId="4" borderId="43" xfId="0" applyFont="1" applyFill="1" applyBorder="1" applyAlignment="1">
      <alignment horizontal="center" vertical="center" wrapText="1" readingOrder="1"/>
    </xf>
    <xf numFmtId="0" fontId="69" fillId="8" borderId="3" xfId="0" applyFont="1" applyFill="1" applyBorder="1" applyAlignment="1">
      <alignment horizontal="left" vertical="center" wrapText="1" readingOrder="1"/>
    </xf>
    <xf numFmtId="0" fontId="70" fillId="8" borderId="4" xfId="0" applyFont="1" applyFill="1" applyBorder="1" applyAlignment="1">
      <alignment horizontal="center" vertical="center" wrapText="1"/>
    </xf>
    <xf numFmtId="0" fontId="69" fillId="8" borderId="4" xfId="0" applyFont="1" applyFill="1" applyBorder="1" applyAlignment="1">
      <alignment horizontal="center" vertical="center" wrapText="1" readingOrder="1"/>
    </xf>
    <xf numFmtId="0" fontId="69" fillId="8" borderId="11" xfId="0" applyFont="1" applyFill="1" applyBorder="1" applyAlignment="1">
      <alignment horizontal="center" vertical="center" wrapText="1" readingOrder="1"/>
    </xf>
    <xf numFmtId="0" fontId="69" fillId="8" borderId="43" xfId="0" applyFont="1" applyFill="1" applyBorder="1" applyAlignment="1">
      <alignment horizontal="center" vertical="center" wrapText="1" readingOrder="1"/>
    </xf>
    <xf numFmtId="0" fontId="68" fillId="8" borderId="3" xfId="0" applyFont="1" applyFill="1" applyBorder="1" applyAlignment="1">
      <alignment horizontal="left" vertical="center" wrapText="1" readingOrder="1"/>
    </xf>
    <xf numFmtId="44" fontId="70" fillId="8" borderId="4" xfId="1" applyFont="1" applyFill="1" applyBorder="1" applyAlignment="1">
      <alignment horizontal="right" vertical="center" wrapText="1"/>
    </xf>
    <xf numFmtId="0" fontId="70" fillId="8" borderId="4" xfId="0" applyFont="1" applyFill="1" applyBorder="1" applyAlignment="1">
      <alignment vertical="center" wrapText="1"/>
    </xf>
    <xf numFmtId="44" fontId="70" fillId="8" borderId="4" xfId="1" applyFont="1" applyFill="1" applyBorder="1" applyAlignment="1">
      <alignment vertical="center" wrapText="1"/>
    </xf>
    <xf numFmtId="44" fontId="70" fillId="8" borderId="43" xfId="1" applyFont="1" applyFill="1" applyBorder="1" applyAlignment="1">
      <alignment horizontal="right" vertical="center" wrapText="1"/>
    </xf>
    <xf numFmtId="10" fontId="67" fillId="0" borderId="0" xfId="2" applyNumberFormat="1" applyFont="1" applyAlignment="1">
      <alignment vertical="center"/>
    </xf>
    <xf numFmtId="0" fontId="67" fillId="8" borderId="0" xfId="0" applyFont="1" applyFill="1" applyAlignment="1">
      <alignment vertical="center"/>
    </xf>
    <xf numFmtId="10" fontId="68" fillId="8" borderId="4" xfId="0" applyNumberFormat="1" applyFont="1" applyFill="1" applyBorder="1" applyAlignment="1">
      <alignment horizontal="center" vertical="center" wrapText="1" readingOrder="1"/>
    </xf>
    <xf numFmtId="44" fontId="68" fillId="8" borderId="4" xfId="1" applyFont="1" applyFill="1" applyBorder="1" applyAlignment="1">
      <alignment horizontal="right" vertical="center" wrapText="1" readingOrder="1"/>
    </xf>
    <xf numFmtId="44" fontId="68" fillId="8" borderId="11" xfId="1" applyFont="1" applyFill="1" applyBorder="1" applyAlignment="1">
      <alignment horizontal="right" vertical="center" wrapText="1" readingOrder="1"/>
    </xf>
    <xf numFmtId="10" fontId="70" fillId="8" borderId="11" xfId="1" applyNumberFormat="1" applyFont="1" applyFill="1" applyBorder="1" applyAlignment="1">
      <alignment horizontal="right" vertical="center" wrapText="1"/>
    </xf>
    <xf numFmtId="10" fontId="68" fillId="8" borderId="11" xfId="1" applyNumberFormat="1" applyFont="1" applyFill="1" applyBorder="1" applyAlignment="1">
      <alignment horizontal="right" vertical="center" wrapText="1" readingOrder="1"/>
    </xf>
    <xf numFmtId="0" fontId="68" fillId="8" borderId="4" xfId="0" applyFont="1" applyFill="1" applyBorder="1" applyAlignment="1">
      <alignment horizontal="center" vertical="center" wrapText="1" readingOrder="1"/>
    </xf>
    <xf numFmtId="44" fontId="70" fillId="8" borderId="11" xfId="1" applyFont="1" applyFill="1" applyBorder="1" applyAlignment="1">
      <alignment horizontal="right" vertical="center" wrapText="1"/>
    </xf>
    <xf numFmtId="164" fontId="68" fillId="8" borderId="4" xfId="0" applyNumberFormat="1" applyFont="1" applyFill="1" applyBorder="1" applyAlignment="1">
      <alignment horizontal="center" vertical="center" wrapText="1" readingOrder="1"/>
    </xf>
    <xf numFmtId="164" fontId="70" fillId="8" borderId="11" xfId="1" applyNumberFormat="1" applyFont="1" applyFill="1" applyBorder="1" applyAlignment="1">
      <alignment horizontal="right" vertical="center" wrapText="1"/>
    </xf>
    <xf numFmtId="8" fontId="70" fillId="8" borderId="43" xfId="1" applyNumberFormat="1" applyFont="1" applyFill="1" applyBorder="1" applyAlignment="1">
      <alignment horizontal="right" vertical="center" wrapText="1"/>
    </xf>
    <xf numFmtId="0" fontId="79" fillId="8" borderId="3" xfId="0" applyFont="1" applyFill="1" applyBorder="1" applyAlignment="1">
      <alignment horizontal="left" vertical="center" wrapText="1" readingOrder="1"/>
    </xf>
    <xf numFmtId="10" fontId="68" fillId="10" borderId="4" xfId="0" applyNumberFormat="1" applyFont="1" applyFill="1" applyBorder="1" applyAlignment="1">
      <alignment horizontal="center" vertical="center" wrapText="1" readingOrder="1"/>
    </xf>
    <xf numFmtId="44" fontId="70" fillId="10" borderId="43" xfId="1" applyFont="1" applyFill="1" applyBorder="1" applyAlignment="1">
      <alignment horizontal="right" vertical="center" wrapText="1"/>
    </xf>
    <xf numFmtId="0" fontId="79" fillId="10" borderId="3" xfId="0" applyFont="1" applyFill="1" applyBorder="1" applyAlignment="1">
      <alignment horizontal="left" vertical="center" wrapText="1" readingOrder="1"/>
    </xf>
    <xf numFmtId="44" fontId="68" fillId="10" borderId="11" xfId="1" applyFont="1" applyFill="1" applyBorder="1" applyAlignment="1">
      <alignment horizontal="right" vertical="center" wrapText="1" readingOrder="1"/>
    </xf>
    <xf numFmtId="0" fontId="81" fillId="10" borderId="33" xfId="0" applyFont="1" applyFill="1" applyBorder="1" applyAlignment="1">
      <alignment vertical="center" wrapText="1"/>
    </xf>
    <xf numFmtId="171" fontId="81" fillId="10" borderId="34" xfId="2" applyNumberFormat="1" applyFont="1" applyFill="1" applyBorder="1" applyAlignment="1">
      <alignment horizontal="right" vertical="center"/>
    </xf>
    <xf numFmtId="8" fontId="82" fillId="10" borderId="35" xfId="0" applyNumberFormat="1" applyFont="1" applyFill="1" applyBorder="1" applyAlignment="1">
      <alignment horizontal="right" vertical="center"/>
    </xf>
    <xf numFmtId="0" fontId="81" fillId="10" borderId="36" xfId="0" applyFont="1" applyFill="1" applyBorder="1" applyAlignment="1">
      <alignment vertical="center" wrapText="1"/>
    </xf>
    <xf numFmtId="171" fontId="81" fillId="10" borderId="37" xfId="2" applyNumberFormat="1" applyFont="1" applyFill="1" applyBorder="1" applyAlignment="1">
      <alignment horizontal="right" vertical="center"/>
    </xf>
    <xf numFmtId="44" fontId="82" fillId="10" borderId="38" xfId="1" applyFont="1" applyFill="1" applyBorder="1" applyAlignment="1">
      <alignment horizontal="right" vertical="center"/>
    </xf>
    <xf numFmtId="170" fontId="67" fillId="0" borderId="37" xfId="0" applyNumberFormat="1" applyFont="1" applyBorder="1" applyAlignment="1">
      <alignment vertical="center"/>
    </xf>
    <xf numFmtId="10" fontId="67" fillId="0" borderId="37" xfId="0" applyNumberFormat="1" applyFont="1" applyBorder="1" applyAlignment="1">
      <alignment vertical="center"/>
    </xf>
    <xf numFmtId="170" fontId="67" fillId="0" borderId="38" xfId="0" applyNumberFormat="1" applyFont="1" applyBorder="1" applyAlignment="1">
      <alignment vertical="center"/>
    </xf>
    <xf numFmtId="170" fontId="67" fillId="0" borderId="40" xfId="0" applyNumberFormat="1" applyFont="1" applyBorder="1" applyAlignment="1">
      <alignment vertical="center"/>
    </xf>
    <xf numFmtId="10" fontId="67" fillId="0" borderId="40" xfId="0" applyNumberFormat="1" applyFont="1" applyBorder="1" applyAlignment="1">
      <alignment vertical="center"/>
    </xf>
    <xf numFmtId="170" fontId="67" fillId="0" borderId="41" xfId="0" applyNumberFormat="1" applyFont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67" fillId="0" borderId="57" xfId="0" applyFont="1" applyBorder="1" applyAlignment="1">
      <alignment vertical="center"/>
    </xf>
    <xf numFmtId="44" fontId="71" fillId="3" borderId="26" xfId="0" applyNumberFormat="1" applyFont="1" applyFill="1" applyBorder="1" applyAlignment="1">
      <alignment vertical="center"/>
    </xf>
    <xf numFmtId="0" fontId="67" fillId="0" borderId="7" xfId="0" applyFont="1" applyBorder="1" applyAlignment="1">
      <alignment vertical="center"/>
    </xf>
    <xf numFmtId="44" fontId="67" fillId="0" borderId="4" xfId="0" applyNumberFormat="1" applyFont="1" applyBorder="1" applyAlignment="1">
      <alignment vertical="center"/>
    </xf>
    <xf numFmtId="10" fontId="67" fillId="0" borderId="8" xfId="0" applyNumberFormat="1" applyFont="1" applyBorder="1" applyAlignment="1">
      <alignment vertical="center"/>
    </xf>
    <xf numFmtId="44" fontId="67" fillId="0" borderId="9" xfId="0" applyNumberFormat="1" applyFont="1" applyBorder="1" applyAlignment="1">
      <alignment vertical="center"/>
    </xf>
    <xf numFmtId="0" fontId="67" fillId="0" borderId="3" xfId="0" applyFont="1" applyBorder="1" applyAlignment="1">
      <alignment vertical="center"/>
    </xf>
    <xf numFmtId="10" fontId="67" fillId="0" borderId="4" xfId="0" applyNumberFormat="1" applyFont="1" applyBorder="1" applyAlignment="1">
      <alignment vertical="center"/>
    </xf>
    <xf numFmtId="44" fontId="67" fillId="0" borderId="10" xfId="0" applyNumberFormat="1" applyFont="1" applyBorder="1" applyAlignment="1">
      <alignment vertical="center"/>
    </xf>
    <xf numFmtId="170" fontId="68" fillId="10" borderId="4" xfId="0" applyNumberFormat="1" applyFont="1" applyFill="1" applyBorder="1" applyAlignment="1">
      <alignment horizontal="right" vertical="center" wrapText="1" readingOrder="1"/>
    </xf>
    <xf numFmtId="10" fontId="68" fillId="10" borderId="4" xfId="0" applyNumberFormat="1" applyFont="1" applyFill="1" applyBorder="1" applyAlignment="1">
      <alignment horizontal="right" vertical="center" wrapText="1" readingOrder="1"/>
    </xf>
    <xf numFmtId="8" fontId="68" fillId="10" borderId="4" xfId="0" applyNumberFormat="1" applyFont="1" applyFill="1" applyBorder="1" applyAlignment="1">
      <alignment horizontal="right" vertical="center" wrapText="1" readingOrder="1"/>
    </xf>
    <xf numFmtId="0" fontId="66" fillId="0" borderId="15" xfId="0" applyFont="1" applyBorder="1" applyAlignment="1">
      <alignment vertical="center"/>
    </xf>
    <xf numFmtId="44" fontId="67" fillId="0" borderId="13" xfId="0" applyNumberFormat="1" applyFont="1" applyBorder="1" applyAlignment="1">
      <alignment vertical="center"/>
    </xf>
    <xf numFmtId="172" fontId="67" fillId="0" borderId="13" xfId="0" applyNumberFormat="1" applyFont="1" applyBorder="1" applyAlignment="1">
      <alignment vertical="center"/>
    </xf>
    <xf numFmtId="44" fontId="71" fillId="3" borderId="16" xfId="1" applyFont="1" applyFill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7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8" fontId="76" fillId="0" borderId="9" xfId="1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43" fontId="76" fillId="0" borderId="4" xfId="0" applyNumberFormat="1" applyFont="1" applyBorder="1" applyAlignment="1">
      <alignment vertical="center"/>
    </xf>
    <xf numFmtId="8" fontId="67" fillId="0" borderId="4" xfId="0" applyNumberFormat="1" applyFont="1" applyBorder="1" applyAlignment="1">
      <alignment vertical="center"/>
    </xf>
    <xf numFmtId="44" fontId="76" fillId="0" borderId="4" xfId="0" applyNumberFormat="1" applyFont="1" applyBorder="1" applyAlignment="1">
      <alignment vertical="center"/>
    </xf>
    <xf numFmtId="0" fontId="77" fillId="0" borderId="15" xfId="0" applyFont="1" applyBorder="1" applyAlignment="1">
      <alignment vertical="center"/>
    </xf>
    <xf numFmtId="0" fontId="76" fillId="0" borderId="13" xfId="0" applyFont="1" applyBorder="1" applyAlignment="1">
      <alignment vertical="center"/>
    </xf>
    <xf numFmtId="44" fontId="83" fillId="3" borderId="16" xfId="1" applyFont="1" applyFill="1" applyBorder="1" applyAlignment="1">
      <alignment vertical="center"/>
    </xf>
    <xf numFmtId="9" fontId="70" fillId="8" borderId="11" xfId="1" applyNumberFormat="1" applyFont="1" applyFill="1" applyBorder="1" applyAlignment="1">
      <alignment vertical="center" wrapText="1"/>
    </xf>
    <xf numFmtId="10" fontId="67" fillId="8" borderId="0" xfId="0" applyNumberFormat="1" applyFont="1" applyFill="1" applyAlignment="1">
      <alignment vertical="center"/>
    </xf>
    <xf numFmtId="0" fontId="71" fillId="0" borderId="3" xfId="0" applyFont="1" applyBorder="1" applyAlignment="1">
      <alignment horizontal="left" vertical="center" wrapText="1" readingOrder="1"/>
    </xf>
    <xf numFmtId="44" fontId="68" fillId="0" borderId="4" xfId="1" applyFont="1" applyFill="1" applyBorder="1" applyAlignment="1">
      <alignment horizontal="right" vertical="center" wrapText="1" readingOrder="1"/>
    </xf>
    <xf numFmtId="0" fontId="69" fillId="0" borderId="4" xfId="0" applyFont="1" applyBorder="1" applyAlignment="1">
      <alignment horizontal="center" vertical="center" wrapText="1" readingOrder="1"/>
    </xf>
    <xf numFmtId="44" fontId="69" fillId="0" borderId="4" xfId="1" applyFont="1" applyFill="1" applyBorder="1" applyAlignment="1">
      <alignment horizontal="right" vertical="center" wrapText="1" readingOrder="1"/>
    </xf>
    <xf numFmtId="44" fontId="69" fillId="0" borderId="0" xfId="1" applyFont="1" applyFill="1" applyBorder="1" applyAlignment="1">
      <alignment horizontal="right" vertical="center" wrapText="1" readingOrder="1"/>
    </xf>
    <xf numFmtId="44" fontId="72" fillId="0" borderId="48" xfId="1" applyFont="1" applyFill="1" applyBorder="1" applyAlignment="1">
      <alignment horizontal="right" vertical="center" wrapText="1"/>
    </xf>
    <xf numFmtId="0" fontId="69" fillId="0" borderId="3" xfId="0" applyFont="1" applyBorder="1" applyAlignment="1">
      <alignment horizontal="left" vertical="center" wrapText="1" readingOrder="1"/>
    </xf>
    <xf numFmtId="44" fontId="69" fillId="0" borderId="4" xfId="1" applyFont="1" applyFill="1" applyBorder="1" applyAlignment="1">
      <alignment horizontal="center" vertical="center" wrapText="1" readingOrder="1"/>
    </xf>
    <xf numFmtId="44" fontId="69" fillId="0" borderId="11" xfId="1" applyFont="1" applyFill="1" applyBorder="1" applyAlignment="1">
      <alignment horizontal="center" vertical="center" wrapText="1" readingOrder="1"/>
    </xf>
    <xf numFmtId="8" fontId="70" fillId="0" borderId="43" xfId="1" applyNumberFormat="1" applyFont="1" applyFill="1" applyBorder="1" applyAlignment="1">
      <alignment horizontal="right" vertical="center" wrapText="1"/>
    </xf>
    <xf numFmtId="0" fontId="69" fillId="0" borderId="4" xfId="0" applyFont="1" applyBorder="1" applyAlignment="1">
      <alignment horizontal="center" vertical="center" readingOrder="1"/>
    </xf>
    <xf numFmtId="44" fontId="69" fillId="0" borderId="43" xfId="1" applyFont="1" applyFill="1" applyBorder="1" applyAlignment="1">
      <alignment horizontal="center" vertical="center" wrapText="1" readingOrder="1"/>
    </xf>
    <xf numFmtId="0" fontId="68" fillId="0" borderId="3" xfId="0" applyFont="1" applyBorder="1" applyAlignment="1">
      <alignment horizontal="left" vertical="center" wrapText="1" readingOrder="1"/>
    </xf>
    <xf numFmtId="0" fontId="68" fillId="0" borderId="4" xfId="0" applyFont="1" applyBorder="1" applyAlignment="1">
      <alignment horizontal="center" vertical="center" wrapText="1" readingOrder="1"/>
    </xf>
    <xf numFmtId="44" fontId="69" fillId="0" borderId="4" xfId="0" applyNumberFormat="1" applyFont="1" applyBorder="1" applyAlignment="1">
      <alignment horizontal="center" vertical="center" wrapText="1" readingOrder="1"/>
    </xf>
    <xf numFmtId="0" fontId="69" fillId="0" borderId="11" xfId="0" applyFont="1" applyBorder="1" applyAlignment="1">
      <alignment horizontal="center" vertical="center" wrapText="1" readingOrder="1"/>
    </xf>
    <xf numFmtId="44" fontId="70" fillId="0" borderId="43" xfId="0" applyNumberFormat="1" applyFont="1" applyBorder="1" applyAlignment="1">
      <alignment horizontal="center" vertical="center" wrapText="1"/>
    </xf>
    <xf numFmtId="44" fontId="68" fillId="0" borderId="4" xfId="0" applyNumberFormat="1" applyFont="1" applyBorder="1" applyAlignment="1">
      <alignment horizontal="center" vertical="center" wrapText="1" readingOrder="1"/>
    </xf>
    <xf numFmtId="10" fontId="69" fillId="0" borderId="4" xfId="0" applyNumberFormat="1" applyFont="1" applyBorder="1" applyAlignment="1">
      <alignment horizontal="center" vertical="center" wrapText="1" readingOrder="1"/>
    </xf>
    <xf numFmtId="0" fontId="69" fillId="0" borderId="43" xfId="0" applyFont="1" applyBorder="1" applyAlignment="1">
      <alignment horizontal="center" vertical="center" wrapText="1" readingOrder="1"/>
    </xf>
    <xf numFmtId="0" fontId="66" fillId="0" borderId="4" xfId="0" applyFont="1" applyBorder="1" applyAlignment="1">
      <alignment horizontal="center" vertical="center" wrapText="1" readingOrder="1"/>
    </xf>
    <xf numFmtId="0" fontId="69" fillId="3" borderId="3" xfId="0" applyFont="1" applyFill="1" applyBorder="1" applyAlignment="1">
      <alignment horizontal="left" vertical="center" wrapText="1" readingOrder="1"/>
    </xf>
    <xf numFmtId="44" fontId="67" fillId="0" borderId="38" xfId="1" applyFont="1" applyBorder="1" applyAlignment="1">
      <alignment vertical="center"/>
    </xf>
    <xf numFmtId="44" fontId="67" fillId="0" borderId="41" xfId="1" applyFont="1" applyBorder="1" applyAlignment="1">
      <alignment vertical="center"/>
    </xf>
    <xf numFmtId="44" fontId="70" fillId="0" borderId="35" xfId="1" applyFont="1" applyFill="1" applyBorder="1" applyAlignment="1">
      <alignment horizontal="right" vertical="center"/>
    </xf>
    <xf numFmtId="2" fontId="78" fillId="0" borderId="61" xfId="0" applyNumberFormat="1" applyFont="1" applyBorder="1" applyAlignment="1">
      <alignment vertical="center"/>
    </xf>
    <xf numFmtId="166" fontId="78" fillId="0" borderId="61" xfId="0" applyNumberFormat="1" applyFont="1" applyBorder="1" applyAlignment="1">
      <alignment horizontal="right" vertical="center"/>
    </xf>
    <xf numFmtId="44" fontId="78" fillId="0" borderId="61" xfId="1" applyFont="1" applyFill="1" applyBorder="1" applyAlignment="1">
      <alignment vertical="center"/>
    </xf>
    <xf numFmtId="44" fontId="78" fillId="0" borderId="62" xfId="1" applyFont="1" applyFill="1" applyBorder="1" applyAlignment="1">
      <alignment vertical="center"/>
    </xf>
    <xf numFmtId="44" fontId="67" fillId="0" borderId="61" xfId="1" applyFont="1" applyFill="1" applyBorder="1" applyAlignment="1">
      <alignment vertical="center"/>
    </xf>
    <xf numFmtId="44" fontId="67" fillId="0" borderId="62" xfId="1" applyFont="1" applyFill="1" applyBorder="1" applyAlignment="1">
      <alignment vertical="center"/>
    </xf>
    <xf numFmtId="44" fontId="67" fillId="0" borderId="37" xfId="1" applyFont="1" applyFill="1" applyBorder="1" applyAlignment="1">
      <alignment vertical="center"/>
    </xf>
    <xf numFmtId="44" fontId="67" fillId="0" borderId="50" xfId="1" applyFont="1" applyFill="1" applyBorder="1" applyAlignment="1">
      <alignment vertical="center"/>
    </xf>
    <xf numFmtId="44" fontId="78" fillId="0" borderId="37" xfId="0" applyNumberFormat="1" applyFont="1" applyBorder="1" applyAlignment="1">
      <alignment vertical="center"/>
    </xf>
    <xf numFmtId="9" fontId="78" fillId="0" borderId="37" xfId="0" applyNumberFormat="1" applyFont="1" applyBorder="1" applyAlignment="1">
      <alignment vertical="center"/>
    </xf>
    <xf numFmtId="44" fontId="78" fillId="0" borderId="37" xfId="1" applyFont="1" applyFill="1" applyBorder="1" applyAlignment="1">
      <alignment vertical="center"/>
    </xf>
    <xf numFmtId="44" fontId="78" fillId="0" borderId="50" xfId="1" applyFont="1" applyFill="1" applyBorder="1" applyAlignment="1">
      <alignment vertical="center"/>
    </xf>
    <xf numFmtId="0" fontId="67" fillId="0" borderId="37" xfId="0" applyFont="1" applyBorder="1" applyAlignment="1">
      <alignment horizontal="center" vertical="center"/>
    </xf>
    <xf numFmtId="44" fontId="78" fillId="0" borderId="37" xfId="0" applyNumberFormat="1" applyFont="1" applyBorder="1" applyAlignment="1">
      <alignment horizontal="center" vertical="center"/>
    </xf>
    <xf numFmtId="0" fontId="67" fillId="0" borderId="65" xfId="0" applyFont="1" applyBorder="1" applyAlignment="1">
      <alignment vertical="center"/>
    </xf>
    <xf numFmtId="44" fontId="67" fillId="0" borderId="66" xfId="1" applyFont="1" applyFill="1" applyBorder="1" applyAlignment="1">
      <alignment vertical="center"/>
    </xf>
    <xf numFmtId="44" fontId="70" fillId="0" borderId="22" xfId="1" applyFont="1" applyFill="1" applyBorder="1" applyAlignment="1">
      <alignment horizontal="right" vertical="center" wrapText="1"/>
    </xf>
    <xf numFmtId="9" fontId="76" fillId="0" borderId="65" xfId="0" applyNumberFormat="1" applyFont="1" applyBorder="1" applyAlignment="1">
      <alignment vertical="center"/>
    </xf>
    <xf numFmtId="44" fontId="76" fillId="0" borderId="66" xfId="1" applyFont="1" applyFill="1" applyBorder="1" applyAlignment="1">
      <alignment vertical="center"/>
    </xf>
    <xf numFmtId="44" fontId="70" fillId="0" borderId="4" xfId="1" applyFont="1" applyFill="1" applyBorder="1" applyAlignment="1">
      <alignment horizontal="right" vertical="center" wrapText="1"/>
    </xf>
    <xf numFmtId="9" fontId="76" fillId="0" borderId="4" xfId="0" applyNumberFormat="1" applyFont="1" applyBorder="1" applyAlignment="1">
      <alignment vertical="center"/>
    </xf>
    <xf numFmtId="44" fontId="76" fillId="0" borderId="10" xfId="1" applyFont="1" applyFill="1" applyBorder="1" applyAlignment="1">
      <alignment vertical="center"/>
    </xf>
    <xf numFmtId="44" fontId="76" fillId="0" borderId="0" xfId="1" applyFont="1" applyFill="1" applyBorder="1" applyAlignment="1">
      <alignment vertical="center"/>
    </xf>
    <xf numFmtId="9" fontId="76" fillId="0" borderId="4" xfId="0" quotePrefix="1" applyNumberFormat="1" applyFont="1" applyBorder="1" applyAlignment="1">
      <alignment horizontal="center" vertical="center"/>
    </xf>
    <xf numFmtId="10" fontId="76" fillId="0" borderId="4" xfId="4" applyNumberFormat="1" applyFont="1" applyFill="1" applyBorder="1" applyAlignment="1">
      <alignment vertical="center"/>
    </xf>
    <xf numFmtId="44" fontId="76" fillId="0" borderId="23" xfId="1" applyFont="1" applyFill="1" applyBorder="1" applyAlignment="1">
      <alignment vertical="center"/>
    </xf>
    <xf numFmtId="0" fontId="67" fillId="0" borderId="49" xfId="0" applyFont="1" applyBorder="1" applyAlignment="1">
      <alignment vertical="center"/>
    </xf>
    <xf numFmtId="44" fontId="67" fillId="0" borderId="68" xfId="1" applyFont="1" applyFill="1" applyBorder="1" applyAlignment="1">
      <alignment vertical="center"/>
    </xf>
    <xf numFmtId="44" fontId="67" fillId="0" borderId="0" xfId="1" applyFont="1" applyFill="1" applyBorder="1" applyAlignment="1">
      <alignment vertical="center"/>
    </xf>
    <xf numFmtId="44" fontId="70" fillId="0" borderId="61" xfId="1" applyFont="1" applyFill="1" applyBorder="1" applyAlignment="1">
      <alignment vertical="center"/>
    </xf>
    <xf numFmtId="44" fontId="70" fillId="0" borderId="62" xfId="1" applyFont="1" applyFill="1" applyBorder="1" applyAlignment="1">
      <alignment vertical="center"/>
    </xf>
    <xf numFmtId="0" fontId="84" fillId="10" borderId="3" xfId="0" applyFont="1" applyFill="1" applyBorder="1" applyAlignment="1">
      <alignment horizontal="left" vertical="center" wrapText="1" readingOrder="1"/>
    </xf>
    <xf numFmtId="0" fontId="85" fillId="10" borderId="15" xfId="0" applyFont="1" applyFill="1" applyBorder="1" applyAlignment="1">
      <alignment horizontal="left" vertical="center" wrapText="1" readingOrder="1"/>
    </xf>
    <xf numFmtId="0" fontId="84" fillId="10" borderId="10" xfId="0" applyFont="1" applyFill="1" applyBorder="1" applyAlignment="1">
      <alignment horizontal="right" vertical="center" wrapText="1" readingOrder="1"/>
    </xf>
    <xf numFmtId="44" fontId="84" fillId="10" borderId="10" xfId="0" applyNumberFormat="1" applyFont="1" applyFill="1" applyBorder="1" applyAlignment="1">
      <alignment horizontal="right" vertical="center" wrapText="1" readingOrder="1"/>
    </xf>
    <xf numFmtId="4" fontId="84" fillId="10" borderId="16" xfId="0" applyNumberFormat="1" applyFont="1" applyFill="1" applyBorder="1" applyAlignment="1">
      <alignment horizontal="right" vertical="center" wrapText="1" readingOrder="1"/>
    </xf>
    <xf numFmtId="0" fontId="69" fillId="3" borderId="7" xfId="0" applyFont="1" applyFill="1" applyBorder="1" applyAlignment="1">
      <alignment horizontal="left" vertical="center" wrapText="1" readingOrder="1"/>
    </xf>
    <xf numFmtId="0" fontId="67" fillId="0" borderId="4" xfId="0" applyFont="1" applyBorder="1" applyAlignment="1">
      <alignment vertical="center"/>
    </xf>
    <xf numFmtId="0" fontId="66" fillId="0" borderId="8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8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7" fillId="0" borderId="0" xfId="0" applyFont="1" applyAlignment="1">
      <alignment vertical="center"/>
    </xf>
    <xf numFmtId="168" fontId="87" fillId="0" borderId="0" xfId="1" applyNumberFormat="1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7" fontId="2" fillId="0" borderId="36" xfId="0" applyNumberFormat="1" applyFont="1" applyBorder="1" applyAlignment="1">
      <alignment horizontal="left" vertical="center"/>
    </xf>
    <xf numFmtId="168" fontId="2" fillId="0" borderId="37" xfId="1" applyNumberFormat="1" applyFont="1" applyBorder="1" applyAlignment="1">
      <alignment vertical="center"/>
    </xf>
    <xf numFmtId="168" fontId="2" fillId="0" borderId="37" xfId="0" applyNumberFormat="1" applyFont="1" applyBorder="1" applyAlignment="1">
      <alignment vertical="center"/>
    </xf>
    <xf numFmtId="168" fontId="2" fillId="3" borderId="38" xfId="0" applyNumberFormat="1" applyFont="1" applyFill="1" applyBorder="1" applyAlignment="1">
      <alignment vertical="center"/>
    </xf>
    <xf numFmtId="168" fontId="60" fillId="7" borderId="37" xfId="0" applyNumberFormat="1" applyFont="1" applyFill="1" applyBorder="1" applyAlignment="1">
      <alignment vertical="center"/>
    </xf>
    <xf numFmtId="168" fontId="2" fillId="14" borderId="37" xfId="0" applyNumberFormat="1" applyFont="1" applyFill="1" applyBorder="1" applyAlignment="1">
      <alignment vertical="center"/>
    </xf>
    <xf numFmtId="0" fontId="88" fillId="3" borderId="0" xfId="0" applyFont="1" applyFill="1" applyAlignment="1">
      <alignment vertical="center"/>
    </xf>
    <xf numFmtId="0" fontId="0" fillId="8" borderId="33" xfId="0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170" fontId="2" fillId="3" borderId="35" xfId="0" applyNumberFormat="1" applyFont="1" applyFill="1" applyBorder="1" applyAlignment="1">
      <alignment horizontal="center" vertical="center" wrapText="1"/>
    </xf>
    <xf numFmtId="170" fontId="0" fillId="8" borderId="37" xfId="0" applyNumberFormat="1" applyFill="1" applyBorder="1" applyAlignment="1">
      <alignment vertical="center"/>
    </xf>
    <xf numFmtId="170" fontId="0" fillId="0" borderId="37" xfId="0" applyNumberFormat="1" applyBorder="1" applyAlignment="1">
      <alignment vertical="center"/>
    </xf>
    <xf numFmtId="0" fontId="0" fillId="8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0" fontId="0" fillId="8" borderId="37" xfId="0" applyNumberFormat="1" applyFill="1" applyBorder="1" applyAlignment="1">
      <alignment horizontal="center" vertical="center"/>
    </xf>
    <xf numFmtId="170" fontId="0" fillId="3" borderId="38" xfId="0" applyNumberFormat="1" applyFill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0" fillId="0" borderId="26" xfId="0" applyFont="1" applyBorder="1" applyAlignment="1">
      <alignment vertical="center"/>
    </xf>
    <xf numFmtId="44" fontId="0" fillId="0" borderId="37" xfId="1" applyFont="1" applyBorder="1" applyAlignment="1">
      <alignment vertical="center"/>
    </xf>
    <xf numFmtId="44" fontId="0" fillId="0" borderId="37" xfId="0" applyNumberFormat="1" applyBorder="1" applyAlignment="1">
      <alignment vertical="center"/>
    </xf>
    <xf numFmtId="8" fontId="2" fillId="3" borderId="37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44" fontId="2" fillId="3" borderId="37" xfId="0" applyNumberFormat="1" applyFont="1" applyFill="1" applyBorder="1" applyAlignment="1">
      <alignment vertical="center"/>
    </xf>
    <xf numFmtId="168" fontId="0" fillId="0" borderId="37" xfId="0" applyNumberForma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173" fontId="0" fillId="0" borderId="38" xfId="0" applyNumberFormat="1" applyBorder="1" applyAlignment="1">
      <alignment vertical="center"/>
    </xf>
    <xf numFmtId="8" fontId="70" fillId="0" borderId="35" xfId="1" applyNumberFormat="1" applyFont="1" applyFill="1" applyBorder="1" applyAlignment="1">
      <alignment horizontal="right" vertical="center"/>
    </xf>
    <xf numFmtId="8" fontId="67" fillId="0" borderId="41" xfId="1" applyNumberFormat="1" applyFont="1" applyBorder="1" applyAlignment="1">
      <alignment vertical="center"/>
    </xf>
    <xf numFmtId="44" fontId="84" fillId="10" borderId="10" xfId="1" applyFont="1" applyFill="1" applyBorder="1" applyAlignment="1">
      <alignment horizontal="right" vertical="center" wrapText="1" readingOrder="1"/>
    </xf>
    <xf numFmtId="164" fontId="67" fillId="0" borderId="4" xfId="0" applyNumberFormat="1" applyFont="1" applyBorder="1" applyAlignment="1">
      <alignment vertical="center"/>
    </xf>
    <xf numFmtId="44" fontId="0" fillId="8" borderId="37" xfId="0" applyNumberFormat="1" applyFill="1" applyBorder="1" applyAlignment="1">
      <alignment horizontal="center" vertical="center"/>
    </xf>
    <xf numFmtId="44" fontId="67" fillId="0" borderId="10" xfId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8" fontId="5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justify" vertical="center"/>
    </xf>
    <xf numFmtId="0" fontId="18" fillId="0" borderId="2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1" fillId="3" borderId="19" xfId="0" applyFont="1" applyFill="1" applyBorder="1" applyAlignment="1">
      <alignment horizontal="left" vertical="center" wrapText="1" readingOrder="1"/>
    </xf>
    <xf numFmtId="0" fontId="71" fillId="3" borderId="20" xfId="0" applyFont="1" applyFill="1" applyBorder="1" applyAlignment="1">
      <alignment horizontal="left" vertical="center" wrapText="1" readingOrder="1"/>
    </xf>
    <xf numFmtId="0" fontId="71" fillId="3" borderId="21" xfId="0" applyFont="1" applyFill="1" applyBorder="1" applyAlignment="1">
      <alignment horizontal="left" vertical="center" wrapText="1" readingOrder="1"/>
    </xf>
    <xf numFmtId="0" fontId="8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67" fillId="0" borderId="22" xfId="0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0" xfId="0" applyBorder="1" applyAlignment="1">
      <alignment vertical="center"/>
    </xf>
    <xf numFmtId="14" fontId="65" fillId="12" borderId="57" xfId="5" applyNumberFormat="1" applyFont="1" applyFill="1" applyBorder="1" applyAlignment="1" applyProtection="1">
      <alignment horizontal="center" vertical="center"/>
      <protection locked="0"/>
    </xf>
    <xf numFmtId="0" fontId="1" fillId="0" borderId="57" xfId="0" applyFont="1" applyBorder="1" applyAlignment="1">
      <alignment vertical="center"/>
    </xf>
    <xf numFmtId="0" fontId="80" fillId="3" borderId="14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44" fontId="81" fillId="10" borderId="34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35" fillId="0" borderId="0" xfId="0" applyFont="1" applyAlignment="1">
      <alignment horizontal="justify"/>
    </xf>
    <xf numFmtId="0" fontId="37" fillId="0" borderId="0" xfId="0" applyFont="1"/>
    <xf numFmtId="0" fontId="1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8" fontId="28" fillId="0" borderId="29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3" fillId="0" borderId="7" xfId="0" applyFont="1" applyBorder="1" applyAlignment="1">
      <alignment horizontal="justify" vertical="center"/>
    </xf>
    <xf numFmtId="0" fontId="23" fillId="0" borderId="3" xfId="0" applyFont="1" applyBorder="1" applyAlignment="1">
      <alignment horizontal="justify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8" fontId="28" fillId="0" borderId="11" xfId="0" applyNumberFormat="1" applyFont="1" applyBorder="1" applyAlignment="1">
      <alignment horizontal="center" vertical="center"/>
    </xf>
    <xf numFmtId="0" fontId="53" fillId="0" borderId="17" xfId="0" applyFont="1" applyBorder="1" applyAlignment="1">
      <alignment horizontal="left" vertical="center"/>
    </xf>
    <xf numFmtId="0" fontId="54" fillId="0" borderId="24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8" fontId="7" fillId="3" borderId="31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58" fillId="9" borderId="5" xfId="0" applyFont="1" applyFill="1" applyBorder="1" applyAlignment="1">
      <alignment vertical="center"/>
    </xf>
    <xf numFmtId="0" fontId="59" fillId="9" borderId="5" xfId="0" applyFont="1" applyFill="1" applyBorder="1" applyAlignment="1">
      <alignment vertical="center"/>
    </xf>
    <xf numFmtId="10" fontId="7" fillId="0" borderId="31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8" fillId="3" borderId="31" xfId="0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5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distributed"/>
    </xf>
    <xf numFmtId="0" fontId="40" fillId="0" borderId="0" xfId="0" applyFont="1" applyAlignment="1">
      <alignment vertical="distributed"/>
    </xf>
    <xf numFmtId="0" fontId="56" fillId="0" borderId="17" xfId="0" applyFont="1" applyBorder="1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56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0" fontId="46" fillId="8" borderId="17" xfId="0" applyFont="1" applyFill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8" fontId="46" fillId="8" borderId="17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10" fontId="47" fillId="3" borderId="17" xfId="0" applyNumberFormat="1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10" fontId="43" fillId="3" borderId="17" xfId="0" applyNumberFormat="1" applyFont="1" applyFill="1" applyBorder="1" applyAlignment="1">
      <alignment horizontal="center" vertical="center"/>
    </xf>
    <xf numFmtId="0" fontId="56" fillId="0" borderId="24" xfId="0" applyFont="1" applyBorder="1" applyAlignment="1">
      <alignment horizontal="left" vertical="center"/>
    </xf>
    <xf numFmtId="8" fontId="47" fillId="3" borderId="31" xfId="0" applyNumberFormat="1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50" fillId="3" borderId="6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9" fillId="7" borderId="5" xfId="0" applyFont="1" applyFill="1" applyBorder="1" applyAlignment="1">
      <alignment horizontal="center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56" fillId="0" borderId="5" xfId="0" applyFont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10" fontId="43" fillId="3" borderId="5" xfId="0" applyNumberFormat="1" applyFont="1" applyFill="1" applyBorder="1" applyAlignment="1">
      <alignment horizontal="center" vertical="center"/>
    </xf>
    <xf numFmtId="0" fontId="5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3" borderId="6" xfId="0" applyFont="1" applyFill="1" applyBorder="1" applyAlignment="1">
      <alignment horizontal="center" vertical="center"/>
    </xf>
    <xf numFmtId="14" fontId="65" fillId="12" borderId="58" xfId="5" applyNumberFormat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vertical="center"/>
    </xf>
  </cellXfs>
  <cellStyles count="6">
    <cellStyle name="Milliers" xfId="4" builtinId="3"/>
    <cellStyle name="Monétaire" xfId="1" builtinId="4"/>
    <cellStyle name="Normal" xfId="0" builtinId="0"/>
    <cellStyle name="Normal_Fiche de paie TEPA plus 20 salariés" xfId="5" xr:uid="{43545D83-F17E-4FE1-9EBB-7C1A4249E748}"/>
    <cellStyle name="Pourcentage" xfId="2" builtinId="5"/>
    <cellStyle name="Pourcentage 2" xfId="3" xr:uid="{35D2925A-5508-455D-8EB3-B4AF499CF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0</xdr:row>
      <xdr:rowOff>127000</xdr:rowOff>
    </xdr:from>
    <xdr:to>
      <xdr:col>6</xdr:col>
      <xdr:colOff>10584</xdr:colOff>
      <xdr:row>3</xdr:row>
      <xdr:rowOff>63500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7C3F272-E9B5-4A9C-95C9-B95611C120BF}"/>
            </a:ext>
          </a:extLst>
        </xdr:cNvPr>
        <xdr:cNvSpPr txBox="1"/>
      </xdr:nvSpPr>
      <xdr:spPr>
        <a:xfrm>
          <a:off x="264583" y="127000"/>
          <a:ext cx="6519334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4 000 €</a:t>
          </a:r>
        </a:p>
        <a:p>
          <a:r>
            <a:rPr lang="fr-FR" sz="1100" b="1"/>
            <a:t>Effectif : 7 salariés</a:t>
          </a:r>
        </a:p>
        <a:p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9</xdr:row>
      <xdr:rowOff>219074</xdr:rowOff>
    </xdr:from>
    <xdr:to>
      <xdr:col>16</xdr:col>
      <xdr:colOff>266700</xdr:colOff>
      <xdr:row>15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45DA592-1065-49F8-AEE7-C407A0E820B7}"/>
            </a:ext>
          </a:extLst>
        </xdr:cNvPr>
        <xdr:cNvSpPr txBox="1"/>
      </xdr:nvSpPr>
      <xdr:spPr>
        <a:xfrm>
          <a:off x="8582025" y="2095499"/>
          <a:ext cx="6115050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DONNEES</a:t>
          </a:r>
          <a:r>
            <a:rPr lang="fr-FR" sz="1400" b="1" baseline="0"/>
            <a:t> A SAISIR :</a:t>
          </a:r>
        </a:p>
        <a:p>
          <a:r>
            <a:rPr lang="fr-FR" sz="1400" b="1" baseline="0"/>
            <a:t>	Les salaires bruts</a:t>
          </a:r>
        </a:p>
        <a:p>
          <a:r>
            <a:rPr lang="fr-FR" sz="1400" b="1" baseline="0"/>
            <a:t>	Les montants mensuels de SMIC</a:t>
          </a:r>
        </a:p>
        <a:p>
          <a:endParaRPr lang="fr-FR" sz="1400" b="1" baseline="0"/>
        </a:p>
        <a:p>
          <a:r>
            <a:rPr lang="fr-FR" sz="1600" b="1" baseline="0">
              <a:solidFill>
                <a:srgbClr val="FF0000"/>
              </a:solidFill>
            </a:rPr>
            <a:t>NB : Ce tableau s'applique à des salaires cumulés ne dépassant jamais 4 plafonds mensuels soit 13 712 euros mensuels</a:t>
          </a:r>
        </a:p>
      </xdr:txBody>
    </xdr:sp>
    <xdr:clientData/>
  </xdr:twoCellAnchor>
  <xdr:twoCellAnchor>
    <xdr:from>
      <xdr:col>11</xdr:col>
      <xdr:colOff>400050</xdr:colOff>
      <xdr:row>19</xdr:row>
      <xdr:rowOff>0</xdr:rowOff>
    </xdr:from>
    <xdr:to>
      <xdr:col>16</xdr:col>
      <xdr:colOff>371475</xdr:colOff>
      <xdr:row>20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292A3BD-E68C-4B48-B8B1-27EE474F61D8}"/>
            </a:ext>
          </a:extLst>
        </xdr:cNvPr>
        <xdr:cNvSpPr txBox="1"/>
      </xdr:nvSpPr>
      <xdr:spPr>
        <a:xfrm>
          <a:off x="11010900" y="408622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29</xdr:row>
      <xdr:rowOff>0</xdr:rowOff>
    </xdr:from>
    <xdr:to>
      <xdr:col>18</xdr:col>
      <xdr:colOff>133350</xdr:colOff>
      <xdr:row>30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430452E-D9E0-454C-A589-DF75397B01A9}"/>
            </a:ext>
          </a:extLst>
        </xdr:cNvPr>
        <xdr:cNvSpPr txBox="1"/>
      </xdr:nvSpPr>
      <xdr:spPr>
        <a:xfrm>
          <a:off x="12296775" y="6486525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38</xdr:row>
      <xdr:rowOff>190500</xdr:rowOff>
    </xdr:from>
    <xdr:to>
      <xdr:col>14</xdr:col>
      <xdr:colOff>428625</xdr:colOff>
      <xdr:row>40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8E6A740-4086-4FDC-A9E0-A5BBA9589B24}"/>
            </a:ext>
          </a:extLst>
        </xdr:cNvPr>
        <xdr:cNvSpPr txBox="1"/>
      </xdr:nvSpPr>
      <xdr:spPr>
        <a:xfrm>
          <a:off x="9505950" y="9363075"/>
          <a:ext cx="38290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77F8EE8-8158-40A3-A48D-DB75C734298D}"/>
            </a:ext>
          </a:extLst>
        </xdr:cNvPr>
        <xdr:cNvSpPr txBox="1"/>
      </xdr:nvSpPr>
      <xdr:spPr>
        <a:xfrm>
          <a:off x="9524" y="38100"/>
          <a:ext cx="93154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232834</xdr:colOff>
      <xdr:row>3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7D652B5-8013-4DF7-A006-3A1B0AE6E0CB}"/>
            </a:ext>
          </a:extLst>
        </xdr:cNvPr>
        <xdr:cNvSpPr txBox="1"/>
      </xdr:nvSpPr>
      <xdr:spPr>
        <a:xfrm>
          <a:off x="0" y="0"/>
          <a:ext cx="6519334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7 000 €</a:t>
          </a:r>
        </a:p>
        <a:p>
          <a:r>
            <a:rPr lang="fr-FR" sz="1100" b="1"/>
            <a:t>Effectif : 60 salariés</a:t>
          </a:r>
        </a:p>
        <a:p>
          <a:endParaRPr lang="fr-F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81491</xdr:colOff>
      <xdr:row>9</xdr:row>
      <xdr:rowOff>41091</xdr:rowOff>
    </xdr:from>
    <xdr:to>
      <xdr:col>3</xdr:col>
      <xdr:colOff>867832</xdr:colOff>
      <xdr:row>13</xdr:row>
      <xdr:rowOff>84666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6BBD64-43EA-41BD-B3FA-71CD58EDEB37}"/>
            </a:ext>
          </a:extLst>
        </xdr:cNvPr>
        <xdr:cNvSpPr txBox="1"/>
      </xdr:nvSpPr>
      <xdr:spPr>
        <a:xfrm>
          <a:off x="81491" y="1965141"/>
          <a:ext cx="4520141" cy="80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183967</xdr:rowOff>
    </xdr:from>
    <xdr:to>
      <xdr:col>3</xdr:col>
      <xdr:colOff>354542</xdr:colOff>
      <xdr:row>17</xdr:row>
      <xdr:rowOff>15875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8B73BB8-BF3A-4739-9474-A4AB1F29B7B4}"/>
            </a:ext>
          </a:extLst>
        </xdr:cNvPr>
        <xdr:cNvSpPr txBox="1"/>
      </xdr:nvSpPr>
      <xdr:spPr>
        <a:xfrm>
          <a:off x="0" y="1877300"/>
          <a:ext cx="3487209" cy="15464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r>
            <a:rPr lang="fr-FR" sz="1200" b="1">
              <a:solidFill>
                <a:schemeClr val="accent1"/>
              </a:solidFill>
            </a:rPr>
            <a:t>Si</a:t>
          </a:r>
          <a:r>
            <a:rPr lang="fr-FR" sz="1200" b="1" baseline="0">
              <a:solidFill>
                <a:schemeClr val="accent1"/>
              </a:solidFill>
            </a:rPr>
            <a:t> l'entreprise désire bénéficier de la mesure de tolérance et ainsi reporter l'application des nouvelles mesures au 01/07/2018, comment se calculeraient les plafonds mensuels ?</a:t>
          </a:r>
          <a:endParaRPr lang="fr-FR" sz="1200" b="1">
            <a:solidFill>
              <a:schemeClr val="accent1"/>
            </a:solidFill>
          </a:endParaRPr>
        </a:p>
        <a:p>
          <a:endParaRPr lang="fr-FR" sz="1200" b="1">
            <a:solidFill>
              <a:schemeClr val="accent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VIDEO%208%20Le%20salaire%20et%20les%20charges%20sociales%20EXEMPL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CM1V8%20EXERCICE%20ENONCE%20ET%20CORRIG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 12 Grille de cotisations"/>
      <sheetName val=" bulletin non-cadre"/>
      <sheetName val=" bulletin simplif non-cadre"/>
    </sheetNames>
    <sheetDataSet>
      <sheetData sheetId="0">
        <row r="9">
          <cell r="D9">
            <v>0.12889999999999999</v>
          </cell>
        </row>
        <row r="10">
          <cell r="C10">
            <v>4.0000000000000001E-3</v>
          </cell>
          <cell r="D10">
            <v>1.9E-2</v>
          </cell>
        </row>
        <row r="22">
          <cell r="C22">
            <v>6.9000000000000006E-2</v>
          </cell>
          <cell r="D22">
            <v>8.5500000000000007E-2</v>
          </cell>
        </row>
      </sheetData>
      <sheetData sheetId="1">
        <row r="39">
          <cell r="D39">
            <v>1819.8308750000001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 12 Grille de cotisations"/>
      <sheetName val=" enonce exercice"/>
      <sheetName val="corrigé exercice"/>
      <sheetName val=" bulletin simplif non-cadre"/>
    </sheetNames>
    <sheetDataSet>
      <sheetData sheetId="0"/>
      <sheetData sheetId="1"/>
      <sheetData sheetId="2">
        <row r="13">
          <cell r="E13">
            <v>2.5000000000000001E-2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9616-B213-43C0-98D0-7D9BA0525B45}">
  <dimension ref="A4:Q46"/>
  <sheetViews>
    <sheetView topLeftCell="A13" zoomScale="90" zoomScaleNormal="90" workbookViewId="0">
      <selection activeCell="L19" sqref="L19"/>
    </sheetView>
  </sheetViews>
  <sheetFormatPr baseColWidth="10" defaultRowHeight="18" customHeight="1" x14ac:dyDescent="0.25"/>
  <cols>
    <col min="1" max="1" width="55.7109375" style="1" bestFit="1" customWidth="1"/>
    <col min="2" max="2" width="9.28515625" style="1" bestFit="1" customWidth="1"/>
    <col min="3" max="3" width="7.140625" style="1" bestFit="1" customWidth="1"/>
    <col min="4" max="4" width="11.5703125" style="1" bestFit="1" customWidth="1"/>
    <col min="5" max="5" width="7.85546875" style="1" customWidth="1"/>
    <col min="6" max="6" width="9.85546875" style="1" bestFit="1" customWidth="1"/>
    <col min="7" max="7" width="2.42578125" style="1" customWidth="1"/>
    <col min="8" max="8" width="46.28515625" style="1" customWidth="1"/>
    <col min="9" max="9" width="12" style="1" customWidth="1"/>
    <col min="10" max="10" width="11.42578125" style="1" customWidth="1"/>
    <col min="11" max="11" width="13.42578125" style="1" customWidth="1"/>
    <col min="12" max="12" width="14.5703125" style="1" customWidth="1"/>
    <col min="13" max="13" width="11.42578125" style="1"/>
    <col min="14" max="14" width="26.85546875" style="1" bestFit="1" customWidth="1"/>
    <col min="15" max="15" width="14.28515625" style="1" bestFit="1" customWidth="1"/>
    <col min="16" max="16" width="15" style="1" bestFit="1" customWidth="1"/>
    <col min="17" max="17" width="18" style="1" bestFit="1" customWidth="1"/>
    <col min="18" max="16384" width="11.42578125" style="1"/>
  </cols>
  <sheetData>
    <row r="4" spans="1:17" ht="18" customHeight="1" x14ac:dyDescent="0.25">
      <c r="I4" s="252"/>
    </row>
    <row r="5" spans="1:17" ht="18" customHeight="1" x14ac:dyDescent="0.25">
      <c r="A5" s="582" t="s">
        <v>124</v>
      </c>
      <c r="B5" s="583"/>
      <c r="C5" s="583"/>
      <c r="D5" s="583"/>
      <c r="E5" s="583"/>
      <c r="H5" s="255" t="s">
        <v>119</v>
      </c>
      <c r="I5" s="223"/>
      <c r="J5" s="12"/>
      <c r="K5" s="12"/>
    </row>
    <row r="6" spans="1:17" ht="18" customHeight="1" thickBot="1" x14ac:dyDescent="0.3">
      <c r="J6" s="13"/>
      <c r="K6" s="13"/>
      <c r="L6" s="13"/>
    </row>
    <row r="7" spans="1:17" ht="18" customHeight="1" thickBot="1" x14ac:dyDescent="0.3">
      <c r="A7" s="576"/>
      <c r="B7" s="578" t="s">
        <v>2</v>
      </c>
      <c r="C7" s="578" t="s">
        <v>3</v>
      </c>
      <c r="D7" s="578" t="s">
        <v>4</v>
      </c>
      <c r="E7" s="578" t="s">
        <v>5</v>
      </c>
      <c r="F7" s="580" t="s">
        <v>6</v>
      </c>
      <c r="H7" s="14" t="s">
        <v>1</v>
      </c>
      <c r="I7" s="15">
        <v>4000</v>
      </c>
      <c r="N7" s="293"/>
      <c r="O7" s="294" t="s">
        <v>162</v>
      </c>
      <c r="P7" s="294" t="s">
        <v>139</v>
      </c>
      <c r="Q7" s="295" t="s">
        <v>161</v>
      </c>
    </row>
    <row r="8" spans="1:17" ht="18" customHeight="1" x14ac:dyDescent="0.25">
      <c r="A8" s="577"/>
      <c r="B8" s="579"/>
      <c r="C8" s="579"/>
      <c r="D8" s="579"/>
      <c r="E8" s="579"/>
      <c r="F8" s="581"/>
      <c r="H8" s="576"/>
      <c r="I8" s="578" t="s">
        <v>2</v>
      </c>
      <c r="J8" s="578" t="s">
        <v>71</v>
      </c>
      <c r="K8" s="578" t="s">
        <v>72</v>
      </c>
      <c r="L8" s="580" t="s">
        <v>73</v>
      </c>
      <c r="N8" s="296" t="s">
        <v>151</v>
      </c>
      <c r="O8" s="306" t="s">
        <v>156</v>
      </c>
      <c r="P8" s="297" t="s">
        <v>160</v>
      </c>
      <c r="Q8" s="298"/>
    </row>
    <row r="9" spans="1:17" ht="18" customHeight="1" x14ac:dyDescent="0.25">
      <c r="A9" s="3" t="s">
        <v>50</v>
      </c>
      <c r="B9" s="5">
        <v>4000</v>
      </c>
      <c r="C9" s="18"/>
      <c r="D9" s="5"/>
      <c r="E9" s="18">
        <v>0.13</v>
      </c>
      <c r="F9" s="174">
        <f>+B9*E9</f>
        <v>520</v>
      </c>
      <c r="H9" s="577"/>
      <c r="I9" s="579"/>
      <c r="J9" s="579"/>
      <c r="K9" s="579"/>
      <c r="L9" s="581"/>
      <c r="N9" s="296" t="s">
        <v>152</v>
      </c>
      <c r="O9" s="307" t="s">
        <v>157</v>
      </c>
      <c r="P9" s="297" t="s">
        <v>164</v>
      </c>
      <c r="Q9" s="298" t="s">
        <v>163</v>
      </c>
    </row>
    <row r="10" spans="1:17" ht="18" customHeight="1" x14ac:dyDescent="0.25">
      <c r="A10" s="3" t="s">
        <v>51</v>
      </c>
      <c r="B10" s="5">
        <v>3311</v>
      </c>
      <c r="C10" s="18">
        <v>6.9000000000000006E-2</v>
      </c>
      <c r="D10" s="5">
        <f t="shared" ref="D10:D11" si="0">B10*C10</f>
        <v>228.45900000000003</v>
      </c>
      <c r="E10" s="18">
        <v>8.5500000000000007E-2</v>
      </c>
      <c r="F10" s="174">
        <f t="shared" ref="F10:F16" si="1">+B10*E10</f>
        <v>283.09050000000002</v>
      </c>
      <c r="H10" s="23" t="s">
        <v>23</v>
      </c>
      <c r="I10" s="247"/>
      <c r="J10" s="17"/>
      <c r="K10" s="17"/>
      <c r="L10" s="248"/>
      <c r="N10" s="296" t="s">
        <v>92</v>
      </c>
      <c r="O10" s="306" t="s">
        <v>156</v>
      </c>
      <c r="P10" s="299">
        <v>0.08</v>
      </c>
      <c r="Q10" s="298"/>
    </row>
    <row r="11" spans="1:17" ht="18" customHeight="1" x14ac:dyDescent="0.25">
      <c r="A11" s="3" t="s">
        <v>51</v>
      </c>
      <c r="B11" s="5">
        <v>4000</v>
      </c>
      <c r="C11" s="18">
        <v>4.0000000000000001E-3</v>
      </c>
      <c r="D11" s="5">
        <f t="shared" si="0"/>
        <v>16</v>
      </c>
      <c r="E11" s="18">
        <v>1.9E-2</v>
      </c>
      <c r="F11" s="174">
        <f t="shared" si="1"/>
        <v>76</v>
      </c>
      <c r="H11" s="3" t="s">
        <v>24</v>
      </c>
      <c r="I11" s="5"/>
      <c r="J11" s="18"/>
      <c r="K11" s="5"/>
      <c r="L11" s="174">
        <f>F9</f>
        <v>520</v>
      </c>
      <c r="N11" s="296" t="s">
        <v>153</v>
      </c>
      <c r="O11" s="306" t="s">
        <v>156</v>
      </c>
      <c r="P11" s="299">
        <v>0.01</v>
      </c>
      <c r="Q11" s="300">
        <v>5.4999999999999997E-3</v>
      </c>
    </row>
    <row r="12" spans="1:17" ht="18" customHeight="1" x14ac:dyDescent="0.25">
      <c r="A12" s="3"/>
      <c r="B12" s="5"/>
      <c r="C12" s="20"/>
      <c r="D12" s="21"/>
      <c r="E12" s="144"/>
      <c r="F12" s="174"/>
      <c r="H12" s="3" t="s">
        <v>25</v>
      </c>
      <c r="I12" s="5">
        <v>4000</v>
      </c>
      <c r="J12" s="18">
        <f>C32</f>
        <v>8.5000000000000006E-3</v>
      </c>
      <c r="K12" s="5">
        <f>J12*I12</f>
        <v>34</v>
      </c>
      <c r="L12" s="19">
        <f>F32</f>
        <v>50</v>
      </c>
      <c r="N12" s="301" t="s">
        <v>154</v>
      </c>
      <c r="O12" s="306" t="s">
        <v>158</v>
      </c>
      <c r="P12" s="302">
        <v>4.4999999999999997E-3</v>
      </c>
      <c r="Q12" s="298"/>
    </row>
    <row r="13" spans="1:17" ht="18" customHeight="1" x14ac:dyDescent="0.25">
      <c r="A13" s="3" t="s">
        <v>53</v>
      </c>
      <c r="B13" s="5">
        <v>4000</v>
      </c>
      <c r="C13" s="20"/>
      <c r="D13" s="21"/>
      <c r="E13" s="18">
        <v>3.4500000000000003E-2</v>
      </c>
      <c r="F13" s="174">
        <f t="shared" si="1"/>
        <v>138</v>
      </c>
      <c r="H13" s="3" t="s">
        <v>26</v>
      </c>
      <c r="I13" s="5">
        <v>4000</v>
      </c>
      <c r="J13" s="18">
        <f>C31</f>
        <v>9.4999999999999998E-3</v>
      </c>
      <c r="K13" s="5">
        <f>J13*I13</f>
        <v>38</v>
      </c>
      <c r="L13" s="19">
        <f>F31</f>
        <v>76</v>
      </c>
      <c r="N13" s="296" t="s">
        <v>123</v>
      </c>
      <c r="O13" s="306"/>
      <c r="P13" s="297"/>
      <c r="Q13" s="298"/>
    </row>
    <row r="14" spans="1:17" ht="18" customHeight="1" thickBot="1" x14ac:dyDescent="0.3">
      <c r="A14" s="3" t="s">
        <v>54</v>
      </c>
      <c r="B14" s="5">
        <v>3311</v>
      </c>
      <c r="C14" s="20"/>
      <c r="D14" s="21"/>
      <c r="E14" s="18">
        <v>1E-3</v>
      </c>
      <c r="F14" s="174">
        <f t="shared" si="1"/>
        <v>3.3109999999999999</v>
      </c>
      <c r="H14" s="23" t="s">
        <v>27</v>
      </c>
      <c r="I14" s="5"/>
      <c r="J14" s="20"/>
      <c r="K14" s="5"/>
      <c r="L14" s="174">
        <f>F16</f>
        <v>68</v>
      </c>
      <c r="N14" s="303" t="s">
        <v>155</v>
      </c>
      <c r="O14" s="308" t="s">
        <v>159</v>
      </c>
      <c r="P14" s="304">
        <v>5.2499999999999998E-2</v>
      </c>
      <c r="Q14" s="305">
        <v>3.4500000000000003E-2</v>
      </c>
    </row>
    <row r="15" spans="1:17" ht="18" customHeight="1" x14ac:dyDescent="0.25">
      <c r="A15" s="3" t="s">
        <v>55</v>
      </c>
      <c r="B15" s="5">
        <v>4000</v>
      </c>
      <c r="C15" s="20"/>
      <c r="D15" s="21"/>
      <c r="E15" s="18">
        <v>3.0000000000000001E-3</v>
      </c>
      <c r="F15" s="174">
        <f t="shared" si="1"/>
        <v>12</v>
      </c>
      <c r="H15" s="23" t="s">
        <v>8</v>
      </c>
      <c r="I15" s="5"/>
      <c r="J15" s="20"/>
      <c r="K15" s="5"/>
      <c r="L15" s="19"/>
    </row>
    <row r="16" spans="1:17" ht="18" customHeight="1" x14ac:dyDescent="0.25">
      <c r="A16" s="3" t="s">
        <v>56</v>
      </c>
      <c r="B16" s="5">
        <v>4000</v>
      </c>
      <c r="C16" s="20"/>
      <c r="D16" s="21"/>
      <c r="E16" s="18">
        <v>1.7000000000000001E-2</v>
      </c>
      <c r="F16" s="174">
        <f t="shared" si="1"/>
        <v>68</v>
      </c>
      <c r="H16" s="3" t="s">
        <v>28</v>
      </c>
      <c r="I16" s="5">
        <f>B10</f>
        <v>3311</v>
      </c>
      <c r="J16" s="18">
        <f>C10</f>
        <v>6.9000000000000006E-2</v>
      </c>
      <c r="K16" s="5">
        <f>J16*I16</f>
        <v>228.45900000000003</v>
      </c>
      <c r="L16" s="174">
        <f>F10</f>
        <v>283.09050000000002</v>
      </c>
    </row>
    <row r="17" spans="1:12" ht="18" customHeight="1" x14ac:dyDescent="0.25">
      <c r="A17" s="23" t="s">
        <v>9</v>
      </c>
      <c r="B17" s="5">
        <f>4000*0.9825</f>
        <v>3930</v>
      </c>
      <c r="C17" s="18">
        <v>2.4E-2</v>
      </c>
      <c r="D17" s="5">
        <f t="shared" ref="D17:D19" si="2">B17*C17</f>
        <v>94.320000000000007</v>
      </c>
      <c r="E17" s="20"/>
      <c r="F17" s="145"/>
      <c r="H17" s="3" t="s">
        <v>29</v>
      </c>
      <c r="I17" s="5">
        <v>4000</v>
      </c>
      <c r="J17" s="18">
        <f>C11</f>
        <v>4.0000000000000001E-3</v>
      </c>
      <c r="K17" s="5">
        <f>J17*I17</f>
        <v>16</v>
      </c>
      <c r="L17" s="174">
        <f>F11</f>
        <v>76</v>
      </c>
    </row>
    <row r="18" spans="1:12" ht="18" customHeight="1" x14ac:dyDescent="0.25">
      <c r="A18" s="23" t="s">
        <v>10</v>
      </c>
      <c r="B18" s="5">
        <f t="shared" ref="B18:B19" si="3">4000*0.9825</f>
        <v>3930</v>
      </c>
      <c r="C18" s="18">
        <v>6.8000000000000005E-2</v>
      </c>
      <c r="D18" s="5">
        <f t="shared" si="2"/>
        <v>267.24</v>
      </c>
      <c r="E18" s="20"/>
      <c r="F18" s="145"/>
      <c r="H18" s="3" t="s">
        <v>74</v>
      </c>
      <c r="I18" s="5">
        <f>B27</f>
        <v>3311</v>
      </c>
      <c r="J18" s="22">
        <f>C27+C28</f>
        <v>3.9E-2</v>
      </c>
      <c r="K18" s="5">
        <f>J18*I18</f>
        <v>129.12899999999999</v>
      </c>
      <c r="L18" s="174">
        <f>F27+F28</f>
        <v>193.6935</v>
      </c>
    </row>
    <row r="19" spans="1:12" ht="18" customHeight="1" x14ac:dyDescent="0.25">
      <c r="A19" s="23" t="s">
        <v>11</v>
      </c>
      <c r="B19" s="5">
        <f t="shared" si="3"/>
        <v>3930</v>
      </c>
      <c r="C19" s="18">
        <v>5.0000000000000001E-3</v>
      </c>
      <c r="D19" s="5">
        <f t="shared" si="2"/>
        <v>19.650000000000002</v>
      </c>
      <c r="E19" s="20"/>
      <c r="F19" s="145"/>
      <c r="G19" s="24"/>
      <c r="H19" s="3" t="s">
        <v>75</v>
      </c>
      <c r="I19" s="5">
        <f>B29</f>
        <v>689</v>
      </c>
      <c r="J19" s="22">
        <f>C29+C30</f>
        <v>0.09</v>
      </c>
      <c r="K19" s="5">
        <f>J19*I19</f>
        <v>62.01</v>
      </c>
      <c r="L19" s="19">
        <f>F29+F30</f>
        <v>92.67049999999999</v>
      </c>
    </row>
    <row r="20" spans="1:12" ht="18" customHeight="1" x14ac:dyDescent="0.25">
      <c r="A20" s="3" t="s">
        <v>12</v>
      </c>
      <c r="B20" s="5">
        <v>4000</v>
      </c>
      <c r="C20" s="4"/>
      <c r="D20" s="5"/>
      <c r="E20" s="146">
        <v>1.6000000000000001E-4</v>
      </c>
      <c r="F20" s="174">
        <f>+B20*E20</f>
        <v>0.64</v>
      </c>
      <c r="H20" s="3" t="s">
        <v>34</v>
      </c>
      <c r="I20" s="5"/>
      <c r="J20" s="22"/>
      <c r="K20" s="5"/>
      <c r="L20" s="19"/>
    </row>
    <row r="21" spans="1:12" ht="18" customHeight="1" x14ac:dyDescent="0.25">
      <c r="A21" s="3" t="s">
        <v>92</v>
      </c>
      <c r="B21" s="5"/>
      <c r="C21" s="4"/>
      <c r="D21" s="5"/>
      <c r="E21" s="146"/>
      <c r="F21" s="174"/>
      <c r="H21" s="3"/>
      <c r="I21" s="233"/>
      <c r="J21" s="22"/>
      <c r="K21" s="5"/>
      <c r="L21" s="19"/>
    </row>
    <row r="22" spans="1:12" ht="18" customHeight="1" x14ac:dyDescent="0.25">
      <c r="A22" s="3" t="s">
        <v>123</v>
      </c>
      <c r="B22" s="5"/>
      <c r="C22" s="4"/>
      <c r="D22" s="5"/>
      <c r="E22" s="146"/>
      <c r="F22" s="147"/>
      <c r="H22" s="23" t="s">
        <v>36</v>
      </c>
      <c r="I22" s="5">
        <v>4000</v>
      </c>
      <c r="J22" s="22"/>
      <c r="K22" s="5"/>
      <c r="L22" s="174">
        <f>F13</f>
        <v>138</v>
      </c>
    </row>
    <row r="23" spans="1:12" ht="18" customHeight="1" x14ac:dyDescent="0.25">
      <c r="A23" s="16" t="s">
        <v>14</v>
      </c>
      <c r="B23" s="5"/>
      <c r="C23" s="20"/>
      <c r="D23" s="20"/>
      <c r="E23" s="20"/>
      <c r="F23" s="148"/>
      <c r="H23" s="23" t="s">
        <v>37</v>
      </c>
      <c r="I23" s="5">
        <v>4000</v>
      </c>
      <c r="J23" s="18">
        <f>C24</f>
        <v>9.4999999999999998E-3</v>
      </c>
      <c r="K23" s="5">
        <f>J23*I23</f>
        <v>38</v>
      </c>
      <c r="L23" s="174">
        <f>F24+F25</f>
        <v>168</v>
      </c>
    </row>
    <row r="24" spans="1:12" ht="18" customHeight="1" x14ac:dyDescent="0.25">
      <c r="A24" s="3" t="s">
        <v>58</v>
      </c>
      <c r="B24" s="5">
        <v>4000</v>
      </c>
      <c r="C24" s="18">
        <v>9.4999999999999998E-3</v>
      </c>
      <c r="D24" s="5">
        <f t="shared" ref="D24" si="4">B24*C24</f>
        <v>38</v>
      </c>
      <c r="E24" s="18">
        <v>4.0500000000000001E-2</v>
      </c>
      <c r="F24" s="174">
        <f t="shared" ref="F24:F25" si="5">+B24*E24</f>
        <v>162</v>
      </c>
      <c r="H24" s="23" t="s">
        <v>76</v>
      </c>
      <c r="I24" s="5"/>
      <c r="J24" s="22"/>
      <c r="K24" s="5"/>
      <c r="L24" s="19">
        <f>F12+F14+F15+F20+F21+F37+F38+F39</f>
        <v>65.150999999999996</v>
      </c>
    </row>
    <row r="25" spans="1:12" ht="18" customHeight="1" x14ac:dyDescent="0.25">
      <c r="A25" s="3" t="s">
        <v>59</v>
      </c>
      <c r="B25" s="5">
        <v>4000</v>
      </c>
      <c r="C25" s="20"/>
      <c r="D25" s="21"/>
      <c r="E25" s="18">
        <v>1.5E-3</v>
      </c>
      <c r="F25" s="174">
        <f t="shared" si="5"/>
        <v>6</v>
      </c>
      <c r="H25" s="23" t="s">
        <v>41</v>
      </c>
      <c r="I25" s="8"/>
      <c r="J25" s="22"/>
      <c r="K25" s="5"/>
      <c r="L25" s="19"/>
    </row>
    <row r="26" spans="1:12" ht="18" customHeight="1" x14ac:dyDescent="0.25">
      <c r="A26" s="16" t="s">
        <v>70</v>
      </c>
      <c r="B26" s="5"/>
      <c r="C26" s="20"/>
      <c r="D26" s="21"/>
      <c r="E26" s="20"/>
      <c r="F26" s="145"/>
      <c r="H26" s="23" t="s">
        <v>42</v>
      </c>
      <c r="I26" s="5">
        <f>B17+B33</f>
        <v>4056</v>
      </c>
      <c r="J26" s="18">
        <f>C18</f>
        <v>6.8000000000000005E-2</v>
      </c>
      <c r="K26" s="5">
        <f>J26*I26</f>
        <v>275.80799999999999</v>
      </c>
      <c r="L26" s="145"/>
    </row>
    <row r="27" spans="1:12" ht="18" customHeight="1" x14ac:dyDescent="0.25">
      <c r="A27" s="3" t="s">
        <v>165</v>
      </c>
      <c r="B27" s="5">
        <v>3311</v>
      </c>
      <c r="C27" s="18">
        <v>3.1E-2</v>
      </c>
      <c r="D27" s="5">
        <f>B27*C27</f>
        <v>102.64100000000001</v>
      </c>
      <c r="E27" s="18">
        <v>4.65E-2</v>
      </c>
      <c r="F27" s="174">
        <f t="shared" ref="F27:F32" si="6">+B27*E27</f>
        <v>153.9615</v>
      </c>
      <c r="H27" s="23" t="s">
        <v>43</v>
      </c>
      <c r="I27" s="5">
        <f>I26</f>
        <v>4056</v>
      </c>
      <c r="J27" s="18">
        <f>C33+C35</f>
        <v>2.9000000000000001E-2</v>
      </c>
      <c r="K27" s="5">
        <f>J27*I27</f>
        <v>117.62400000000001</v>
      </c>
      <c r="L27" s="145"/>
    </row>
    <row r="28" spans="1:12" ht="18" customHeight="1" x14ac:dyDescent="0.25">
      <c r="A28" s="3" t="s">
        <v>166</v>
      </c>
      <c r="B28" s="5">
        <v>3311</v>
      </c>
      <c r="C28" s="18">
        <v>8.0000000000000002E-3</v>
      </c>
      <c r="D28" s="5">
        <f t="shared" ref="D28:D31" si="7">B28*C28</f>
        <v>26.488</v>
      </c>
      <c r="E28" s="18">
        <v>1.2E-2</v>
      </c>
      <c r="F28" s="174">
        <f t="shared" si="6"/>
        <v>39.731999999999999</v>
      </c>
      <c r="G28" s="48"/>
      <c r="H28" s="23" t="s">
        <v>44</v>
      </c>
      <c r="I28" s="5"/>
      <c r="J28" s="4"/>
      <c r="K28" s="5"/>
      <c r="L28" s="149">
        <f>F22</f>
        <v>0</v>
      </c>
    </row>
    <row r="29" spans="1:12" ht="18" customHeight="1" x14ac:dyDescent="0.25">
      <c r="A29" s="3" t="s">
        <v>167</v>
      </c>
      <c r="B29" s="5">
        <f>4000-3311</f>
        <v>689</v>
      </c>
      <c r="C29" s="309">
        <v>8.1000000000000003E-2</v>
      </c>
      <c r="D29" s="310">
        <f t="shared" si="7"/>
        <v>55.809000000000005</v>
      </c>
      <c r="E29" s="309">
        <v>0.1215</v>
      </c>
      <c r="F29" s="311">
        <f t="shared" si="6"/>
        <v>83.713499999999996</v>
      </c>
      <c r="G29" s="48"/>
      <c r="H29" s="23"/>
      <c r="I29" s="5"/>
      <c r="J29" s="4"/>
      <c r="K29" s="5"/>
      <c r="L29" s="149"/>
    </row>
    <row r="30" spans="1:12" ht="18" customHeight="1" x14ac:dyDescent="0.25">
      <c r="A30" s="3" t="s">
        <v>168</v>
      </c>
      <c r="B30" s="5">
        <f>4000-3311</f>
        <v>689</v>
      </c>
      <c r="C30" s="309">
        <v>8.9999999999999993E-3</v>
      </c>
      <c r="D30" s="310">
        <f t="shared" si="7"/>
        <v>6.2009999999999996</v>
      </c>
      <c r="E30" s="309">
        <v>1.2999999999999999E-2</v>
      </c>
      <c r="F30" s="311">
        <f t="shared" si="6"/>
        <v>8.956999999999999</v>
      </c>
      <c r="G30" s="48"/>
      <c r="H30" s="23"/>
      <c r="I30" s="5"/>
      <c r="J30" s="4"/>
      <c r="K30" s="5"/>
      <c r="L30" s="149"/>
    </row>
    <row r="31" spans="1:12" ht="18" customHeight="1" x14ac:dyDescent="0.25">
      <c r="A31" s="51" t="s">
        <v>17</v>
      </c>
      <c r="B31" s="5">
        <v>4000</v>
      </c>
      <c r="C31" s="52">
        <v>9.4999999999999998E-3</v>
      </c>
      <c r="D31" s="5">
        <f t="shared" si="7"/>
        <v>38</v>
      </c>
      <c r="E31" s="52">
        <v>1.9E-2</v>
      </c>
      <c r="F31" s="174">
        <f t="shared" si="6"/>
        <v>76</v>
      </c>
      <c r="G31" s="48"/>
      <c r="H31" s="23" t="s">
        <v>45</v>
      </c>
      <c r="I31" s="25"/>
      <c r="J31" s="17"/>
      <c r="K31" s="26">
        <f>SUM(K11:K28)</f>
        <v>939.03000000000009</v>
      </c>
      <c r="L31" s="57">
        <f>SUM(L11:L28)</f>
        <v>1730.6055000000001</v>
      </c>
    </row>
    <row r="32" spans="1:12" ht="18" customHeight="1" x14ac:dyDescent="0.25">
      <c r="A32" s="3" t="s">
        <v>62</v>
      </c>
      <c r="B32" s="5">
        <v>4000</v>
      </c>
      <c r="C32" s="18">
        <v>8.5000000000000006E-3</v>
      </c>
      <c r="D32" s="5">
        <f>B32*C32</f>
        <v>34</v>
      </c>
      <c r="E32" s="18">
        <f>' enonce NC'!E27</f>
        <v>1.2500000000000001E-2</v>
      </c>
      <c r="F32" s="174">
        <f t="shared" si="6"/>
        <v>50</v>
      </c>
      <c r="G32" s="48"/>
      <c r="K32" s="573" t="s">
        <v>46</v>
      </c>
      <c r="L32" s="574"/>
    </row>
    <row r="33" spans="1:12" ht="18" customHeight="1" x14ac:dyDescent="0.25">
      <c r="A33" s="23" t="s">
        <v>63</v>
      </c>
      <c r="B33" s="5">
        <f>F31+F32</f>
        <v>126</v>
      </c>
      <c r="C33" s="18">
        <v>2.4E-2</v>
      </c>
      <c r="D33" s="5">
        <f>C33*B33</f>
        <v>3.024</v>
      </c>
      <c r="E33" s="125"/>
      <c r="F33" s="150"/>
      <c r="G33" s="48"/>
      <c r="J33" s="9"/>
      <c r="K33" s="575">
        <f>I7-K31</f>
        <v>3060.97</v>
      </c>
      <c r="L33" s="574"/>
    </row>
    <row r="34" spans="1:12" ht="23.25" customHeight="1" x14ac:dyDescent="0.25">
      <c r="A34" s="23" t="s">
        <v>64</v>
      </c>
      <c r="B34" s="5">
        <f>B33</f>
        <v>126</v>
      </c>
      <c r="C34" s="18">
        <v>6.8000000000000005E-2</v>
      </c>
      <c r="D34" s="5">
        <f t="shared" ref="D34:D35" si="8">C34*B34</f>
        <v>8.5680000000000014</v>
      </c>
      <c r="E34" s="125"/>
      <c r="F34" s="150"/>
      <c r="H34" s="9"/>
      <c r="I34" s="9"/>
      <c r="J34" s="9"/>
      <c r="K34" s="151" t="s">
        <v>47</v>
      </c>
      <c r="L34" s="151" t="s">
        <v>48</v>
      </c>
    </row>
    <row r="35" spans="1:12" ht="18" customHeight="1" x14ac:dyDescent="0.25">
      <c r="A35" s="23" t="s">
        <v>65</v>
      </c>
      <c r="B35" s="5">
        <f>B34</f>
        <v>126</v>
      </c>
      <c r="C35" s="18">
        <v>5.0000000000000001E-3</v>
      </c>
      <c r="D35" s="5">
        <f t="shared" si="8"/>
        <v>0.63</v>
      </c>
      <c r="E35" s="125"/>
      <c r="F35" s="150"/>
      <c r="H35" s="9"/>
      <c r="I35" s="9"/>
      <c r="J35" s="9"/>
      <c r="K35" s="29">
        <f>I7+L31</f>
        <v>5730.6054999999997</v>
      </c>
      <c r="L35" s="29">
        <f>-L28+(4000*1.8%)</f>
        <v>72.000000000000014</v>
      </c>
    </row>
    <row r="36" spans="1:12" ht="18" customHeight="1" x14ac:dyDescent="0.25">
      <c r="A36" s="16" t="s">
        <v>66</v>
      </c>
      <c r="B36" s="5"/>
      <c r="C36" s="18"/>
      <c r="D36" s="5"/>
      <c r="E36" s="125"/>
      <c r="F36" s="150"/>
      <c r="H36" s="9"/>
      <c r="I36" s="9"/>
      <c r="J36" s="9"/>
      <c r="K36" s="10"/>
      <c r="L36" s="10"/>
    </row>
    <row r="37" spans="1:12" ht="18" customHeight="1" x14ac:dyDescent="0.25">
      <c r="A37" s="3" t="s">
        <v>20</v>
      </c>
      <c r="B37" s="5">
        <v>4000</v>
      </c>
      <c r="C37" s="18"/>
      <c r="D37" s="5"/>
      <c r="E37" s="125">
        <v>6.7999999999999996E-3</v>
      </c>
      <c r="F37" s="174">
        <f t="shared" ref="F37:F38" si="9">+B37*E37</f>
        <v>27.2</v>
      </c>
      <c r="I37" s="8"/>
      <c r="J37" s="9"/>
      <c r="L37" s="10"/>
    </row>
    <row r="38" spans="1:12" ht="18" customHeight="1" x14ac:dyDescent="0.25">
      <c r="A38" s="3" t="s">
        <v>67</v>
      </c>
      <c r="B38" s="5">
        <v>4000</v>
      </c>
      <c r="C38" s="18"/>
      <c r="D38" s="5"/>
      <c r="E38" s="125">
        <v>5.4999999999999997E-3</v>
      </c>
      <c r="F38" s="174">
        <f t="shared" si="9"/>
        <v>22</v>
      </c>
      <c r="H38" s="9"/>
      <c r="I38" s="9"/>
      <c r="J38" s="10"/>
      <c r="K38" s="10"/>
      <c r="L38" s="10"/>
    </row>
    <row r="39" spans="1:12" ht="18" customHeight="1" x14ac:dyDescent="0.25">
      <c r="A39" s="256" t="s">
        <v>135</v>
      </c>
      <c r="B39" s="5"/>
      <c r="C39" s="64"/>
      <c r="D39" s="64"/>
      <c r="E39" s="257"/>
      <c r="F39" s="174"/>
      <c r="H39" s="9"/>
      <c r="I39" s="9"/>
      <c r="J39" s="9"/>
      <c r="K39" s="10"/>
      <c r="L39" s="10"/>
    </row>
    <row r="40" spans="1:12" ht="18" customHeight="1" thickBot="1" x14ac:dyDescent="0.3">
      <c r="A40" s="258"/>
      <c r="B40" s="62"/>
      <c r="C40" s="62"/>
      <c r="D40" s="259">
        <f>SUM(D9:D38)</f>
        <v>939.03</v>
      </c>
      <c r="E40" s="260"/>
      <c r="F40" s="261">
        <f>SUM(F9:F39)</f>
        <v>1730.6055000000003</v>
      </c>
      <c r="I40" s="9"/>
      <c r="L40" s="9"/>
    </row>
    <row r="41" spans="1:12" ht="18" customHeight="1" x14ac:dyDescent="0.25">
      <c r="H41" s="9"/>
      <c r="I41" s="9"/>
      <c r="J41" s="9"/>
      <c r="K41" s="9"/>
      <c r="L41" s="9"/>
    </row>
    <row r="42" spans="1:12" ht="18" customHeight="1" x14ac:dyDescent="0.25">
      <c r="H42" s="9"/>
      <c r="I42" s="9"/>
      <c r="J42" s="9"/>
      <c r="K42" s="9"/>
      <c r="L42" s="9"/>
    </row>
    <row r="43" spans="1:12" ht="18" customHeight="1" x14ac:dyDescent="0.25">
      <c r="H43" s="9"/>
      <c r="I43" s="9"/>
      <c r="J43" s="9"/>
      <c r="K43" s="9"/>
      <c r="L43" s="9"/>
    </row>
    <row r="44" spans="1:12" ht="18" customHeight="1" x14ac:dyDescent="0.25">
      <c r="I44" s="9"/>
    </row>
    <row r="45" spans="1:12" ht="18" customHeight="1" x14ac:dyDescent="0.25">
      <c r="I45" s="9"/>
    </row>
    <row r="46" spans="1:12" ht="18" customHeight="1" x14ac:dyDescent="0.25">
      <c r="I46" s="9"/>
    </row>
  </sheetData>
  <mergeCells count="14">
    <mergeCell ref="F7:F8"/>
    <mergeCell ref="A5:E5"/>
    <mergeCell ref="A7:A8"/>
    <mergeCell ref="B7:B8"/>
    <mergeCell ref="C7:C8"/>
    <mergeCell ref="D7:D8"/>
    <mergeCell ref="E7:E8"/>
    <mergeCell ref="K32:L32"/>
    <mergeCell ref="K33:L33"/>
    <mergeCell ref="H8:H9"/>
    <mergeCell ref="I8:I9"/>
    <mergeCell ref="J8:J9"/>
    <mergeCell ref="K8:K9"/>
    <mergeCell ref="L8:L9"/>
  </mergeCells>
  <pageMargins left="0" right="0" top="0" bottom="0" header="0" footer="0"/>
  <pageSetup paperSize="9" orientation="landscape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225-BA49-4BC8-BE28-A761120AD9D4}">
  <dimension ref="A1:F8"/>
  <sheetViews>
    <sheetView topLeftCell="A4" zoomScale="180" zoomScaleNormal="180" workbookViewId="0">
      <selection activeCell="A5" sqref="A5:C8"/>
    </sheetView>
  </sheetViews>
  <sheetFormatPr baseColWidth="10" defaultRowHeight="15" x14ac:dyDescent="0.25"/>
  <cols>
    <col min="1" max="1" width="21.42578125" style="279" customWidth="1"/>
    <col min="2" max="2" width="14.28515625" style="279" bestFit="1" customWidth="1"/>
    <col min="3" max="3" width="11.28515625" style="279" customWidth="1"/>
    <col min="4" max="4" width="13.140625" style="279" bestFit="1" customWidth="1"/>
    <col min="5" max="5" width="11.42578125" style="279"/>
    <col min="6" max="6" width="22.7109375" style="279" bestFit="1" customWidth="1"/>
    <col min="7" max="16384" width="11.42578125" style="279"/>
  </cols>
  <sheetData>
    <row r="1" spans="1:6" ht="18.75" x14ac:dyDescent="0.25">
      <c r="A1" s="281" t="s">
        <v>140</v>
      </c>
    </row>
    <row r="3" spans="1:6" x14ac:dyDescent="0.25">
      <c r="A3" s="282" t="s">
        <v>141</v>
      </c>
      <c r="B3" s="283" t="s">
        <v>147</v>
      </c>
      <c r="C3" s="282" t="s">
        <v>148</v>
      </c>
      <c r="F3" s="284"/>
    </row>
    <row r="4" spans="1:6" ht="15.75" thickBot="1" x14ac:dyDescent="0.3">
      <c r="F4" s="284"/>
    </row>
    <row r="5" spans="1:6" x14ac:dyDescent="0.25">
      <c r="A5" s="285"/>
      <c r="B5" s="277" t="s">
        <v>138</v>
      </c>
      <c r="C5" s="277" t="s">
        <v>144</v>
      </c>
    </row>
    <row r="6" spans="1:6" ht="18" customHeight="1" x14ac:dyDescent="0.25">
      <c r="A6" s="286">
        <v>43131</v>
      </c>
      <c r="B6" s="287">
        <v>4200</v>
      </c>
      <c r="C6" s="280"/>
    </row>
    <row r="7" spans="1:6" ht="18" customHeight="1" x14ac:dyDescent="0.25">
      <c r="A7" s="289">
        <v>43132</v>
      </c>
      <c r="B7" s="287">
        <v>4200</v>
      </c>
      <c r="C7" s="287" t="s">
        <v>150</v>
      </c>
    </row>
    <row r="8" spans="1:6" ht="18" customHeight="1" thickBot="1" x14ac:dyDescent="0.3">
      <c r="A8" s="290">
        <v>43160</v>
      </c>
      <c r="B8" s="291">
        <v>4200</v>
      </c>
      <c r="C8" s="29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437F-017A-4A9E-9743-19AC8346FD87}">
  <dimension ref="A1:K46"/>
  <sheetViews>
    <sheetView zoomScale="90" zoomScaleNormal="90" workbookViewId="0">
      <selection activeCell="I19" sqref="I19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28515625" style="1" bestFit="1" customWidth="1"/>
    <col min="6" max="6" width="13.85546875" style="1" bestFit="1" customWidth="1"/>
    <col min="7" max="7" width="21.7109375" style="1" bestFit="1" customWidth="1"/>
    <col min="8" max="8" width="13.28515625" style="1" bestFit="1" customWidth="1"/>
    <col min="9" max="9" width="15.28515625" style="1" bestFit="1" customWidth="1"/>
    <col min="10" max="16384" width="11.42578125" style="1"/>
  </cols>
  <sheetData>
    <row r="1" spans="1:7" ht="18" x14ac:dyDescent="0.25">
      <c r="A1" s="11" t="s">
        <v>49</v>
      </c>
      <c r="B1" s="12"/>
      <c r="C1" s="12"/>
      <c r="D1" s="12"/>
      <c r="E1" s="12"/>
    </row>
    <row r="2" spans="1:7" ht="15" thickBot="1" x14ac:dyDescent="0.3">
      <c r="C2" s="13"/>
      <c r="D2" s="13"/>
      <c r="E2" s="13"/>
      <c r="F2" s="13"/>
    </row>
    <row r="3" spans="1:7" ht="24" customHeight="1" thickBot="1" x14ac:dyDescent="0.3">
      <c r="A3" s="32" t="s">
        <v>1</v>
      </c>
      <c r="B3" s="33">
        <v>1700</v>
      </c>
    </row>
    <row r="4" spans="1:7" ht="18" customHeight="1" x14ac:dyDescent="0.25">
      <c r="A4" s="34"/>
      <c r="B4" s="35" t="s">
        <v>2</v>
      </c>
      <c r="C4" s="35" t="s">
        <v>3</v>
      </c>
      <c r="D4" s="35" t="s">
        <v>4</v>
      </c>
      <c r="E4" s="36" t="s">
        <v>5</v>
      </c>
      <c r="F4" s="37" t="s">
        <v>6</v>
      </c>
    </row>
    <row r="5" spans="1:7" ht="18" customHeight="1" x14ac:dyDescent="0.25">
      <c r="A5" s="38"/>
      <c r="B5" s="17"/>
      <c r="C5" s="17"/>
      <c r="D5" s="17"/>
      <c r="E5" s="39"/>
      <c r="F5" s="40"/>
    </row>
    <row r="6" spans="1:7" ht="17.25" customHeight="1" x14ac:dyDescent="0.25">
      <c r="A6" s="3" t="s">
        <v>50</v>
      </c>
      <c r="B6" s="5"/>
      <c r="C6" s="18">
        <v>7.4999999999999997E-3</v>
      </c>
      <c r="D6" s="5"/>
      <c r="E6" s="7">
        <v>0.12889999999999999</v>
      </c>
      <c r="F6" s="41"/>
    </row>
    <row r="7" spans="1:7" ht="17.25" customHeight="1" x14ac:dyDescent="0.25">
      <c r="A7" s="3" t="s">
        <v>51</v>
      </c>
      <c r="B7" s="5"/>
      <c r="C7" s="18">
        <v>0</v>
      </c>
      <c r="D7" s="5"/>
      <c r="E7" s="7">
        <v>8.5500000000000007E-2</v>
      </c>
      <c r="F7" s="41"/>
    </row>
    <row r="8" spans="1:7" ht="17.25" customHeight="1" x14ac:dyDescent="0.25">
      <c r="A8" s="3" t="s">
        <v>51</v>
      </c>
      <c r="B8" s="5"/>
      <c r="C8" s="18">
        <v>4.0000000000000001E-3</v>
      </c>
      <c r="D8" s="5"/>
      <c r="E8" s="7">
        <v>1.9E-2</v>
      </c>
      <c r="F8" s="41"/>
    </row>
    <row r="9" spans="1:7" ht="17.25" customHeight="1" x14ac:dyDescent="0.25">
      <c r="A9" s="3" t="s">
        <v>52</v>
      </c>
      <c r="B9" s="5"/>
      <c r="C9" s="20"/>
      <c r="D9" s="21"/>
      <c r="E9" s="42">
        <v>0.01</v>
      </c>
      <c r="F9" s="41"/>
    </row>
    <row r="10" spans="1:7" ht="17.25" customHeight="1" x14ac:dyDescent="0.25">
      <c r="A10" s="3" t="s">
        <v>53</v>
      </c>
      <c r="B10" s="5"/>
      <c r="C10" s="20"/>
      <c r="D10" s="21"/>
      <c r="E10" s="7">
        <v>3.4500000000000003E-2</v>
      </c>
      <c r="F10" s="41"/>
    </row>
    <row r="11" spans="1:7" ht="17.25" customHeight="1" x14ac:dyDescent="0.25">
      <c r="A11" s="3" t="s">
        <v>54</v>
      </c>
      <c r="B11" s="5"/>
      <c r="C11" s="20"/>
      <c r="D11" s="21"/>
      <c r="E11" s="7">
        <v>1E-3</v>
      </c>
      <c r="F11" s="41"/>
    </row>
    <row r="12" spans="1:7" ht="17.25" customHeight="1" x14ac:dyDescent="0.25">
      <c r="A12" s="3" t="s">
        <v>55</v>
      </c>
      <c r="B12" s="5"/>
      <c r="C12" s="20"/>
      <c r="D12" s="21"/>
      <c r="E12" s="7">
        <v>3.0000000000000001E-3</v>
      </c>
      <c r="F12" s="41"/>
    </row>
    <row r="13" spans="1:7" ht="17.25" customHeight="1" x14ac:dyDescent="0.25">
      <c r="A13" s="3" t="s">
        <v>56</v>
      </c>
      <c r="B13" s="5"/>
      <c r="C13" s="20"/>
      <c r="D13" s="21"/>
      <c r="E13" s="7">
        <v>2.5000000000000001E-2</v>
      </c>
      <c r="F13" s="41"/>
    </row>
    <row r="14" spans="1:7" ht="17.25" customHeight="1" x14ac:dyDescent="0.25">
      <c r="A14" s="3" t="s">
        <v>9</v>
      </c>
      <c r="B14" s="5"/>
      <c r="C14" s="18">
        <v>2.4E-2</v>
      </c>
      <c r="D14" s="5"/>
      <c r="F14" s="43"/>
      <c r="G14" s="24"/>
    </row>
    <row r="15" spans="1:7" ht="17.25" customHeight="1" x14ac:dyDescent="0.25">
      <c r="A15" s="3" t="s">
        <v>10</v>
      </c>
      <c r="B15" s="5"/>
      <c r="C15" s="18">
        <v>5.0999999999999997E-2</v>
      </c>
      <c r="D15" s="5"/>
      <c r="E15" s="44"/>
      <c r="F15" s="43"/>
    </row>
    <row r="16" spans="1:7" ht="17.25" customHeight="1" x14ac:dyDescent="0.25">
      <c r="A16" s="3" t="s">
        <v>11</v>
      </c>
      <c r="B16" s="5"/>
      <c r="C16" s="18">
        <v>5.0000000000000001E-3</v>
      </c>
      <c r="D16" s="5"/>
      <c r="E16" s="44"/>
      <c r="F16" s="43"/>
    </row>
    <row r="17" spans="1:11" ht="17.25" customHeight="1" x14ac:dyDescent="0.25">
      <c r="A17" s="3" t="s">
        <v>12</v>
      </c>
      <c r="B17" s="5"/>
      <c r="C17" s="4"/>
      <c r="D17" s="5"/>
      <c r="E17" s="6">
        <v>1.6000000000000001E-4</v>
      </c>
      <c r="F17" s="41"/>
    </row>
    <row r="18" spans="1:11" ht="17.25" customHeight="1" x14ac:dyDescent="0.25">
      <c r="A18" s="3" t="s">
        <v>13</v>
      </c>
      <c r="B18" s="5"/>
      <c r="C18" s="4"/>
      <c r="D18" s="5"/>
      <c r="E18" s="7">
        <v>1E-4</v>
      </c>
      <c r="F18" s="45"/>
    </row>
    <row r="19" spans="1:11" ht="17.25" customHeight="1" x14ac:dyDescent="0.25">
      <c r="A19" s="3" t="s">
        <v>57</v>
      </c>
      <c r="B19" s="17"/>
      <c r="C19" s="20"/>
      <c r="D19" s="20"/>
      <c r="E19" s="46"/>
      <c r="F19" s="47"/>
    </row>
    <row r="20" spans="1:11" ht="17.25" customHeight="1" x14ac:dyDescent="0.25">
      <c r="A20" s="16" t="s">
        <v>14</v>
      </c>
      <c r="B20" s="5"/>
      <c r="C20" s="20"/>
      <c r="D20" s="20"/>
      <c r="E20" s="44"/>
      <c r="F20" s="47"/>
    </row>
    <row r="21" spans="1:11" ht="17.25" customHeight="1" x14ac:dyDescent="0.25">
      <c r="A21" s="3" t="s">
        <v>58</v>
      </c>
      <c r="B21" s="5"/>
      <c r="C21" s="18">
        <v>2.4E-2</v>
      </c>
      <c r="D21" s="5"/>
      <c r="E21" s="7">
        <v>0.04</v>
      </c>
      <c r="F21" s="41"/>
    </row>
    <row r="22" spans="1:11" ht="17.25" customHeight="1" x14ac:dyDescent="0.25">
      <c r="A22" s="3" t="s">
        <v>59</v>
      </c>
      <c r="B22" s="21"/>
      <c r="C22" s="20"/>
      <c r="D22" s="21"/>
      <c r="E22" s="7">
        <v>2E-3</v>
      </c>
      <c r="F22" s="41"/>
      <c r="G22" s="48"/>
      <c r="H22" s="48"/>
      <c r="I22" s="48"/>
    </row>
    <row r="23" spans="1:11" ht="17.25" customHeight="1" x14ac:dyDescent="0.25">
      <c r="A23" s="16" t="s">
        <v>15</v>
      </c>
      <c r="B23" s="5"/>
      <c r="C23" s="20"/>
      <c r="D23" s="21"/>
      <c r="E23" s="44"/>
      <c r="F23" s="43"/>
      <c r="G23" s="48"/>
      <c r="H23" s="48"/>
      <c r="I23" s="48"/>
    </row>
    <row r="24" spans="1:11" ht="17.25" customHeight="1" x14ac:dyDescent="0.25">
      <c r="A24" s="3" t="s">
        <v>60</v>
      </c>
      <c r="B24" s="5"/>
      <c r="C24" s="18">
        <v>3.1E-2</v>
      </c>
      <c r="D24" s="5"/>
      <c r="E24" s="7">
        <v>4.65E-2</v>
      </c>
      <c r="F24" s="41"/>
      <c r="G24" s="48"/>
      <c r="H24" s="49"/>
      <c r="I24" s="48"/>
    </row>
    <row r="25" spans="1:11" ht="17.25" customHeight="1" x14ac:dyDescent="0.25">
      <c r="A25" s="3" t="s">
        <v>61</v>
      </c>
      <c r="B25" s="50"/>
      <c r="C25" s="18">
        <v>8.0000000000000002E-3</v>
      </c>
      <c r="D25" s="5"/>
      <c r="E25" s="7">
        <v>1.2E-2</v>
      </c>
      <c r="F25" s="41"/>
      <c r="G25" s="48"/>
      <c r="H25" s="49"/>
      <c r="I25" s="48"/>
    </row>
    <row r="26" spans="1:11" ht="17.25" customHeight="1" x14ac:dyDescent="0.25">
      <c r="A26" s="51" t="s">
        <v>17</v>
      </c>
      <c r="B26" s="5"/>
      <c r="C26" s="52">
        <v>9.4999999999999998E-3</v>
      </c>
      <c r="D26" s="50"/>
      <c r="E26" s="53">
        <v>1.9E-2</v>
      </c>
      <c r="F26" s="19"/>
      <c r="H26" s="49"/>
    </row>
    <row r="27" spans="1:11" ht="17.25" customHeight="1" x14ac:dyDescent="0.25">
      <c r="A27" s="3" t="s">
        <v>62</v>
      </c>
      <c r="B27" s="5"/>
      <c r="C27" s="18">
        <v>7.4999999999999997E-3</v>
      </c>
      <c r="D27" s="5"/>
      <c r="E27" s="7">
        <v>1.2500000000000001E-2</v>
      </c>
      <c r="F27" s="54"/>
      <c r="H27" s="49"/>
      <c r="I27" s="49"/>
      <c r="J27" s="49"/>
      <c r="K27" s="49"/>
    </row>
    <row r="28" spans="1:11" ht="17.25" customHeight="1" x14ac:dyDescent="0.25">
      <c r="A28" s="3" t="s">
        <v>63</v>
      </c>
      <c r="B28" s="5"/>
      <c r="C28" s="18">
        <v>2.4E-2</v>
      </c>
      <c r="D28" s="5"/>
      <c r="E28" s="55"/>
      <c r="F28" s="54"/>
      <c r="H28" s="49"/>
      <c r="I28" s="49"/>
      <c r="J28" s="49"/>
      <c r="K28" s="49"/>
    </row>
    <row r="29" spans="1:11" ht="17.25" customHeight="1" x14ac:dyDescent="0.25">
      <c r="A29" s="3" t="s">
        <v>64</v>
      </c>
      <c r="B29" s="5"/>
      <c r="C29" s="18">
        <v>5.0999999999999997E-2</v>
      </c>
      <c r="D29" s="5"/>
      <c r="E29" s="55"/>
      <c r="F29" s="54"/>
      <c r="H29" s="49"/>
      <c r="I29" s="49"/>
      <c r="J29" s="49"/>
      <c r="K29" s="49"/>
    </row>
    <row r="30" spans="1:11" ht="17.25" customHeight="1" x14ac:dyDescent="0.25">
      <c r="A30" s="3" t="s">
        <v>65</v>
      </c>
      <c r="B30" s="25"/>
      <c r="C30" s="18">
        <v>5.0000000000000001E-3</v>
      </c>
      <c r="D30" s="5"/>
      <c r="E30" s="55"/>
      <c r="F30" s="54"/>
      <c r="H30" s="49"/>
      <c r="I30" s="49"/>
      <c r="J30" s="49"/>
      <c r="K30" s="49"/>
    </row>
    <row r="31" spans="1:11" ht="17.25" customHeight="1" x14ac:dyDescent="0.25">
      <c r="A31" s="23" t="s">
        <v>22</v>
      </c>
      <c r="B31" s="25"/>
      <c r="C31" s="17"/>
      <c r="D31" s="26"/>
      <c r="E31" s="56"/>
      <c r="F31" s="57"/>
      <c r="H31" s="49"/>
      <c r="I31" s="49"/>
      <c r="J31" s="49"/>
      <c r="K31" s="49"/>
    </row>
    <row r="32" spans="1:11" ht="17.25" customHeight="1" x14ac:dyDescent="0.25">
      <c r="A32" s="23"/>
      <c r="B32" s="25"/>
      <c r="C32" s="17"/>
      <c r="D32" s="26"/>
      <c r="E32" s="58"/>
      <c r="F32" s="59"/>
      <c r="H32" s="49"/>
      <c r="I32" s="49"/>
      <c r="J32" s="49"/>
      <c r="K32" s="49"/>
    </row>
    <row r="33" spans="1:11" ht="17.25" customHeight="1" x14ac:dyDescent="0.25">
      <c r="A33" s="16" t="s">
        <v>66</v>
      </c>
      <c r="B33" s="5"/>
      <c r="C33" s="17"/>
      <c r="D33" s="26"/>
      <c r="E33" s="58"/>
      <c r="F33" s="59"/>
      <c r="H33" s="49"/>
      <c r="I33" s="49"/>
      <c r="J33" s="49"/>
      <c r="K33" s="49"/>
    </row>
    <row r="34" spans="1:11" ht="17.25" customHeight="1" x14ac:dyDescent="0.25">
      <c r="A34" s="3" t="s">
        <v>20</v>
      </c>
      <c r="B34" s="5"/>
      <c r="C34" s="18"/>
      <c r="D34" s="5"/>
      <c r="E34" s="7">
        <v>6.7999999999999996E-3</v>
      </c>
      <c r="F34" s="54"/>
      <c r="H34" s="49"/>
      <c r="I34" s="49"/>
      <c r="J34" s="49"/>
      <c r="K34" s="49"/>
    </row>
    <row r="35" spans="1:11" ht="17.25" customHeight="1" x14ac:dyDescent="0.25">
      <c r="A35" s="3" t="s">
        <v>67</v>
      </c>
      <c r="B35" s="5"/>
      <c r="C35" s="18"/>
      <c r="D35" s="5"/>
      <c r="E35" s="7">
        <v>5.4999999999999997E-3</v>
      </c>
      <c r="F35" s="54"/>
      <c r="H35" s="49"/>
      <c r="I35" s="49"/>
      <c r="J35" s="49"/>
      <c r="K35" s="49"/>
    </row>
    <row r="36" spans="1:11" ht="17.25" customHeight="1" x14ac:dyDescent="0.25">
      <c r="A36" s="23"/>
      <c r="B36" s="25"/>
      <c r="C36" s="17"/>
      <c r="D36" s="26"/>
      <c r="E36" s="58"/>
      <c r="F36" s="59"/>
    </row>
    <row r="37" spans="1:11" ht="17.25" customHeight="1" x14ac:dyDescent="0.25">
      <c r="A37" s="23" t="s">
        <v>68</v>
      </c>
      <c r="B37" s="60"/>
      <c r="C37" s="17"/>
      <c r="D37" s="26"/>
      <c r="E37" s="58"/>
      <c r="F37" s="59"/>
    </row>
    <row r="38" spans="1:11" ht="17.25" customHeight="1" thickBot="1" x14ac:dyDescent="0.3">
      <c r="A38" s="61" t="s">
        <v>69</v>
      </c>
      <c r="B38" s="62"/>
      <c r="C38" s="60"/>
      <c r="D38" s="63"/>
      <c r="E38" s="64"/>
      <c r="F38" s="65"/>
    </row>
    <row r="39" spans="1:11" ht="17.25" customHeight="1" thickBot="1" x14ac:dyDescent="0.3">
      <c r="A39" s="9"/>
      <c r="B39" s="9"/>
      <c r="C39" s="62"/>
      <c r="D39" s="66"/>
      <c r="E39" s="62"/>
      <c r="F39" s="67"/>
    </row>
    <row r="40" spans="1:11" x14ac:dyDescent="0.25">
      <c r="A40" s="9"/>
      <c r="B40" s="9"/>
      <c r="C40" s="9"/>
      <c r="D40" s="9"/>
      <c r="E40" s="9"/>
      <c r="F40" s="9"/>
    </row>
    <row r="41" spans="1:11" x14ac:dyDescent="0.25">
      <c r="A41" s="9"/>
      <c r="B41" s="9"/>
      <c r="C41" s="9"/>
      <c r="D41" s="9"/>
      <c r="E41" s="9"/>
      <c r="F41" s="9"/>
    </row>
    <row r="42" spans="1:11" x14ac:dyDescent="0.25">
      <c r="A42" s="9"/>
      <c r="B42" s="9"/>
      <c r="C42" s="9"/>
      <c r="D42" s="9"/>
      <c r="E42" s="9"/>
      <c r="F42" s="9"/>
    </row>
    <row r="43" spans="1:11" x14ac:dyDescent="0.25">
      <c r="A43" s="9"/>
      <c r="B43" s="9"/>
      <c r="C43" s="9"/>
      <c r="D43" s="9"/>
      <c r="E43" s="9"/>
      <c r="F43" s="9"/>
    </row>
    <row r="44" spans="1:11" x14ac:dyDescent="0.25">
      <c r="A44" s="9"/>
      <c r="B44" s="9"/>
      <c r="C44" s="9"/>
      <c r="D44" s="9"/>
      <c r="E44" s="9"/>
      <c r="F44" s="9"/>
    </row>
    <row r="45" spans="1:11" x14ac:dyDescent="0.25">
      <c r="A45" s="9"/>
      <c r="B45" s="9"/>
      <c r="C45" s="9"/>
      <c r="D45" s="9"/>
      <c r="E45" s="9"/>
      <c r="F45" s="9"/>
    </row>
    <row r="46" spans="1:11" x14ac:dyDescent="0.25">
      <c r="A46" s="9"/>
      <c r="C46" s="9"/>
      <c r="D46" s="9"/>
      <c r="E46" s="9"/>
      <c r="F46" s="9"/>
    </row>
  </sheetData>
  <pageMargins left="0" right="0" top="0" bottom="0" header="0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362B-53A5-4B10-AEB6-96E861740C2B}">
  <dimension ref="A1:I47"/>
  <sheetViews>
    <sheetView zoomScale="90" zoomScaleNormal="90" workbookViewId="0">
      <selection activeCell="D8" sqref="D8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5703125" style="1" bestFit="1" customWidth="1"/>
    <col min="6" max="6" width="21.7109375" style="1" customWidth="1"/>
    <col min="7" max="7" width="13.28515625" style="1" customWidth="1"/>
    <col min="8" max="8" width="11.42578125" style="1"/>
    <col min="9" max="9" width="14.28515625" style="1" hidden="1" customWidth="1"/>
    <col min="10" max="16384" width="11.42578125" style="1"/>
  </cols>
  <sheetData>
    <row r="1" spans="1:9" ht="18" x14ac:dyDescent="0.25">
      <c r="A1" s="11" t="s">
        <v>49</v>
      </c>
      <c r="B1" s="12"/>
      <c r="C1" s="12"/>
      <c r="D1" s="12"/>
      <c r="I1" s="12"/>
    </row>
    <row r="2" spans="1:9" ht="15" thickBot="1" x14ac:dyDescent="0.3">
      <c r="C2" s="13"/>
      <c r="D2" s="13"/>
      <c r="E2" s="13"/>
      <c r="I2" s="13"/>
    </row>
    <row r="3" spans="1:9" ht="24" customHeight="1" thickBot="1" x14ac:dyDescent="0.3">
      <c r="A3" s="14" t="s">
        <v>1</v>
      </c>
      <c r="B3" s="15" t="e">
        <f>'Bulletin non-cadre'!#REF!</f>
        <v>#REF!</v>
      </c>
    </row>
    <row r="4" spans="1:9" ht="18" customHeight="1" x14ac:dyDescent="0.25">
      <c r="A4" s="576"/>
      <c r="B4" s="578" t="s">
        <v>2</v>
      </c>
      <c r="C4" s="578" t="s">
        <v>71</v>
      </c>
      <c r="D4" s="578" t="s">
        <v>72</v>
      </c>
      <c r="E4" s="588" t="s">
        <v>73</v>
      </c>
      <c r="I4" s="584" t="s">
        <v>5</v>
      </c>
    </row>
    <row r="5" spans="1:9" ht="18" customHeight="1" x14ac:dyDescent="0.25">
      <c r="A5" s="577"/>
      <c r="B5" s="579"/>
      <c r="C5" s="579"/>
      <c r="D5" s="579"/>
      <c r="E5" s="589"/>
      <c r="I5" s="585"/>
    </row>
    <row r="6" spans="1:9" ht="18" customHeight="1" x14ac:dyDescent="0.25">
      <c r="A6" s="16" t="s">
        <v>23</v>
      </c>
      <c r="B6" s="17"/>
      <c r="C6" s="17"/>
      <c r="D6" s="17"/>
      <c r="E6" s="40"/>
      <c r="I6" s="39"/>
    </row>
    <row r="7" spans="1:9" ht="17.25" customHeight="1" x14ac:dyDescent="0.25">
      <c r="A7" s="3" t="s">
        <v>24</v>
      </c>
      <c r="B7" s="5" t="e">
        <f>$B$3</f>
        <v>#REF!</v>
      </c>
      <c r="C7" s="18">
        <v>7.4999999999999997E-3</v>
      </c>
      <c r="D7" s="5" t="e">
        <f>B7*C7</f>
        <v>#REF!</v>
      </c>
      <c r="E7" s="41" t="e">
        <f>B7*I7</f>
        <v>#REF!</v>
      </c>
      <c r="I7" s="7">
        <v>0.12889999999999999</v>
      </c>
    </row>
    <row r="8" spans="1:9" ht="17.25" customHeight="1" x14ac:dyDescent="0.25">
      <c r="A8" s="3" t="s">
        <v>25</v>
      </c>
      <c r="B8" s="5" t="e">
        <f>$B$3</f>
        <v>#REF!</v>
      </c>
      <c r="C8" s="18">
        <f>'Bulletin non-cadre'!C32</f>
        <v>8.5000000000000006E-3</v>
      </c>
      <c r="D8" s="5" t="e">
        <f>B8*C8</f>
        <v>#REF!</v>
      </c>
      <c r="E8" s="41" t="e">
        <f>B8*I8</f>
        <v>#REF!</v>
      </c>
      <c r="I8" s="7">
        <f>'Bulletin non-cadre'!E32</f>
        <v>1.2500000000000001E-2</v>
      </c>
    </row>
    <row r="9" spans="1:9" ht="17.25" customHeight="1" x14ac:dyDescent="0.25">
      <c r="A9" s="3" t="s">
        <v>26</v>
      </c>
      <c r="B9" s="5">
        <v>1700</v>
      </c>
      <c r="C9" s="18">
        <v>9.4999999999999998E-3</v>
      </c>
      <c r="D9" s="5">
        <f>'Bulletin non-cadre'!D31</f>
        <v>38</v>
      </c>
      <c r="E9" s="41">
        <f>'Bulletin non-cadre'!F31</f>
        <v>76</v>
      </c>
      <c r="I9" s="7">
        <v>1.9E-2</v>
      </c>
    </row>
    <row r="10" spans="1:9" ht="17.25" customHeight="1" x14ac:dyDescent="0.25">
      <c r="A10" s="3"/>
      <c r="B10" s="5"/>
      <c r="C10" s="18"/>
      <c r="D10" s="5"/>
      <c r="E10" s="41"/>
      <c r="I10" s="7"/>
    </row>
    <row r="11" spans="1:9" ht="17.25" customHeight="1" x14ac:dyDescent="0.25">
      <c r="A11" s="16" t="s">
        <v>27</v>
      </c>
      <c r="B11" s="5" t="e">
        <f>B3</f>
        <v>#REF!</v>
      </c>
      <c r="C11" s="20"/>
      <c r="D11" s="21"/>
      <c r="E11" s="41" t="e">
        <f>B11*I11</f>
        <v>#REF!</v>
      </c>
      <c r="I11" s="7">
        <v>2.5000000000000001E-2</v>
      </c>
    </row>
    <row r="12" spans="1:9" ht="17.25" customHeight="1" x14ac:dyDescent="0.25">
      <c r="A12" s="16"/>
      <c r="B12" s="5"/>
      <c r="C12" s="20"/>
      <c r="D12" s="21"/>
      <c r="E12" s="41"/>
      <c r="I12" s="7"/>
    </row>
    <row r="13" spans="1:9" ht="17.25" customHeight="1" x14ac:dyDescent="0.25">
      <c r="A13" s="16" t="s">
        <v>8</v>
      </c>
      <c r="B13" s="5"/>
      <c r="C13" s="20"/>
      <c r="D13" s="21"/>
      <c r="E13" s="41"/>
      <c r="I13" s="7"/>
    </row>
    <row r="14" spans="1:9" ht="17.25" customHeight="1" x14ac:dyDescent="0.25">
      <c r="A14" s="3" t="s">
        <v>28</v>
      </c>
      <c r="B14" s="5" t="e">
        <f>B7</f>
        <v>#REF!</v>
      </c>
      <c r="C14" s="18">
        <v>6.9000000000000006E-2</v>
      </c>
      <c r="D14" s="5" t="e">
        <f>B14*C14</f>
        <v>#REF!</v>
      </c>
      <c r="E14" s="41" t="e">
        <f>B14*I14</f>
        <v>#REF!</v>
      </c>
      <c r="I14" s="7">
        <v>8.5500000000000007E-2</v>
      </c>
    </row>
    <row r="15" spans="1:9" ht="17.25" customHeight="1" x14ac:dyDescent="0.25">
      <c r="A15" s="3" t="s">
        <v>29</v>
      </c>
      <c r="B15" s="5" t="e">
        <f>B14</f>
        <v>#REF!</v>
      </c>
      <c r="C15" s="18">
        <v>4.0000000000000001E-3</v>
      </c>
      <c r="D15" s="5" t="e">
        <f>B15*C15</f>
        <v>#REF!</v>
      </c>
      <c r="E15" s="41" t="e">
        <f>B15*I15</f>
        <v>#REF!</v>
      </c>
      <c r="I15" s="7">
        <v>1.9E-2</v>
      </c>
    </row>
    <row r="16" spans="1:9" ht="17.25" customHeight="1" x14ac:dyDescent="0.25">
      <c r="A16" s="3" t="s">
        <v>74</v>
      </c>
      <c r="B16" s="5" t="e">
        <f>B15</f>
        <v>#REF!</v>
      </c>
      <c r="C16" s="22">
        <f>3.1%+0.8%</f>
        <v>3.9E-2</v>
      </c>
      <c r="D16" s="5" t="e">
        <f>B16*C16</f>
        <v>#REF!</v>
      </c>
      <c r="E16" s="41" t="e">
        <f>B16*I16</f>
        <v>#REF!</v>
      </c>
      <c r="I16" s="7">
        <f>4.65%+1.2%</f>
        <v>5.850000000000001E-2</v>
      </c>
    </row>
    <row r="17" spans="1:9" ht="17.25" customHeight="1" x14ac:dyDescent="0.25">
      <c r="A17" s="3" t="s">
        <v>75</v>
      </c>
      <c r="B17" s="5"/>
      <c r="C17" s="22"/>
      <c r="D17" s="5"/>
      <c r="E17" s="41"/>
      <c r="I17" s="7"/>
    </row>
    <row r="18" spans="1:9" ht="17.25" customHeight="1" x14ac:dyDescent="0.25">
      <c r="A18" s="3" t="s">
        <v>34</v>
      </c>
      <c r="B18" s="5"/>
      <c r="C18" s="22"/>
      <c r="D18" s="5"/>
      <c r="E18" s="41"/>
      <c r="I18" s="7"/>
    </row>
    <row r="19" spans="1:9" ht="17.25" customHeight="1" x14ac:dyDescent="0.25">
      <c r="A19" s="3"/>
      <c r="B19" s="5"/>
      <c r="C19" s="22"/>
      <c r="D19" s="5"/>
      <c r="E19" s="41"/>
      <c r="I19" s="7"/>
    </row>
    <row r="20" spans="1:9" ht="17.25" customHeight="1" x14ac:dyDescent="0.25">
      <c r="A20" s="23" t="s">
        <v>36</v>
      </c>
      <c r="B20" s="8" t="e">
        <f>B7</f>
        <v>#REF!</v>
      </c>
      <c r="C20" s="22"/>
      <c r="D20" s="5"/>
      <c r="E20" s="41" t="e">
        <f>B20*I20</f>
        <v>#REF!</v>
      </c>
      <c r="I20" s="7">
        <v>3.4500000000000003E-2</v>
      </c>
    </row>
    <row r="21" spans="1:9" ht="17.25" customHeight="1" x14ac:dyDescent="0.25">
      <c r="A21" s="23" t="s">
        <v>37</v>
      </c>
      <c r="B21" s="5" t="e">
        <f t="shared" ref="B21:B22" si="0">$B$3</f>
        <v>#REF!</v>
      </c>
      <c r="C21" s="18">
        <v>2.4E-2</v>
      </c>
      <c r="D21" s="5" t="e">
        <f t="shared" ref="D21" si="1">B21*C21</f>
        <v>#REF!</v>
      </c>
      <c r="E21" s="41" t="e">
        <f>B21*I21</f>
        <v>#REF!</v>
      </c>
      <c r="I21" s="7">
        <v>4.2000000000000003E-2</v>
      </c>
    </row>
    <row r="22" spans="1:9" ht="17.25" customHeight="1" x14ac:dyDescent="0.25">
      <c r="A22" s="23" t="s">
        <v>76</v>
      </c>
      <c r="B22" s="5" t="e">
        <f t="shared" si="0"/>
        <v>#REF!</v>
      </c>
      <c r="C22" s="22"/>
      <c r="D22" s="5"/>
      <c r="E22" s="41" t="e">
        <f>B22*I22</f>
        <v>#REF!</v>
      </c>
      <c r="I22" s="7">
        <f>1%+0.1%+0.3%+0.01%+0.016%+0.68%+0.55%</f>
        <v>2.656E-2</v>
      </c>
    </row>
    <row r="23" spans="1:9" ht="17.25" customHeight="1" x14ac:dyDescent="0.25">
      <c r="A23" s="23" t="s">
        <v>41</v>
      </c>
      <c r="B23" s="8"/>
      <c r="C23" s="22"/>
      <c r="D23" s="5"/>
      <c r="E23" s="41"/>
      <c r="I23" s="7"/>
    </row>
    <row r="24" spans="1:9" ht="17.25" customHeight="1" x14ac:dyDescent="0.25">
      <c r="A24" s="16"/>
      <c r="B24" s="8"/>
      <c r="C24" s="22"/>
      <c r="D24" s="5"/>
      <c r="E24" s="41"/>
      <c r="I24" s="7"/>
    </row>
    <row r="25" spans="1:9" ht="17.25" customHeight="1" x14ac:dyDescent="0.25">
      <c r="A25" s="3" t="s">
        <v>42</v>
      </c>
      <c r="B25" s="5" t="e">
        <f>(B3*0.9825)+E8+E9</f>
        <v>#REF!</v>
      </c>
      <c r="C25" s="18">
        <v>2.9000000000000001E-2</v>
      </c>
      <c r="D25" s="5" t="e">
        <f t="shared" ref="D25:D26" si="2">B25*C25</f>
        <v>#REF!</v>
      </c>
      <c r="E25" s="43"/>
      <c r="F25" s="24"/>
      <c r="I25" s="44"/>
    </row>
    <row r="26" spans="1:9" ht="17.25" customHeight="1" x14ac:dyDescent="0.25">
      <c r="A26" s="3" t="s">
        <v>43</v>
      </c>
      <c r="B26" s="5" t="e">
        <f>B25</f>
        <v>#REF!</v>
      </c>
      <c r="C26" s="18">
        <v>5.0999999999999997E-2</v>
      </c>
      <c r="D26" s="5" t="e">
        <f t="shared" si="2"/>
        <v>#REF!</v>
      </c>
      <c r="E26" s="43"/>
      <c r="I26" s="44"/>
    </row>
    <row r="27" spans="1:9" ht="17.25" customHeight="1" x14ac:dyDescent="0.25">
      <c r="A27" s="3"/>
      <c r="B27" s="5"/>
      <c r="C27" s="18"/>
      <c r="D27" s="5"/>
      <c r="E27" s="43"/>
      <c r="I27" s="44"/>
    </row>
    <row r="28" spans="1:9" ht="17.25" customHeight="1" x14ac:dyDescent="0.25">
      <c r="A28" s="23" t="s">
        <v>44</v>
      </c>
      <c r="B28" s="5"/>
      <c r="C28" s="4"/>
      <c r="D28" s="5"/>
      <c r="E28" s="70">
        <f>'Bulletin non-cadre'!F22</f>
        <v>0</v>
      </c>
      <c r="I28" s="46"/>
    </row>
    <row r="29" spans="1:9" ht="17.25" customHeight="1" x14ac:dyDescent="0.25">
      <c r="A29" s="16"/>
      <c r="B29" s="17"/>
      <c r="C29" s="20"/>
      <c r="D29" s="20"/>
      <c r="E29" s="47"/>
      <c r="I29" s="44"/>
    </row>
    <row r="30" spans="1:9" ht="17.25" customHeight="1" x14ac:dyDescent="0.25">
      <c r="A30" s="3"/>
      <c r="B30" s="5"/>
      <c r="C30" s="18"/>
      <c r="D30" s="5"/>
      <c r="E30" s="54"/>
      <c r="I30" s="55"/>
    </row>
    <row r="31" spans="1:9" ht="17.25" customHeight="1" x14ac:dyDescent="0.25">
      <c r="A31" s="23" t="s">
        <v>45</v>
      </c>
      <c r="B31" s="25"/>
      <c r="C31" s="17"/>
      <c r="D31" s="26" t="e">
        <f>SUM(D7:D29)</f>
        <v>#REF!</v>
      </c>
      <c r="E31" s="57" t="e">
        <f>SUM(E7:E30)</f>
        <v>#REF!</v>
      </c>
      <c r="I31" s="56"/>
    </row>
    <row r="32" spans="1:9" ht="17.25" customHeight="1" thickBot="1" x14ac:dyDescent="0.3">
      <c r="A32" s="30"/>
      <c r="B32" s="27"/>
      <c r="C32" s="31"/>
      <c r="D32" s="71"/>
      <c r="E32" s="72"/>
      <c r="I32" s="68"/>
    </row>
    <row r="33" spans="1:9" ht="23.25" customHeight="1" x14ac:dyDescent="0.25">
      <c r="D33" s="573" t="s">
        <v>46</v>
      </c>
      <c r="E33" s="574"/>
    </row>
    <row r="34" spans="1:9" ht="24" customHeight="1" x14ac:dyDescent="0.25">
      <c r="A34" s="9"/>
      <c r="B34" s="9"/>
      <c r="C34" s="9"/>
      <c r="D34" s="575" t="e">
        <f>B3-D31</f>
        <v>#REF!</v>
      </c>
      <c r="E34" s="574"/>
      <c r="I34" s="9"/>
    </row>
    <row r="35" spans="1:9" ht="24" customHeight="1" x14ac:dyDescent="0.25">
      <c r="A35" s="9"/>
      <c r="B35" s="9"/>
      <c r="C35" s="9"/>
      <c r="D35" s="28" t="s">
        <v>47</v>
      </c>
      <c r="E35" s="28" t="s">
        <v>48</v>
      </c>
      <c r="I35" s="9"/>
    </row>
    <row r="36" spans="1:9" ht="24" customHeight="1" x14ac:dyDescent="0.25">
      <c r="A36" s="9"/>
      <c r="B36" s="9"/>
      <c r="C36" s="9"/>
      <c r="D36" s="29" t="e">
        <f>B3+E31</f>
        <v>#REF!</v>
      </c>
      <c r="E36" s="29" t="e">
        <f>-E28+(B3*1.8%)</f>
        <v>#REF!</v>
      </c>
      <c r="I36" s="9"/>
    </row>
    <row r="37" spans="1:9" ht="24" customHeight="1" x14ac:dyDescent="0.25">
      <c r="A37" s="9"/>
      <c r="B37" s="9"/>
      <c r="C37" s="9"/>
      <c r="D37" s="10"/>
      <c r="E37" s="10"/>
      <c r="I37" s="9"/>
    </row>
    <row r="38" spans="1:9" ht="24" customHeight="1" x14ac:dyDescent="0.25">
      <c r="A38" s="9"/>
      <c r="B38" s="9"/>
      <c r="C38" s="9"/>
      <c r="D38" s="10"/>
      <c r="E38" s="10"/>
      <c r="I38" s="9"/>
    </row>
    <row r="39" spans="1:9" ht="24" customHeight="1" x14ac:dyDescent="0.25">
      <c r="A39" s="9"/>
      <c r="B39" s="9"/>
      <c r="C39" s="9"/>
      <c r="D39" s="10"/>
      <c r="E39" s="10"/>
      <c r="I39" s="9"/>
    </row>
    <row r="40" spans="1:9" ht="24" customHeight="1" thickBot="1" x14ac:dyDescent="0.3">
      <c r="A40" s="9"/>
      <c r="B40" s="9"/>
      <c r="C40" s="9"/>
      <c r="D40" s="10"/>
      <c r="E40" s="10"/>
      <c r="I40" s="9"/>
    </row>
    <row r="41" spans="1:9" ht="24" customHeight="1" thickBot="1" x14ac:dyDescent="0.3">
      <c r="A41" s="586" t="s">
        <v>69</v>
      </c>
      <c r="B41" s="587"/>
      <c r="C41" s="587"/>
      <c r="D41" s="69" t="e">
        <f>+'Bulletin non-cadre'!#REF!</f>
        <v>#REF!</v>
      </c>
      <c r="E41" s="9"/>
      <c r="I41" s="9"/>
    </row>
    <row r="42" spans="1:9" x14ac:dyDescent="0.25">
      <c r="A42" s="9"/>
      <c r="B42" s="9"/>
      <c r="C42" s="9"/>
      <c r="D42" s="9"/>
      <c r="E42" s="9"/>
      <c r="I42" s="9"/>
    </row>
    <row r="43" spans="1:9" x14ac:dyDescent="0.25">
      <c r="A43" s="9"/>
      <c r="B43" s="9"/>
      <c r="C43" s="9"/>
      <c r="D43" s="9"/>
      <c r="E43" s="9"/>
      <c r="I43" s="9"/>
    </row>
    <row r="44" spans="1:9" x14ac:dyDescent="0.25">
      <c r="A44" s="9"/>
      <c r="B44" s="9"/>
      <c r="C44" s="9"/>
      <c r="D44" s="9"/>
      <c r="E44" s="9"/>
      <c r="I44" s="9"/>
    </row>
    <row r="45" spans="1:9" x14ac:dyDescent="0.25">
      <c r="A45" s="9"/>
      <c r="B45" s="9"/>
      <c r="C45" s="9"/>
      <c r="D45" s="9"/>
      <c r="E45" s="9"/>
      <c r="I45" s="9"/>
    </row>
    <row r="46" spans="1:9" x14ac:dyDescent="0.25">
      <c r="A46" s="9"/>
      <c r="B46" s="9"/>
      <c r="C46" s="9"/>
      <c r="D46" s="9"/>
      <c r="E46" s="9"/>
      <c r="I46" s="9"/>
    </row>
    <row r="47" spans="1:9" x14ac:dyDescent="0.25">
      <c r="A47" s="9"/>
      <c r="B47" s="9"/>
      <c r="C47" s="9"/>
      <c r="D47" s="9"/>
      <c r="E47" s="9"/>
      <c r="I47" s="9"/>
    </row>
  </sheetData>
  <mergeCells count="9">
    <mergeCell ref="I4:I5"/>
    <mergeCell ref="D33:E33"/>
    <mergeCell ref="D34:E34"/>
    <mergeCell ref="A41:C4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C39A-9D9F-4105-AD97-4C4CBF637AE3}">
  <sheetPr>
    <tabColor rgb="FFFF0000"/>
  </sheetPr>
  <dimension ref="A1:O153"/>
  <sheetViews>
    <sheetView tabSelected="1" zoomScale="75" zoomScaleNormal="75" workbookViewId="0">
      <selection activeCell="H15" sqref="H15"/>
    </sheetView>
  </sheetViews>
  <sheetFormatPr baseColWidth="10" defaultRowHeight="15" x14ac:dyDescent="0.25"/>
  <cols>
    <col min="1" max="1" width="92.28515625" style="335" customWidth="1"/>
    <col min="2" max="2" width="16.7109375" style="335" customWidth="1"/>
    <col min="3" max="3" width="17.140625" style="335" bestFit="1" customWidth="1"/>
    <col min="4" max="4" width="25.5703125" style="335" bestFit="1" customWidth="1"/>
    <col min="5" max="5" width="25.5703125" style="335" customWidth="1"/>
    <col min="6" max="6" width="20.85546875" style="335" customWidth="1"/>
    <col min="7" max="8" width="27.28515625" style="335" customWidth="1"/>
    <col min="9" max="9" width="12.5703125" style="335" customWidth="1"/>
    <col min="10" max="10" width="12" style="335" customWidth="1"/>
    <col min="11" max="11" width="11.42578125" style="335" customWidth="1"/>
    <col min="12" max="12" width="12.140625" style="335" customWidth="1"/>
    <col min="13" max="14" width="12" style="335" customWidth="1"/>
    <col min="15" max="16384" width="11.42578125" style="335"/>
  </cols>
  <sheetData>
    <row r="1" spans="1:6" ht="15.75" thickBot="1" x14ac:dyDescent="0.3">
      <c r="A1" s="332" t="s">
        <v>189</v>
      </c>
      <c r="B1" s="333"/>
      <c r="C1" s="333"/>
      <c r="D1" s="333"/>
      <c r="E1" s="333"/>
      <c r="F1" s="334"/>
    </row>
    <row r="2" spans="1:6" x14ac:dyDescent="0.25">
      <c r="A2" s="336" t="s">
        <v>190</v>
      </c>
      <c r="B2" s="337"/>
      <c r="C2" s="338"/>
      <c r="D2" s="339" t="s">
        <v>191</v>
      </c>
      <c r="E2" s="340"/>
      <c r="F2" s="341" t="s">
        <v>192</v>
      </c>
    </row>
    <row r="3" spans="1:6" x14ac:dyDescent="0.25">
      <c r="A3" s="342" t="s">
        <v>193</v>
      </c>
      <c r="B3" s="343"/>
      <c r="C3" s="344"/>
      <c r="D3" s="345" t="s">
        <v>193</v>
      </c>
      <c r="E3" s="346"/>
      <c r="F3" s="347"/>
    </row>
    <row r="4" spans="1:6" x14ac:dyDescent="0.25">
      <c r="A4" s="342" t="s">
        <v>194</v>
      </c>
      <c r="B4" s="343"/>
      <c r="C4" s="344"/>
      <c r="D4" s="345" t="s">
        <v>195</v>
      </c>
      <c r="E4" s="346"/>
      <c r="F4" s="347"/>
    </row>
    <row r="5" spans="1:6" x14ac:dyDescent="0.25">
      <c r="A5" s="342" t="s">
        <v>196</v>
      </c>
      <c r="B5" s="343"/>
      <c r="C5" s="344"/>
      <c r="D5" s="345" t="s">
        <v>197</v>
      </c>
      <c r="E5" s="346"/>
      <c r="F5" s="347"/>
    </row>
    <row r="6" spans="1:6" x14ac:dyDescent="0.25">
      <c r="A6" s="342" t="s">
        <v>196</v>
      </c>
      <c r="B6" s="343"/>
      <c r="C6" s="344"/>
      <c r="D6" s="345" t="s">
        <v>198</v>
      </c>
      <c r="E6" s="346"/>
      <c r="F6" s="347"/>
    </row>
    <row r="7" spans="1:6" x14ac:dyDescent="0.25">
      <c r="A7" s="342" t="s">
        <v>199</v>
      </c>
      <c r="B7" s="343"/>
      <c r="C7" s="344"/>
      <c r="D7" s="345"/>
      <c r="E7" s="346"/>
      <c r="F7" s="347"/>
    </row>
    <row r="8" spans="1:6" x14ac:dyDescent="0.25">
      <c r="A8" s="342" t="s">
        <v>200</v>
      </c>
      <c r="B8" s="343"/>
      <c r="C8" s="344"/>
      <c r="D8" s="345" t="s">
        <v>201</v>
      </c>
      <c r="E8" s="346"/>
      <c r="F8" s="347"/>
    </row>
    <row r="9" spans="1:6" x14ac:dyDescent="0.25">
      <c r="A9" s="342" t="s">
        <v>202</v>
      </c>
      <c r="B9" s="343"/>
      <c r="C9" s="344"/>
      <c r="D9" s="345" t="s">
        <v>203</v>
      </c>
      <c r="E9" s="346"/>
      <c r="F9" s="347"/>
    </row>
    <row r="10" spans="1:6" x14ac:dyDescent="0.25">
      <c r="A10" s="342" t="s">
        <v>204</v>
      </c>
      <c r="B10" s="343"/>
      <c r="C10" s="344"/>
      <c r="D10" s="345" t="s">
        <v>205</v>
      </c>
      <c r="E10" s="346"/>
      <c r="F10" s="347"/>
    </row>
    <row r="11" spans="1:6" x14ac:dyDescent="0.25">
      <c r="A11" s="342" t="s">
        <v>206</v>
      </c>
      <c r="B11" s="343"/>
      <c r="C11" s="344"/>
      <c r="D11" s="345" t="s">
        <v>207</v>
      </c>
      <c r="E11" s="346"/>
      <c r="F11" s="347"/>
    </row>
    <row r="12" spans="1:6" x14ac:dyDescent="0.25">
      <c r="A12" s="342" t="s">
        <v>208</v>
      </c>
      <c r="B12" s="343"/>
      <c r="C12" s="344"/>
      <c r="D12" s="345" t="s">
        <v>209</v>
      </c>
      <c r="E12" s="346"/>
      <c r="F12" s="347"/>
    </row>
    <row r="13" spans="1:6" x14ac:dyDescent="0.25">
      <c r="A13" s="342" t="s">
        <v>211</v>
      </c>
      <c r="B13" s="343"/>
      <c r="C13" s="344"/>
      <c r="D13" s="345" t="s">
        <v>212</v>
      </c>
      <c r="E13" s="346"/>
      <c r="F13" s="347"/>
    </row>
    <row r="14" spans="1:6" x14ac:dyDescent="0.25">
      <c r="A14" s="342"/>
      <c r="B14" s="343"/>
      <c r="C14" s="344"/>
      <c r="D14" s="345" t="s">
        <v>214</v>
      </c>
      <c r="E14" s="346"/>
      <c r="F14" s="347"/>
    </row>
    <row r="15" spans="1:6" x14ac:dyDescent="0.25">
      <c r="A15" s="345"/>
      <c r="B15" s="343"/>
      <c r="C15" s="344"/>
      <c r="D15" s="345"/>
      <c r="E15" s="346"/>
      <c r="F15" s="347"/>
    </row>
    <row r="16" spans="1:6" ht="15.75" thickBot="1" x14ac:dyDescent="0.3">
      <c r="A16" s="348"/>
      <c r="B16" s="349"/>
      <c r="C16" s="350"/>
      <c r="D16" s="348"/>
      <c r="E16" s="351"/>
      <c r="F16" s="352"/>
    </row>
    <row r="17" spans="1:14" ht="15.75" thickBot="1" x14ac:dyDescent="0.3">
      <c r="A17" s="353" t="s">
        <v>217</v>
      </c>
      <c r="B17" s="598">
        <v>44927</v>
      </c>
      <c r="C17" s="599"/>
      <c r="D17" s="354" t="s">
        <v>218</v>
      </c>
      <c r="E17" s="679">
        <v>44957</v>
      </c>
      <c r="F17" s="680"/>
    </row>
    <row r="18" spans="1:14" ht="20.25" customHeight="1" thickBot="1" x14ac:dyDescent="0.3">
      <c r="A18" s="355" t="s">
        <v>219</v>
      </c>
      <c r="B18" s="356"/>
      <c r="C18" s="356"/>
      <c r="D18" s="356"/>
      <c r="E18" s="357"/>
      <c r="F18" s="358"/>
    </row>
    <row r="19" spans="1:14" ht="24" customHeight="1" thickBot="1" x14ac:dyDescent="0.3">
      <c r="A19" s="359" t="s">
        <v>219</v>
      </c>
      <c r="B19" s="360" t="s">
        <v>220</v>
      </c>
      <c r="C19" s="360" t="s">
        <v>221</v>
      </c>
      <c r="D19" s="360" t="s">
        <v>222</v>
      </c>
      <c r="E19" s="361"/>
      <c r="F19" s="362"/>
    </row>
    <row r="20" spans="1:14" s="366" customFormat="1" x14ac:dyDescent="0.25">
      <c r="A20" s="339" t="s">
        <v>138</v>
      </c>
      <c r="B20" s="363"/>
      <c r="C20" s="364"/>
      <c r="D20" s="520"/>
      <c r="E20" s="521"/>
      <c r="F20" s="365"/>
      <c r="G20" s="335"/>
      <c r="H20" s="335"/>
      <c r="I20" s="335"/>
      <c r="J20" s="335"/>
      <c r="K20" s="335"/>
      <c r="L20" s="335"/>
      <c r="M20" s="335"/>
      <c r="N20" s="335"/>
    </row>
    <row r="21" spans="1:14" s="366" customFormat="1" x14ac:dyDescent="0.25">
      <c r="A21" s="367" t="s">
        <v>223</v>
      </c>
      <c r="B21" s="368"/>
      <c r="C21" s="369"/>
      <c r="D21" s="370"/>
      <c r="E21" s="371"/>
      <c r="F21" s="372"/>
      <c r="I21" s="335"/>
      <c r="J21" s="335"/>
      <c r="K21" s="335"/>
      <c r="L21" s="335"/>
      <c r="M21" s="335"/>
      <c r="N21" s="335"/>
    </row>
    <row r="22" spans="1:14" s="366" customFormat="1" x14ac:dyDescent="0.25">
      <c r="A22" s="367" t="s">
        <v>144</v>
      </c>
      <c r="B22" s="491"/>
      <c r="C22" s="492"/>
      <c r="D22" s="493"/>
      <c r="E22" s="494"/>
      <c r="F22" s="372"/>
      <c r="I22" s="335"/>
      <c r="J22" s="335"/>
      <c r="K22" s="335"/>
      <c r="L22" s="335"/>
      <c r="M22" s="335"/>
      <c r="N22" s="335"/>
    </row>
    <row r="23" spans="1:14" s="366" customFormat="1" x14ac:dyDescent="0.25">
      <c r="A23" s="367" t="s">
        <v>224</v>
      </c>
      <c r="B23" s="368"/>
      <c r="C23" s="369"/>
      <c r="D23" s="495"/>
      <c r="E23" s="496"/>
      <c r="F23" s="372"/>
      <c r="I23" s="335"/>
      <c r="J23" s="335"/>
      <c r="K23" s="335"/>
      <c r="L23" s="335"/>
      <c r="M23" s="335"/>
      <c r="N23" s="335"/>
    </row>
    <row r="24" spans="1:14" x14ac:dyDescent="0.25">
      <c r="A24" s="345" t="s">
        <v>210</v>
      </c>
      <c r="B24" s="373"/>
      <c r="C24" s="497"/>
      <c r="D24" s="497"/>
      <c r="E24" s="498"/>
      <c r="F24" s="374"/>
    </row>
    <row r="25" spans="1:14" x14ac:dyDescent="0.25">
      <c r="A25" s="345" t="s">
        <v>213</v>
      </c>
      <c r="B25" s="373"/>
      <c r="C25" s="497"/>
      <c r="D25" s="497"/>
      <c r="E25" s="498"/>
      <c r="F25" s="375"/>
    </row>
    <row r="26" spans="1:14" x14ac:dyDescent="0.25">
      <c r="A26" s="345" t="s">
        <v>215</v>
      </c>
      <c r="B26" s="373"/>
      <c r="C26" s="497"/>
      <c r="D26" s="497"/>
      <c r="E26" s="498"/>
      <c r="F26" s="375"/>
    </row>
    <row r="27" spans="1:14" x14ac:dyDescent="0.25">
      <c r="A27" s="345" t="s">
        <v>216</v>
      </c>
      <c r="B27" s="373"/>
      <c r="C27" s="497"/>
      <c r="D27" s="497"/>
      <c r="E27" s="498"/>
      <c r="F27" s="375"/>
    </row>
    <row r="28" spans="1:14" x14ac:dyDescent="0.25">
      <c r="A28" s="345" t="s">
        <v>225</v>
      </c>
      <c r="B28" s="499"/>
      <c r="C28" s="500"/>
      <c r="D28" s="501"/>
      <c r="E28" s="502"/>
      <c r="F28" s="375"/>
    </row>
    <row r="29" spans="1:14" x14ac:dyDescent="0.25">
      <c r="A29" s="345" t="s">
        <v>226</v>
      </c>
      <c r="B29" s="503"/>
      <c r="C29" s="373"/>
      <c r="D29" s="497"/>
      <c r="E29" s="498"/>
      <c r="F29" s="376"/>
    </row>
    <row r="30" spans="1:14" x14ac:dyDescent="0.25">
      <c r="A30" s="345" t="s">
        <v>227</v>
      </c>
      <c r="B30" s="504"/>
      <c r="C30" s="500"/>
      <c r="D30" s="501"/>
      <c r="E30" s="502"/>
      <c r="F30" s="376"/>
    </row>
    <row r="31" spans="1:14" x14ac:dyDescent="0.25">
      <c r="A31" s="345"/>
      <c r="B31" s="377"/>
      <c r="C31" s="505"/>
      <c r="D31" s="572"/>
      <c r="E31" s="506"/>
      <c r="F31" s="378"/>
    </row>
    <row r="32" spans="1:14" ht="15.75" thickBot="1" x14ac:dyDescent="0.3">
      <c r="A32" s="335" t="s">
        <v>228</v>
      </c>
      <c r="B32" s="507"/>
      <c r="C32" s="508"/>
      <c r="D32" s="572"/>
      <c r="E32" s="509"/>
      <c r="F32" s="379"/>
    </row>
    <row r="33" spans="1:8" x14ac:dyDescent="0.25">
      <c r="A33" s="380" t="s">
        <v>229</v>
      </c>
      <c r="B33" s="510"/>
      <c r="C33" s="511"/>
      <c r="D33" s="572"/>
      <c r="E33" s="513"/>
      <c r="F33" s="383"/>
    </row>
    <row r="34" spans="1:8" x14ac:dyDescent="0.25">
      <c r="A34" s="335" t="s">
        <v>230</v>
      </c>
      <c r="B34" s="510"/>
      <c r="C34" s="511"/>
      <c r="D34" s="572"/>
      <c r="E34" s="513"/>
      <c r="F34" s="383"/>
    </row>
    <row r="35" spans="1:8" x14ac:dyDescent="0.25">
      <c r="A35" s="380" t="s">
        <v>231</v>
      </c>
      <c r="B35" s="510"/>
      <c r="C35" s="514"/>
      <c r="D35" s="512"/>
      <c r="E35" s="513"/>
      <c r="F35" s="383"/>
    </row>
    <row r="36" spans="1:8" ht="15.75" thickBot="1" x14ac:dyDescent="0.3">
      <c r="A36" s="384" t="s">
        <v>232</v>
      </c>
      <c r="B36" s="510"/>
      <c r="C36" s="515"/>
      <c r="D36" s="516"/>
      <c r="E36" s="513"/>
      <c r="F36" s="383"/>
    </row>
    <row r="37" spans="1:8" ht="16.5" thickTop="1" thickBot="1" x14ac:dyDescent="0.3">
      <c r="A37" s="385" t="s">
        <v>1</v>
      </c>
      <c r="B37" s="386"/>
      <c r="C37" s="517"/>
      <c r="D37" s="518">
        <f>SUM(D20:D36)</f>
        <v>0</v>
      </c>
      <c r="E37" s="519"/>
      <c r="F37" s="383"/>
    </row>
    <row r="38" spans="1:8" x14ac:dyDescent="0.25">
      <c r="A38" s="387"/>
      <c r="B38" s="388"/>
      <c r="C38" s="389"/>
      <c r="D38" s="390"/>
      <c r="E38" s="391"/>
      <c r="F38" s="392"/>
    </row>
    <row r="39" spans="1:8" x14ac:dyDescent="0.25">
      <c r="A39" s="393" t="s">
        <v>233</v>
      </c>
      <c r="B39" s="394" t="s">
        <v>234</v>
      </c>
      <c r="C39" s="394" t="s">
        <v>71</v>
      </c>
      <c r="D39" s="394" t="s">
        <v>72</v>
      </c>
      <c r="E39" s="395"/>
      <c r="F39" s="396" t="s">
        <v>73</v>
      </c>
    </row>
    <row r="40" spans="1:8" x14ac:dyDescent="0.25">
      <c r="A40" s="397" t="s">
        <v>23</v>
      </c>
      <c r="B40" s="398"/>
      <c r="C40" s="399"/>
      <c r="D40" s="399"/>
      <c r="E40" s="400"/>
      <c r="F40" s="401"/>
    </row>
    <row r="41" spans="1:8" x14ac:dyDescent="0.25">
      <c r="A41" s="402" t="s">
        <v>235</v>
      </c>
      <c r="B41" s="403"/>
      <c r="C41" s="404"/>
      <c r="D41" s="405"/>
      <c r="E41" s="464">
        <v>7.0000000000000007E-2</v>
      </c>
      <c r="F41" s="406"/>
      <c r="G41" s="407"/>
      <c r="H41" s="407"/>
    </row>
    <row r="42" spans="1:8" x14ac:dyDescent="0.25">
      <c r="A42" s="408" t="s">
        <v>236</v>
      </c>
      <c r="B42" s="403"/>
      <c r="C42" s="409">
        <v>1.2E-2</v>
      </c>
      <c r="D42" s="410"/>
      <c r="E42" s="465">
        <v>2.4E-2</v>
      </c>
      <c r="F42" s="406"/>
      <c r="G42" s="407"/>
      <c r="H42" s="407"/>
    </row>
    <row r="43" spans="1:8" x14ac:dyDescent="0.25">
      <c r="A43" s="402" t="s">
        <v>237</v>
      </c>
      <c r="B43" s="403"/>
      <c r="C43" s="409">
        <v>7.4999999999999997E-3</v>
      </c>
      <c r="D43" s="410"/>
      <c r="E43" s="413">
        <v>1.7500000000000002E-2</v>
      </c>
      <c r="F43" s="406"/>
      <c r="G43" s="407"/>
      <c r="H43" s="407"/>
    </row>
    <row r="44" spans="1:8" x14ac:dyDescent="0.25">
      <c r="A44" s="402" t="s">
        <v>238</v>
      </c>
      <c r="B44" s="403"/>
      <c r="C44" s="409"/>
      <c r="D44" s="410"/>
      <c r="E44" s="411"/>
      <c r="F44" s="406"/>
      <c r="G44" s="407"/>
      <c r="H44" s="407"/>
    </row>
    <row r="45" spans="1:8" x14ac:dyDescent="0.25">
      <c r="A45" s="397" t="s">
        <v>239</v>
      </c>
      <c r="B45" s="403"/>
      <c r="C45" s="408"/>
      <c r="D45" s="403"/>
      <c r="E45" s="412">
        <v>0.03</v>
      </c>
      <c r="F45" s="406"/>
      <c r="G45" s="407"/>
      <c r="H45" s="407"/>
    </row>
    <row r="46" spans="1:8" x14ac:dyDescent="0.25">
      <c r="A46" s="397" t="s">
        <v>8</v>
      </c>
      <c r="B46" s="398"/>
      <c r="C46" s="399"/>
      <c r="D46" s="399"/>
      <c r="E46" s="400"/>
      <c r="F46" s="401"/>
      <c r="G46" s="407"/>
      <c r="H46" s="407"/>
    </row>
    <row r="47" spans="1:8" x14ac:dyDescent="0.25">
      <c r="A47" s="402" t="s">
        <v>240</v>
      </c>
      <c r="B47" s="403"/>
      <c r="C47" s="409">
        <v>6.9000000000000006E-2</v>
      </c>
      <c r="D47" s="410"/>
      <c r="E47" s="413" t="e">
        <f>#REF!</f>
        <v>#REF!</v>
      </c>
      <c r="F47" s="406"/>
      <c r="G47" s="407"/>
      <c r="H47" s="407"/>
    </row>
    <row r="48" spans="1:8" x14ac:dyDescent="0.25">
      <c r="A48" s="402" t="s">
        <v>29</v>
      </c>
      <c r="B48" s="403"/>
      <c r="C48" s="409">
        <v>4.0000000000000001E-3</v>
      </c>
      <c r="D48" s="410"/>
      <c r="E48" s="413" t="e">
        <f>#REF!</f>
        <v>#REF!</v>
      </c>
      <c r="F48" s="406"/>
      <c r="G48" s="407"/>
      <c r="H48" s="407"/>
    </row>
    <row r="49" spans="1:8" x14ac:dyDescent="0.25">
      <c r="A49" s="402" t="s">
        <v>74</v>
      </c>
      <c r="B49" s="403"/>
      <c r="C49" s="409">
        <v>4.0099999999999997E-2</v>
      </c>
      <c r="D49" s="410"/>
      <c r="E49" s="413" t="e">
        <f>#REF!</f>
        <v>#REF!</v>
      </c>
      <c r="F49" s="406"/>
      <c r="G49" s="407"/>
      <c r="H49" s="407"/>
    </row>
    <row r="50" spans="1:8" x14ac:dyDescent="0.25">
      <c r="A50" s="402" t="s">
        <v>241</v>
      </c>
      <c r="B50" s="403"/>
      <c r="C50" s="409"/>
      <c r="D50" s="410"/>
      <c r="E50" s="413">
        <f t="shared" ref="E50:E51" si="0">G46</f>
        <v>0</v>
      </c>
      <c r="F50" s="406"/>
      <c r="G50" s="407"/>
      <c r="H50" s="407"/>
    </row>
    <row r="51" spans="1:8" x14ac:dyDescent="0.25">
      <c r="A51" s="402" t="s">
        <v>242</v>
      </c>
      <c r="B51" s="403"/>
      <c r="C51" s="409"/>
      <c r="D51" s="410"/>
      <c r="E51" s="413">
        <f t="shared" si="0"/>
        <v>0</v>
      </c>
      <c r="F51" s="406"/>
      <c r="G51" s="407"/>
      <c r="H51" s="407"/>
    </row>
    <row r="52" spans="1:8" x14ac:dyDescent="0.25">
      <c r="A52" s="402" t="s">
        <v>243</v>
      </c>
      <c r="B52" s="403"/>
      <c r="C52" s="409"/>
      <c r="D52" s="410"/>
      <c r="E52" s="411"/>
      <c r="F52" s="406"/>
      <c r="G52" s="407"/>
      <c r="H52" s="407"/>
    </row>
    <row r="53" spans="1:8" x14ac:dyDescent="0.25">
      <c r="A53" s="397" t="s">
        <v>244</v>
      </c>
      <c r="B53" s="403"/>
      <c r="C53" s="414"/>
      <c r="D53" s="403"/>
      <c r="E53" s="412">
        <v>3.4500000000000003E-2</v>
      </c>
      <c r="F53" s="406"/>
      <c r="G53" s="407"/>
      <c r="H53" s="407"/>
    </row>
    <row r="54" spans="1:8" x14ac:dyDescent="0.25">
      <c r="A54" s="397" t="s">
        <v>245</v>
      </c>
      <c r="B54" s="403"/>
      <c r="C54" s="414"/>
      <c r="D54" s="403"/>
      <c r="E54" s="412">
        <v>4.2000000000000003E-2</v>
      </c>
      <c r="F54" s="406"/>
      <c r="G54" s="407"/>
      <c r="H54" s="407"/>
    </row>
    <row r="55" spans="1:8" x14ac:dyDescent="0.25">
      <c r="A55" s="402" t="s">
        <v>246</v>
      </c>
      <c r="B55" s="403"/>
      <c r="C55" s="416">
        <v>2.4000000000000001E-4</v>
      </c>
      <c r="D55" s="403"/>
      <c r="E55" s="417">
        <v>3.6000000000000002E-4</v>
      </c>
      <c r="F55" s="406"/>
      <c r="G55" s="407"/>
      <c r="H55" s="407"/>
    </row>
    <row r="56" spans="1:8" x14ac:dyDescent="0.25">
      <c r="A56" s="397" t="s">
        <v>247</v>
      </c>
      <c r="B56" s="403"/>
      <c r="C56" s="414"/>
      <c r="D56" s="403"/>
      <c r="E56" s="415"/>
      <c r="F56" s="418"/>
      <c r="G56" s="407"/>
      <c r="H56" s="407"/>
    </row>
    <row r="57" spans="1:8" x14ac:dyDescent="0.25">
      <c r="A57" s="397"/>
      <c r="B57" s="403"/>
      <c r="C57" s="403"/>
      <c r="D57" s="403"/>
      <c r="E57" s="415"/>
      <c r="F57" s="418"/>
      <c r="G57" s="407"/>
      <c r="H57" s="407"/>
    </row>
    <row r="58" spans="1:8" x14ac:dyDescent="0.25">
      <c r="A58" s="419" t="s">
        <v>248</v>
      </c>
      <c r="B58" s="403"/>
      <c r="C58" s="403"/>
      <c r="D58" s="403"/>
      <c r="E58" s="415"/>
      <c r="F58" s="418"/>
      <c r="G58" s="407"/>
      <c r="H58" s="407"/>
    </row>
    <row r="59" spans="1:8" ht="18" customHeight="1" x14ac:dyDescent="0.25">
      <c r="A59" s="402"/>
      <c r="B59" s="403"/>
      <c r="C59" s="416"/>
      <c r="D59" s="403"/>
      <c r="E59" s="415"/>
      <c r="F59" s="406"/>
      <c r="G59" s="407"/>
      <c r="H59" s="407"/>
    </row>
    <row r="60" spans="1:8" ht="18" customHeight="1" x14ac:dyDescent="0.25">
      <c r="A60" s="397" t="s">
        <v>249</v>
      </c>
      <c r="B60" s="403"/>
      <c r="C60" s="409">
        <v>6.8000000000000005E-2</v>
      </c>
      <c r="D60" s="410"/>
      <c r="E60" s="411"/>
      <c r="F60" s="406"/>
    </row>
    <row r="61" spans="1:8" ht="18" customHeight="1" x14ac:dyDescent="0.25">
      <c r="A61" s="320" t="s">
        <v>250</v>
      </c>
      <c r="B61" s="381"/>
      <c r="C61" s="420">
        <v>2.9000000000000001E-2</v>
      </c>
      <c r="D61" s="410"/>
      <c r="E61" s="411"/>
      <c r="F61" s="421"/>
    </row>
    <row r="62" spans="1:8" ht="18" customHeight="1" x14ac:dyDescent="0.25">
      <c r="A62" s="422" t="s">
        <v>251</v>
      </c>
      <c r="B62" s="381"/>
      <c r="C62" s="420"/>
      <c r="D62" s="317"/>
      <c r="E62" s="423"/>
      <c r="F62" s="421"/>
    </row>
    <row r="63" spans="1:8" ht="18" customHeight="1" x14ac:dyDescent="0.25">
      <c r="A63" s="315" t="s">
        <v>172</v>
      </c>
      <c r="B63" s="316"/>
      <c r="C63" s="316"/>
      <c r="D63" s="317"/>
      <c r="E63" s="316"/>
      <c r="F63" s="318"/>
    </row>
    <row r="64" spans="1:8" ht="18" customHeight="1" x14ac:dyDescent="0.25">
      <c r="A64" s="315"/>
      <c r="B64" s="316"/>
      <c r="C64" s="316"/>
      <c r="D64" s="316"/>
      <c r="E64" s="316"/>
      <c r="F64" s="319"/>
    </row>
    <row r="65" spans="1:15" ht="18" customHeight="1" x14ac:dyDescent="0.25">
      <c r="A65" s="320" t="s">
        <v>45</v>
      </c>
      <c r="B65" s="317"/>
      <c r="C65" s="321"/>
      <c r="D65" s="322"/>
      <c r="E65" s="322"/>
      <c r="F65" s="322"/>
    </row>
    <row r="66" spans="1:15" ht="18" customHeight="1" x14ac:dyDescent="0.25">
      <c r="A66" s="320"/>
      <c r="B66" s="317"/>
      <c r="C66" s="321"/>
      <c r="D66" s="322"/>
      <c r="E66" s="323"/>
      <c r="F66" s="324"/>
    </row>
    <row r="67" spans="1:15" x14ac:dyDescent="0.25">
      <c r="A67" s="325" t="s">
        <v>173</v>
      </c>
      <c r="B67" s="317"/>
      <c r="C67" s="321"/>
      <c r="D67" s="322"/>
      <c r="E67" s="323"/>
      <c r="F67" s="324"/>
    </row>
    <row r="68" spans="1:15" x14ac:dyDescent="0.25">
      <c r="A68" s="325" t="s">
        <v>174</v>
      </c>
      <c r="B68" s="317"/>
      <c r="C68" s="321"/>
      <c r="D68" s="322"/>
      <c r="E68" s="323"/>
      <c r="F68" s="324"/>
    </row>
    <row r="69" spans="1:15" x14ac:dyDescent="0.25">
      <c r="A69" s="325" t="s">
        <v>175</v>
      </c>
      <c r="B69" s="317"/>
      <c r="C69" s="321"/>
      <c r="D69" s="322"/>
      <c r="E69" s="323"/>
      <c r="F69" s="324"/>
    </row>
    <row r="70" spans="1:15" ht="15.75" customHeight="1" x14ac:dyDescent="0.25">
      <c r="A70" s="325" t="s">
        <v>176</v>
      </c>
      <c r="B70" s="326"/>
      <c r="C70" s="321"/>
      <c r="D70" s="322"/>
      <c r="E70" s="323"/>
      <c r="F70" s="324"/>
    </row>
    <row r="71" spans="1:15" x14ac:dyDescent="0.25">
      <c r="A71" s="325" t="s">
        <v>177</v>
      </c>
      <c r="B71" s="317"/>
      <c r="C71" s="321"/>
      <c r="D71" s="322"/>
      <c r="E71" s="323"/>
      <c r="F71" s="324"/>
    </row>
    <row r="72" spans="1:15" x14ac:dyDescent="0.25">
      <c r="A72" s="325"/>
      <c r="B72" s="317"/>
      <c r="C72" s="321"/>
      <c r="D72" s="322"/>
      <c r="E72" s="323"/>
      <c r="F72" s="324"/>
    </row>
    <row r="73" spans="1:15" ht="15.75" thickBot="1" x14ac:dyDescent="0.3">
      <c r="A73" s="320"/>
      <c r="B73" s="317"/>
      <c r="C73" s="321"/>
      <c r="D73" s="322"/>
      <c r="E73" s="323"/>
      <c r="F73" s="327"/>
    </row>
    <row r="74" spans="1:15" ht="15.75" thickBot="1" x14ac:dyDescent="0.3">
      <c r="A74" s="466" t="s">
        <v>170</v>
      </c>
      <c r="B74" s="467"/>
      <c r="C74" s="468"/>
      <c r="D74" s="469">
        <f>D37-D65</f>
        <v>0</v>
      </c>
      <c r="E74" s="470"/>
      <c r="F74" s="471"/>
    </row>
    <row r="75" spans="1:15" s="377" customFormat="1" x14ac:dyDescent="0.25">
      <c r="A75" s="472" t="s">
        <v>178</v>
      </c>
      <c r="B75" s="468"/>
      <c r="C75" s="473"/>
      <c r="D75" s="473"/>
      <c r="E75" s="474"/>
      <c r="F75" s="475"/>
      <c r="O75" s="361"/>
    </row>
    <row r="76" spans="1:15" s="377" customFormat="1" x14ac:dyDescent="0.25">
      <c r="A76" s="473" t="s">
        <v>171</v>
      </c>
      <c r="B76" s="473" t="s">
        <v>2</v>
      </c>
      <c r="C76" s="473" t="s">
        <v>179</v>
      </c>
      <c r="D76" s="476" t="s">
        <v>180</v>
      </c>
      <c r="E76" s="476"/>
      <c r="F76" s="477" t="s">
        <v>181</v>
      </c>
    </row>
    <row r="77" spans="1:15" s="377" customFormat="1" x14ac:dyDescent="0.25">
      <c r="A77" s="478" t="s">
        <v>182</v>
      </c>
      <c r="B77" s="479"/>
      <c r="C77" s="468"/>
      <c r="D77" s="480"/>
      <c r="E77" s="481"/>
      <c r="F77" s="482"/>
    </row>
    <row r="78" spans="1:15" s="377" customFormat="1" x14ac:dyDescent="0.25">
      <c r="A78" s="478" t="s">
        <v>183</v>
      </c>
      <c r="B78" s="483"/>
      <c r="C78" s="484"/>
      <c r="D78" s="480"/>
      <c r="E78" s="481"/>
      <c r="F78" s="482"/>
    </row>
    <row r="79" spans="1:15" s="377" customFormat="1" x14ac:dyDescent="0.25">
      <c r="A79" s="478" t="s">
        <v>184</v>
      </c>
      <c r="B79" s="479"/>
      <c r="C79" s="480"/>
      <c r="D79" s="468"/>
      <c r="E79" s="481"/>
      <c r="F79" s="482"/>
    </row>
    <row r="80" spans="1:15" s="377" customFormat="1" x14ac:dyDescent="0.25">
      <c r="A80" s="478"/>
      <c r="B80" s="479"/>
      <c r="C80" s="468"/>
      <c r="D80" s="468"/>
      <c r="E80" s="481"/>
      <c r="F80" s="485"/>
    </row>
    <row r="81" spans="1:6" s="377" customFormat="1" x14ac:dyDescent="0.25">
      <c r="A81" s="466" t="s">
        <v>185</v>
      </c>
      <c r="B81" s="468"/>
      <c r="C81" s="468"/>
      <c r="D81" s="480"/>
      <c r="E81" s="481"/>
      <c r="F81" s="482"/>
    </row>
    <row r="82" spans="1:6" s="377" customFormat="1" x14ac:dyDescent="0.25">
      <c r="A82" s="478" t="s">
        <v>186</v>
      </c>
      <c r="B82" s="468"/>
      <c r="C82" s="468"/>
      <c r="D82" s="468"/>
      <c r="E82" s="481"/>
      <c r="F82" s="482"/>
    </row>
    <row r="83" spans="1:6" s="377" customFormat="1" x14ac:dyDescent="0.25">
      <c r="A83" s="478" t="s">
        <v>187</v>
      </c>
      <c r="B83" s="486"/>
      <c r="C83" s="468"/>
      <c r="D83" s="468"/>
      <c r="E83" s="481"/>
      <c r="F83" s="482"/>
    </row>
    <row r="84" spans="1:6" s="377" customFormat="1" ht="15.75" thickBot="1" x14ac:dyDescent="0.3">
      <c r="A84" s="328" t="s">
        <v>188</v>
      </c>
      <c r="B84" s="329"/>
      <c r="C84" s="329"/>
      <c r="D84" s="329"/>
      <c r="E84" s="330"/>
      <c r="F84" s="331"/>
    </row>
    <row r="86" spans="1:6" hidden="1" x14ac:dyDescent="0.25"/>
    <row r="87" spans="1:6" hidden="1" x14ac:dyDescent="0.25">
      <c r="A87" s="600" t="s">
        <v>247</v>
      </c>
      <c r="B87" s="601"/>
    </row>
    <row r="88" spans="1:6" hidden="1" x14ac:dyDescent="0.25">
      <c r="A88" s="424"/>
      <c r="B88" s="425"/>
      <c r="C88" s="602">
        <f>D37</f>
        <v>0</v>
      </c>
      <c r="D88" s="426"/>
    </row>
    <row r="89" spans="1:6" hidden="1" x14ac:dyDescent="0.25">
      <c r="A89" s="427" t="s">
        <v>252</v>
      </c>
      <c r="B89" s="428" t="e">
        <f>IF(#REF!&gt;=11,#REF!,0)</f>
        <v>#REF!</v>
      </c>
      <c r="C89" s="603"/>
      <c r="D89" s="429" t="e">
        <f>$C$88*B89</f>
        <v>#REF!</v>
      </c>
    </row>
    <row r="90" spans="1:6" hidden="1" x14ac:dyDescent="0.25">
      <c r="A90" s="427" t="s">
        <v>253</v>
      </c>
      <c r="B90" s="428" t="e">
        <f>IF(#REF!&lt;50,0%,0.5%)</f>
        <v>#REF!</v>
      </c>
      <c r="C90" s="603"/>
      <c r="D90" s="429" t="e">
        <f t="shared" ref="D90:D95" si="1">$C$88*B90</f>
        <v>#REF!</v>
      </c>
    </row>
    <row r="91" spans="1:6" hidden="1" x14ac:dyDescent="0.25">
      <c r="A91" s="427" t="s">
        <v>254</v>
      </c>
      <c r="B91" s="428">
        <v>1.6000000000000001E-4</v>
      </c>
      <c r="C91" s="603"/>
      <c r="D91" s="429">
        <f t="shared" si="1"/>
        <v>0</v>
      </c>
    </row>
    <row r="92" spans="1:6" hidden="1" x14ac:dyDescent="0.25">
      <c r="A92" s="427" t="s">
        <v>255</v>
      </c>
      <c r="B92" s="428">
        <v>3.0000000000000001E-3</v>
      </c>
      <c r="C92" s="603"/>
      <c r="D92" s="429">
        <f t="shared" si="1"/>
        <v>0</v>
      </c>
    </row>
    <row r="93" spans="1:6" hidden="1" x14ac:dyDescent="0.25">
      <c r="A93" s="427" t="s">
        <v>256</v>
      </c>
      <c r="B93" s="428">
        <v>5.8999999999999999E-3</v>
      </c>
      <c r="C93" s="603"/>
      <c r="D93" s="429">
        <f t="shared" si="1"/>
        <v>0</v>
      </c>
    </row>
    <row r="94" spans="1:6" hidden="1" x14ac:dyDescent="0.25">
      <c r="A94" s="427" t="s">
        <v>257</v>
      </c>
      <c r="B94" s="428" t="e">
        <f>IF(#REF!&lt;11,0.55%,1%)</f>
        <v>#REF!</v>
      </c>
      <c r="C94" s="603"/>
      <c r="D94" s="429" t="e">
        <f t="shared" si="1"/>
        <v>#REF!</v>
      </c>
    </row>
    <row r="95" spans="1:6" hidden="1" x14ac:dyDescent="0.25">
      <c r="A95" s="427" t="s">
        <v>258</v>
      </c>
      <c r="B95" s="428" t="e">
        <f>IF(#REF!&lt;=50,0,0.45%)</f>
        <v>#REF!</v>
      </c>
      <c r="C95" s="603"/>
      <c r="D95" s="429" t="e">
        <f t="shared" si="1"/>
        <v>#REF!</v>
      </c>
    </row>
    <row r="96" spans="1:6" hidden="1" x14ac:dyDescent="0.25">
      <c r="A96" s="345"/>
      <c r="B96" s="373"/>
      <c r="C96" s="373"/>
      <c r="D96" s="347"/>
    </row>
    <row r="97" spans="1:4" hidden="1" x14ac:dyDescent="0.25">
      <c r="A97" s="345" t="s">
        <v>92</v>
      </c>
      <c r="B97" s="430" t="e">
        <f>IF(#REF!&gt;=11,+F38+F39+F40,0)</f>
        <v>#REF!</v>
      </c>
      <c r="C97" s="431">
        <v>0.08</v>
      </c>
      <c r="D97" s="432" t="e">
        <f>C97*B97</f>
        <v>#REF!</v>
      </c>
    </row>
    <row r="98" spans="1:4" ht="15.75" hidden="1" thickBot="1" x14ac:dyDescent="0.3">
      <c r="A98" s="348" t="s">
        <v>259</v>
      </c>
      <c r="B98" s="433">
        <f>D37</f>
        <v>0</v>
      </c>
      <c r="C98" s="434">
        <v>1E-3</v>
      </c>
      <c r="D98" s="435">
        <f>C98*B98</f>
        <v>0</v>
      </c>
    </row>
    <row r="99" spans="1:4" hidden="1" x14ac:dyDescent="0.25"/>
    <row r="100" spans="1:4" ht="15.75" hidden="1" thickBot="1" x14ac:dyDescent="0.3">
      <c r="A100" s="436" t="s">
        <v>260</v>
      </c>
      <c r="B100" s="437"/>
      <c r="C100" s="437"/>
      <c r="D100" s="438" t="e">
        <f>SUM(D89:D98)</f>
        <v>#REF!</v>
      </c>
    </row>
    <row r="101" spans="1:4" hidden="1" x14ac:dyDescent="0.25"/>
    <row r="102" spans="1:4" ht="15.75" hidden="1" thickBot="1" x14ac:dyDescent="0.3">
      <c r="A102" s="590" t="s">
        <v>261</v>
      </c>
      <c r="B102" s="591"/>
      <c r="C102" s="591"/>
      <c r="D102" s="592"/>
    </row>
    <row r="103" spans="1:4" hidden="1" x14ac:dyDescent="0.25">
      <c r="A103" s="439" t="s">
        <v>262</v>
      </c>
      <c r="B103" s="440">
        <f>D37</f>
        <v>0</v>
      </c>
      <c r="C103" s="441">
        <v>2.4E-2</v>
      </c>
      <c r="D103" s="442">
        <f>C103*B103</f>
        <v>0</v>
      </c>
    </row>
    <row r="104" spans="1:4" hidden="1" x14ac:dyDescent="0.25">
      <c r="A104" s="443" t="s">
        <v>50</v>
      </c>
      <c r="B104" s="440">
        <f>B103</f>
        <v>0</v>
      </c>
      <c r="C104" s="444">
        <v>7.4999999999999997E-3</v>
      </c>
      <c r="D104" s="445">
        <f>C104*B104</f>
        <v>0</v>
      </c>
    </row>
    <row r="105" spans="1:4" hidden="1" x14ac:dyDescent="0.25">
      <c r="A105" s="443" t="s">
        <v>263</v>
      </c>
      <c r="B105" s="440">
        <f>B60</f>
        <v>0</v>
      </c>
      <c r="C105" s="444">
        <v>-1.7000000000000001E-2</v>
      </c>
      <c r="D105" s="445">
        <f>C105*B105</f>
        <v>0</v>
      </c>
    </row>
    <row r="106" spans="1:4" hidden="1" x14ac:dyDescent="0.25">
      <c r="A106" s="320"/>
      <c r="B106" s="446"/>
      <c r="C106" s="447"/>
      <c r="D106" s="448"/>
    </row>
    <row r="107" spans="1:4" ht="15.75" hidden="1" thickBot="1" x14ac:dyDescent="0.3">
      <c r="A107" s="449" t="s">
        <v>264</v>
      </c>
      <c r="B107" s="450"/>
      <c r="C107" s="451"/>
      <c r="D107" s="452">
        <f>SUM(D103:D106)</f>
        <v>0</v>
      </c>
    </row>
    <row r="108" spans="1:4" hidden="1" x14ac:dyDescent="0.25">
      <c r="A108" s="453"/>
      <c r="B108" s="453"/>
      <c r="C108" s="453"/>
      <c r="D108" s="453"/>
    </row>
    <row r="109" spans="1:4" hidden="1" x14ac:dyDescent="0.25">
      <c r="A109" s="453"/>
      <c r="B109" s="453"/>
      <c r="C109" s="453"/>
      <c r="D109" s="453"/>
    </row>
    <row r="110" spans="1:4" ht="15.75" hidden="1" thickBot="1" x14ac:dyDescent="0.3">
      <c r="A110" s="590" t="s">
        <v>265</v>
      </c>
      <c r="B110" s="591"/>
      <c r="C110" s="591"/>
      <c r="D110" s="592"/>
    </row>
    <row r="111" spans="1:4" hidden="1" x14ac:dyDescent="0.25">
      <c r="A111" s="454" t="s">
        <v>266</v>
      </c>
      <c r="B111" s="455"/>
      <c r="C111" s="455"/>
      <c r="D111" s="456">
        <f>-F63</f>
        <v>0</v>
      </c>
    </row>
    <row r="112" spans="1:4" hidden="1" x14ac:dyDescent="0.25">
      <c r="A112" s="457" t="s">
        <v>267</v>
      </c>
      <c r="B112" s="458">
        <f>B62</f>
        <v>0</v>
      </c>
      <c r="C112" s="459">
        <v>1.5</v>
      </c>
      <c r="D112" s="382">
        <f>C112*B112</f>
        <v>0</v>
      </c>
    </row>
    <row r="113" spans="1:4" hidden="1" x14ac:dyDescent="0.25">
      <c r="A113" s="457" t="s">
        <v>268</v>
      </c>
      <c r="B113" s="460">
        <f>D37</f>
        <v>0</v>
      </c>
      <c r="C113" s="444">
        <v>1.7999999999999999E-2</v>
      </c>
      <c r="D113" s="382">
        <f>C113*B113</f>
        <v>0</v>
      </c>
    </row>
    <row r="114" spans="1:4" hidden="1" x14ac:dyDescent="0.25">
      <c r="A114" s="457" t="s">
        <v>269</v>
      </c>
      <c r="B114" s="460">
        <f>B113</f>
        <v>0</v>
      </c>
      <c r="C114" s="444">
        <v>0.06</v>
      </c>
      <c r="D114" s="382">
        <f>C114*B114</f>
        <v>0</v>
      </c>
    </row>
    <row r="115" spans="1:4" ht="15.75" hidden="1" thickBot="1" x14ac:dyDescent="0.3">
      <c r="A115" s="461" t="s">
        <v>270</v>
      </c>
      <c r="B115" s="462"/>
      <c r="C115" s="462"/>
      <c r="D115" s="463">
        <f>D111+D112+D113+D114</f>
        <v>0</v>
      </c>
    </row>
    <row r="116" spans="1:4" hidden="1" x14ac:dyDescent="0.25"/>
    <row r="117" spans="1:4" hidden="1" x14ac:dyDescent="0.25"/>
    <row r="118" spans="1:4" hidden="1" x14ac:dyDescent="0.25"/>
    <row r="119" spans="1:4" hidden="1" x14ac:dyDescent="0.25"/>
    <row r="121" spans="1:4" ht="15.75" thickBot="1" x14ac:dyDescent="0.3">
      <c r="A121" s="487" t="s">
        <v>178</v>
      </c>
    </row>
    <row r="122" spans="1:4" x14ac:dyDescent="0.25">
      <c r="A122" s="314" t="s">
        <v>273</v>
      </c>
      <c r="B122" s="490"/>
    </row>
    <row r="123" spans="1:4" x14ac:dyDescent="0.25">
      <c r="A123" s="313" t="s">
        <v>274</v>
      </c>
      <c r="B123" s="488"/>
    </row>
    <row r="124" spans="1:4" x14ac:dyDescent="0.25">
      <c r="A124" s="313" t="s">
        <v>275</v>
      </c>
      <c r="B124" s="488"/>
    </row>
    <row r="125" spans="1:4" ht="15.75" thickBot="1" x14ac:dyDescent="0.3">
      <c r="A125" s="312"/>
      <c r="B125" s="489"/>
    </row>
    <row r="127" spans="1:4" ht="15.75" thickBot="1" x14ac:dyDescent="0.3">
      <c r="A127" s="487" t="s">
        <v>186</v>
      </c>
    </row>
    <row r="128" spans="1:4" x14ac:dyDescent="0.25">
      <c r="A128" s="314" t="s">
        <v>272</v>
      </c>
      <c r="B128" s="567"/>
    </row>
    <row r="129" spans="1:4" x14ac:dyDescent="0.25">
      <c r="A129" s="313" t="s">
        <v>271</v>
      </c>
      <c r="B129" s="488"/>
    </row>
    <row r="130" spans="1:4" x14ac:dyDescent="0.25">
      <c r="A130" s="313" t="s">
        <v>276</v>
      </c>
      <c r="B130" s="488"/>
    </row>
    <row r="131" spans="1:4" ht="15.75" thickBot="1" x14ac:dyDescent="0.3">
      <c r="A131" s="312" t="s">
        <v>270</v>
      </c>
      <c r="B131" s="568"/>
    </row>
    <row r="133" spans="1:4" ht="15.75" thickBot="1" x14ac:dyDescent="0.3"/>
    <row r="134" spans="1:4" x14ac:dyDescent="0.25">
      <c r="A134" s="527" t="s">
        <v>247</v>
      </c>
      <c r="B134" s="529" t="s">
        <v>2</v>
      </c>
      <c r="C134" s="529" t="s">
        <v>179</v>
      </c>
      <c r="D134" s="530" t="s">
        <v>222</v>
      </c>
    </row>
    <row r="135" spans="1:4" ht="16.5" x14ac:dyDescent="0.25">
      <c r="A135" s="522" t="s">
        <v>277</v>
      </c>
      <c r="B135" s="595"/>
      <c r="C135" s="444">
        <v>1E-3</v>
      </c>
      <c r="D135" s="525"/>
    </row>
    <row r="136" spans="1:4" ht="16.5" x14ac:dyDescent="0.25">
      <c r="A136" s="522" t="s">
        <v>125</v>
      </c>
      <c r="B136" s="596"/>
      <c r="C136" s="528"/>
      <c r="D136" s="524"/>
    </row>
    <row r="137" spans="1:4" ht="16.5" x14ac:dyDescent="0.25">
      <c r="A137" s="522" t="s">
        <v>278</v>
      </c>
      <c r="B137" s="596"/>
      <c r="C137" s="444">
        <v>3.0000000000000001E-3</v>
      </c>
      <c r="D137" s="525"/>
    </row>
    <row r="138" spans="1:4" ht="16.5" x14ac:dyDescent="0.25">
      <c r="A138" s="522" t="s">
        <v>279</v>
      </c>
      <c r="B138" s="596"/>
      <c r="C138" s="444">
        <v>6.7999999999999996E-3</v>
      </c>
      <c r="D138" s="525"/>
    </row>
    <row r="139" spans="1:4" ht="16.5" x14ac:dyDescent="0.25">
      <c r="A139" s="522" t="s">
        <v>257</v>
      </c>
      <c r="B139" s="596"/>
      <c r="C139" s="444">
        <v>5.4999999999999997E-3</v>
      </c>
      <c r="D139" s="525"/>
    </row>
    <row r="140" spans="1:4" ht="16.5" x14ac:dyDescent="0.25">
      <c r="A140" s="522" t="s">
        <v>280</v>
      </c>
      <c r="B140" s="597"/>
      <c r="C140" s="570">
        <v>1.6000000000000001E-4</v>
      </c>
      <c r="D140" s="525"/>
    </row>
    <row r="141" spans="1:4" ht="16.5" x14ac:dyDescent="0.25">
      <c r="A141" s="522" t="s">
        <v>281</v>
      </c>
      <c r="B141" s="528"/>
      <c r="C141" s="528"/>
      <c r="D141" s="569"/>
    </row>
    <row r="142" spans="1:4" ht="16.5" x14ac:dyDescent="0.25">
      <c r="A142" s="522" t="s">
        <v>92</v>
      </c>
      <c r="B142" s="528"/>
      <c r="C142" s="528"/>
      <c r="D142" s="525"/>
    </row>
    <row r="143" spans="1:4" ht="16.5" x14ac:dyDescent="0.25">
      <c r="A143" s="522"/>
      <c r="B143" s="528"/>
      <c r="C143" s="528"/>
      <c r="D143" s="524"/>
    </row>
    <row r="144" spans="1:4" ht="17.25" thickBot="1" x14ac:dyDescent="0.3">
      <c r="A144" s="523" t="s">
        <v>76</v>
      </c>
      <c r="B144" s="386"/>
      <c r="C144" s="386"/>
      <c r="D144" s="526"/>
    </row>
    <row r="147" spans="1:8" ht="21.75" thickBot="1" x14ac:dyDescent="0.3">
      <c r="A147" s="593" t="s">
        <v>313</v>
      </c>
      <c r="B147" s="594"/>
      <c r="C147" s="594"/>
      <c r="D147" s="594"/>
      <c r="E147" s="594"/>
      <c r="F147" s="594"/>
      <c r="G147" s="594"/>
      <c r="H147" s="594"/>
    </row>
    <row r="148" spans="1:8" ht="15.75" thickBot="1" x14ac:dyDescent="0.3">
      <c r="A148" s="557" t="s">
        <v>314</v>
      </c>
      <c r="B148" s="558">
        <v>0.31950000000000001</v>
      </c>
      <c r="C148" s="279"/>
      <c r="D148" s="279"/>
      <c r="E148" s="279"/>
      <c r="F148" s="279"/>
      <c r="G148" s="279"/>
      <c r="H148" s="279"/>
    </row>
    <row r="149" spans="1:8" ht="15.75" thickBot="1" x14ac:dyDescent="0.3">
      <c r="A149" s="279"/>
      <c r="B149" s="279"/>
      <c r="C149" s="279"/>
      <c r="D149" s="279"/>
      <c r="E149" s="279"/>
      <c r="F149" s="279"/>
      <c r="G149" s="279"/>
      <c r="H149" s="279"/>
    </row>
    <row r="150" spans="1:8" ht="30" x14ac:dyDescent="0.25">
      <c r="A150" s="285" t="s">
        <v>284</v>
      </c>
      <c r="B150" s="277" t="s">
        <v>315</v>
      </c>
      <c r="C150" s="277" t="s">
        <v>316</v>
      </c>
      <c r="D150" s="547" t="s">
        <v>299</v>
      </c>
      <c r="E150" s="536" t="s">
        <v>317</v>
      </c>
      <c r="F150" s="536" t="s">
        <v>318</v>
      </c>
      <c r="G150" s="536" t="s">
        <v>319</v>
      </c>
      <c r="H150" s="536" t="s">
        <v>320</v>
      </c>
    </row>
    <row r="151" spans="1:8" x14ac:dyDescent="0.25">
      <c r="A151" s="538" t="s">
        <v>326</v>
      </c>
      <c r="B151" s="559"/>
      <c r="C151" s="560">
        <f>B151</f>
        <v>0</v>
      </c>
      <c r="D151" s="552"/>
      <c r="E151" s="559">
        <f>+D151</f>
        <v>0</v>
      </c>
      <c r="F151" s="280" t="e">
        <f>ROUND(($B$148/0.6)*((1.6*E151/C151)-1),4)</f>
        <v>#DIV/0!</v>
      </c>
      <c r="G151" s="560" t="e">
        <f>IF(F151&gt;0,F151*C151,0)</f>
        <v>#DIV/0!</v>
      </c>
      <c r="H151" s="561" t="e">
        <f>G151</f>
        <v>#DIV/0!</v>
      </c>
    </row>
    <row r="152" spans="1:8" x14ac:dyDescent="0.25">
      <c r="A152" s="538" t="s">
        <v>327</v>
      </c>
      <c r="B152" s="559"/>
      <c r="C152" s="560">
        <f>C151+B152</f>
        <v>0</v>
      </c>
      <c r="D152" s="552"/>
      <c r="E152" s="559">
        <f>E151+D152</f>
        <v>0</v>
      </c>
      <c r="F152" s="280" t="e">
        <f t="shared" ref="F152:F153" si="2">ROUND(($B$148/0.6)*((1.6*E152/C152)-1),4)</f>
        <v>#DIV/0!</v>
      </c>
      <c r="G152" s="560" t="e">
        <f t="shared" ref="G152:G153" si="3">IF(F152&gt;0,F152*C152,0)</f>
        <v>#DIV/0!</v>
      </c>
      <c r="H152" s="561" t="e">
        <f>G152-G151</f>
        <v>#DIV/0!</v>
      </c>
    </row>
    <row r="153" spans="1:8" x14ac:dyDescent="0.25">
      <c r="A153" s="538" t="s">
        <v>328</v>
      </c>
      <c r="B153" s="559"/>
      <c r="C153" s="560">
        <f t="shared" ref="C153" si="4">C152+B153</f>
        <v>0</v>
      </c>
      <c r="D153" s="571">
        <f>1603.12*B153/1900</f>
        <v>0</v>
      </c>
      <c r="E153" s="559">
        <f>E152+D153</f>
        <v>0</v>
      </c>
      <c r="F153" s="280" t="e">
        <f t="shared" si="2"/>
        <v>#DIV/0!</v>
      </c>
      <c r="G153" s="563" t="e">
        <f t="shared" si="3"/>
        <v>#DIV/0!</v>
      </c>
      <c r="H153" s="561" t="e">
        <f t="shared" ref="H153" si="5">G153-G152</f>
        <v>#DIV/0!</v>
      </c>
    </row>
  </sheetData>
  <mergeCells count="8">
    <mergeCell ref="A110:D110"/>
    <mergeCell ref="A147:H147"/>
    <mergeCell ref="B135:B140"/>
    <mergeCell ref="B17:C17"/>
    <mergeCell ref="A87:B87"/>
    <mergeCell ref="C88:C95"/>
    <mergeCell ref="A102:D102"/>
    <mergeCell ref="E17:F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1B83-C932-4D85-B8E6-45BA2FDA0141}">
  <sheetPr>
    <tabColor rgb="FFFF0000"/>
  </sheetPr>
  <dimension ref="A6:K56"/>
  <sheetViews>
    <sheetView topLeftCell="A31" zoomScaleNormal="100" workbookViewId="0">
      <selection activeCell="G40" sqref="G40:H43"/>
    </sheetView>
  </sheetViews>
  <sheetFormatPr baseColWidth="10" defaultRowHeight="15" x14ac:dyDescent="0.25"/>
  <cols>
    <col min="1" max="1" width="21.42578125" style="279" customWidth="1"/>
    <col min="2" max="2" width="13" style="279" bestFit="1" customWidth="1"/>
    <col min="3" max="3" width="12.7109375" style="279" bestFit="1" customWidth="1"/>
    <col min="4" max="5" width="16.85546875" style="279" bestFit="1" customWidth="1"/>
    <col min="6" max="6" width="12.42578125" style="279" bestFit="1" customWidth="1"/>
    <col min="7" max="7" width="12.85546875" style="279" customWidth="1"/>
    <col min="8" max="8" width="13" style="279" bestFit="1" customWidth="1"/>
    <col min="9" max="9" width="13.7109375" style="279" customWidth="1"/>
    <col min="10" max="10" width="14.42578125" style="279" customWidth="1"/>
    <col min="11" max="11" width="11.85546875" style="279" bestFit="1" customWidth="1"/>
    <col min="12" max="12" width="11.5703125" style="279" bestFit="1" customWidth="1"/>
    <col min="13" max="16384" width="11.42578125" style="279"/>
  </cols>
  <sheetData>
    <row r="6" spans="1:8" ht="23.25" x14ac:dyDescent="0.25">
      <c r="A6" s="531" t="s">
        <v>282</v>
      </c>
      <c r="B6" s="532"/>
      <c r="C6" s="532"/>
      <c r="D6" s="532"/>
      <c r="E6" s="532"/>
      <c r="F6" s="532"/>
      <c r="G6" s="532"/>
      <c r="H6" s="532"/>
    </row>
    <row r="8" spans="1:8" ht="18.75" x14ac:dyDescent="0.25">
      <c r="A8" s="533" t="s">
        <v>283</v>
      </c>
      <c r="D8" s="534">
        <v>3428</v>
      </c>
    </row>
    <row r="9" spans="1:8" ht="15.75" thickBot="1" x14ac:dyDescent="0.3"/>
    <row r="10" spans="1:8" ht="30" x14ac:dyDescent="0.25">
      <c r="A10" s="535" t="s">
        <v>284</v>
      </c>
      <c r="B10" s="277" t="s">
        <v>285</v>
      </c>
      <c r="C10" s="277" t="s">
        <v>286</v>
      </c>
      <c r="D10" s="277" t="s">
        <v>287</v>
      </c>
      <c r="E10" s="536" t="s">
        <v>288</v>
      </c>
      <c r="F10" s="536" t="s">
        <v>289</v>
      </c>
      <c r="G10" s="536" t="s">
        <v>290</v>
      </c>
      <c r="H10" s="537" t="s">
        <v>291</v>
      </c>
    </row>
    <row r="11" spans="1:8" x14ac:dyDescent="0.25">
      <c r="A11" s="538" t="s">
        <v>292</v>
      </c>
      <c r="B11" s="539"/>
      <c r="C11" s="540">
        <f>B11</f>
        <v>0</v>
      </c>
      <c r="D11" s="540">
        <v>3428</v>
      </c>
      <c r="E11" s="540">
        <f>D11</f>
        <v>3428</v>
      </c>
      <c r="F11" s="540">
        <f>MIN(C11,E11)</f>
        <v>0</v>
      </c>
      <c r="G11" s="540">
        <f>F11</f>
        <v>0</v>
      </c>
      <c r="H11" s="541">
        <f t="shared" ref="H11:H15" si="0">B11-G11</f>
        <v>0</v>
      </c>
    </row>
    <row r="12" spans="1:8" x14ac:dyDescent="0.25">
      <c r="A12" s="538" t="s">
        <v>293</v>
      </c>
      <c r="B12" s="539"/>
      <c r="C12" s="540">
        <f>C11+B12</f>
        <v>0</v>
      </c>
      <c r="D12" s="540">
        <v>3428</v>
      </c>
      <c r="E12" s="540">
        <f>E11+D12</f>
        <v>6856</v>
      </c>
      <c r="F12" s="542">
        <f t="shared" ref="F12:F15" si="1">MIN(C12,E12)</f>
        <v>0</v>
      </c>
      <c r="G12" s="543">
        <f>F12-F11</f>
        <v>0</v>
      </c>
      <c r="H12" s="541">
        <f>B12-G12</f>
        <v>0</v>
      </c>
    </row>
    <row r="13" spans="1:8" x14ac:dyDescent="0.25">
      <c r="A13" s="538" t="s">
        <v>294</v>
      </c>
      <c r="B13" s="539"/>
      <c r="C13" s="540">
        <f>C12+B13</f>
        <v>0</v>
      </c>
      <c r="D13" s="540">
        <v>3428</v>
      </c>
      <c r="E13" s="540">
        <f t="shared" ref="E13:E15" si="2">E12+D13</f>
        <v>10284</v>
      </c>
      <c r="F13" s="540">
        <f>MIN(C13,E13)</f>
        <v>0</v>
      </c>
      <c r="G13" s="540">
        <f>F13-F12</f>
        <v>0</v>
      </c>
      <c r="H13" s="541">
        <f t="shared" si="0"/>
        <v>0</v>
      </c>
    </row>
    <row r="14" spans="1:8" x14ac:dyDescent="0.25">
      <c r="A14" s="538" t="s">
        <v>295</v>
      </c>
      <c r="B14" s="539"/>
      <c r="C14" s="540">
        <f t="shared" ref="C14:C15" si="3">C13+B14</f>
        <v>0</v>
      </c>
      <c r="D14" s="540">
        <v>3428</v>
      </c>
      <c r="E14" s="540">
        <f t="shared" si="2"/>
        <v>13712</v>
      </c>
      <c r="F14" s="540">
        <f t="shared" si="1"/>
        <v>0</v>
      </c>
      <c r="G14" s="540">
        <f t="shared" ref="G14:G15" si="4">F14-F13</f>
        <v>0</v>
      </c>
      <c r="H14" s="541">
        <f t="shared" si="0"/>
        <v>0</v>
      </c>
    </row>
    <row r="15" spans="1:8" x14ac:dyDescent="0.25">
      <c r="A15" s="538" t="s">
        <v>296</v>
      </c>
      <c r="B15" s="539"/>
      <c r="C15" s="540">
        <f t="shared" si="3"/>
        <v>0</v>
      </c>
      <c r="D15" s="540">
        <v>3428</v>
      </c>
      <c r="E15" s="540">
        <f t="shared" si="2"/>
        <v>17140</v>
      </c>
      <c r="F15" s="540">
        <f t="shared" si="1"/>
        <v>0</v>
      </c>
      <c r="G15" s="540">
        <f t="shared" si="4"/>
        <v>0</v>
      </c>
      <c r="H15" s="541">
        <f t="shared" si="0"/>
        <v>0</v>
      </c>
    </row>
    <row r="17" spans="1:11" ht="23.25" x14ac:dyDescent="0.25">
      <c r="A17" s="544" t="s">
        <v>297</v>
      </c>
      <c r="B17" s="532"/>
      <c r="C17" s="532"/>
      <c r="D17" s="532"/>
      <c r="E17" s="532"/>
      <c r="F17" s="532"/>
      <c r="G17" s="532"/>
      <c r="H17" s="532"/>
    </row>
    <row r="19" spans="1:11" ht="15.75" thickBot="1" x14ac:dyDescent="0.3"/>
    <row r="20" spans="1:11" ht="45" x14ac:dyDescent="0.25">
      <c r="A20" s="545"/>
      <c r="B20" s="546" t="s">
        <v>285</v>
      </c>
      <c r="C20" s="546" t="s">
        <v>286</v>
      </c>
      <c r="D20" s="547" t="s">
        <v>298</v>
      </c>
      <c r="E20" s="547" t="s">
        <v>299</v>
      </c>
      <c r="F20" s="547" t="s">
        <v>300</v>
      </c>
      <c r="G20" s="547" t="s">
        <v>301</v>
      </c>
      <c r="H20" s="536" t="s">
        <v>302</v>
      </c>
      <c r="I20" s="547" t="s">
        <v>303</v>
      </c>
      <c r="J20" s="548" t="s">
        <v>304</v>
      </c>
      <c r="K20" s="549" t="s">
        <v>305</v>
      </c>
    </row>
    <row r="21" spans="1:11" x14ac:dyDescent="0.25">
      <c r="A21" s="538" t="s">
        <v>292</v>
      </c>
      <c r="B21" s="550"/>
      <c r="C21" s="550">
        <f>B21</f>
        <v>0</v>
      </c>
      <c r="D21" s="551">
        <f>+B21</f>
        <v>0</v>
      </c>
      <c r="E21" s="552">
        <v>1603.12</v>
      </c>
      <c r="F21" s="550">
        <f t="shared" ref="F21:F25" si="5">2.5*E21</f>
        <v>4007.7999999999997</v>
      </c>
      <c r="G21" s="550">
        <f>F21</f>
        <v>4007.7999999999997</v>
      </c>
      <c r="H21" s="553" t="str">
        <f t="shared" ref="H21:H25" si="6">IF(C21&gt;G21,"OUI","")</f>
        <v/>
      </c>
      <c r="I21" s="554">
        <f>IF(H21="OUI",C21,0)</f>
        <v>0</v>
      </c>
      <c r="J21" s="551">
        <f>I21</f>
        <v>0</v>
      </c>
      <c r="K21" s="555">
        <f>(D21*7%)+(J21*6%)</f>
        <v>0</v>
      </c>
    </row>
    <row r="22" spans="1:11" x14ac:dyDescent="0.25">
      <c r="A22" s="538" t="s">
        <v>293</v>
      </c>
      <c r="B22" s="550"/>
      <c r="C22" s="550">
        <f>C21+B22</f>
        <v>0</v>
      </c>
      <c r="D22" s="551">
        <f t="shared" ref="D22:D25" si="7">B22</f>
        <v>0</v>
      </c>
      <c r="E22" s="552">
        <v>1603.12</v>
      </c>
      <c r="F22" s="550">
        <f t="shared" si="5"/>
        <v>4007.7999999999997</v>
      </c>
      <c r="G22" s="550">
        <f t="shared" ref="G22:G25" si="8">G21+F22</f>
        <v>8015.5999999999995</v>
      </c>
      <c r="H22" s="553" t="str">
        <f>IF(C22&gt;G22,"OUI","")</f>
        <v/>
      </c>
      <c r="I22" s="554">
        <f>IF(H22="OUI",C22,0)</f>
        <v>0</v>
      </c>
      <c r="J22" s="551">
        <f t="shared" ref="J22:J25" si="9">I22-I21</f>
        <v>0</v>
      </c>
      <c r="K22" s="555">
        <f t="shared" ref="K22:K24" si="10">(D22*7%)+(J22*6%)</f>
        <v>0</v>
      </c>
    </row>
    <row r="23" spans="1:11" x14ac:dyDescent="0.25">
      <c r="A23" s="538" t="s">
        <v>294</v>
      </c>
      <c r="B23" s="550"/>
      <c r="C23" s="550">
        <f>C22+B23</f>
        <v>0</v>
      </c>
      <c r="D23" s="551">
        <f t="shared" si="7"/>
        <v>0</v>
      </c>
      <c r="E23" s="552">
        <v>1603.12</v>
      </c>
      <c r="F23" s="550">
        <f t="shared" si="5"/>
        <v>4007.7999999999997</v>
      </c>
      <c r="G23" s="550">
        <f t="shared" si="8"/>
        <v>12023.4</v>
      </c>
      <c r="H23" s="553" t="str">
        <f t="shared" si="6"/>
        <v/>
      </c>
      <c r="I23" s="554">
        <f t="shared" ref="I23:I25" si="11">IF(H23="OUI",C23,0)</f>
        <v>0</v>
      </c>
      <c r="J23" s="551">
        <f t="shared" si="9"/>
        <v>0</v>
      </c>
      <c r="K23" s="555">
        <f t="shared" si="10"/>
        <v>0</v>
      </c>
    </row>
    <row r="24" spans="1:11" x14ac:dyDescent="0.25">
      <c r="A24" s="538" t="s">
        <v>295</v>
      </c>
      <c r="B24" s="550"/>
      <c r="C24" s="550">
        <f>C23+B24</f>
        <v>0</v>
      </c>
      <c r="D24" s="551">
        <f t="shared" si="7"/>
        <v>0</v>
      </c>
      <c r="E24" s="552">
        <v>1603.12</v>
      </c>
      <c r="F24" s="550">
        <f t="shared" si="5"/>
        <v>4007.7999999999997</v>
      </c>
      <c r="G24" s="550">
        <f t="shared" si="8"/>
        <v>16031.199999999999</v>
      </c>
      <c r="H24" s="553" t="str">
        <f t="shared" si="6"/>
        <v/>
      </c>
      <c r="I24" s="554">
        <f t="shared" si="11"/>
        <v>0</v>
      </c>
      <c r="J24" s="551">
        <f t="shared" si="9"/>
        <v>0</v>
      </c>
      <c r="K24" s="555">
        <f t="shared" si="10"/>
        <v>0</v>
      </c>
    </row>
    <row r="25" spans="1:11" x14ac:dyDescent="0.25">
      <c r="A25" s="538" t="s">
        <v>296</v>
      </c>
      <c r="B25" s="550"/>
      <c r="C25" s="550">
        <f>C24+B25</f>
        <v>0</v>
      </c>
      <c r="D25" s="551">
        <f t="shared" si="7"/>
        <v>0</v>
      </c>
      <c r="E25" s="552">
        <v>1603.12</v>
      </c>
      <c r="F25" s="550">
        <f t="shared" si="5"/>
        <v>4007.7999999999997</v>
      </c>
      <c r="G25" s="550">
        <f t="shared" si="8"/>
        <v>20039</v>
      </c>
      <c r="H25" s="553" t="str">
        <f t="shared" si="6"/>
        <v/>
      </c>
      <c r="I25" s="554">
        <f t="shared" si="11"/>
        <v>0</v>
      </c>
      <c r="J25" s="551">
        <f t="shared" si="9"/>
        <v>0</v>
      </c>
      <c r="K25" s="555">
        <f>(J25*6%)+(D25*7%)</f>
        <v>0</v>
      </c>
    </row>
    <row r="27" spans="1:11" ht="23.25" x14ac:dyDescent="0.25">
      <c r="A27" s="544" t="s">
        <v>306</v>
      </c>
      <c r="B27" s="532"/>
      <c r="C27" s="532"/>
      <c r="D27" s="532"/>
      <c r="E27" s="532"/>
      <c r="F27" s="532"/>
      <c r="G27" s="532"/>
      <c r="H27" s="532"/>
    </row>
    <row r="29" spans="1:11" ht="15.75" thickBot="1" x14ac:dyDescent="0.3"/>
    <row r="30" spans="1:11" s="282" customFormat="1" ht="45" x14ac:dyDescent="0.25">
      <c r="A30" s="545"/>
      <c r="B30" s="546" t="s">
        <v>285</v>
      </c>
      <c r="C30" s="546" t="s">
        <v>286</v>
      </c>
      <c r="D30" s="547" t="s">
        <v>307</v>
      </c>
      <c r="E30" s="547" t="s">
        <v>299</v>
      </c>
      <c r="F30" s="547" t="s">
        <v>308</v>
      </c>
      <c r="G30" s="547" t="s">
        <v>309</v>
      </c>
      <c r="H30" s="536" t="s">
        <v>310</v>
      </c>
      <c r="I30" s="547" t="s">
        <v>311</v>
      </c>
      <c r="J30" s="548" t="s">
        <v>312</v>
      </c>
      <c r="K30" s="549" t="s">
        <v>305</v>
      </c>
    </row>
    <row r="31" spans="1:11" ht="21.75" customHeight="1" x14ac:dyDescent="0.25">
      <c r="A31" s="538" t="s">
        <v>292</v>
      </c>
      <c r="B31" s="550"/>
      <c r="C31" s="550">
        <f>B31</f>
        <v>0</v>
      </c>
      <c r="D31" s="551">
        <f>+B31</f>
        <v>0</v>
      </c>
      <c r="E31" s="552">
        <v>1603.12</v>
      </c>
      <c r="F31" s="550">
        <f>3.5*E31</f>
        <v>5610.92</v>
      </c>
      <c r="G31" s="550">
        <f>F31</f>
        <v>5610.92</v>
      </c>
      <c r="H31" s="553" t="str">
        <f>IF(C31&gt;G31,"OUI","")</f>
        <v/>
      </c>
      <c r="I31" s="554">
        <f>IF(H31="OUI",C31,0)</f>
        <v>0</v>
      </c>
      <c r="J31" s="551">
        <f>I31</f>
        <v>0</v>
      </c>
      <c r="K31" s="555">
        <f>(D31*7%)+(J31*6%)</f>
        <v>0</v>
      </c>
    </row>
    <row r="32" spans="1:11" ht="21.75" customHeight="1" x14ac:dyDescent="0.25">
      <c r="A32" s="538" t="s">
        <v>293</v>
      </c>
      <c r="B32" s="550"/>
      <c r="C32" s="550">
        <f>C31+B32</f>
        <v>0</v>
      </c>
      <c r="D32" s="551">
        <f t="shared" ref="D32:D35" si="12">B32</f>
        <v>0</v>
      </c>
      <c r="E32" s="552">
        <v>1603.12</v>
      </c>
      <c r="F32" s="550">
        <f t="shared" ref="F32:F35" si="13">3.5*E32</f>
        <v>5610.92</v>
      </c>
      <c r="G32" s="550">
        <f t="shared" ref="G32:G35" si="14">G31+F32</f>
        <v>11221.84</v>
      </c>
      <c r="H32" s="553" t="str">
        <f>IF(C32&gt;G32,"OUI","")</f>
        <v/>
      </c>
      <c r="I32" s="554">
        <f>IF(H32="OUI",C32,0)</f>
        <v>0</v>
      </c>
      <c r="J32" s="551">
        <f>I32-I31</f>
        <v>0</v>
      </c>
      <c r="K32" s="555">
        <f t="shared" ref="K32:K34" si="15">(D32*7%)+(J32*6%)</f>
        <v>0</v>
      </c>
    </row>
    <row r="33" spans="1:11" ht="21.75" customHeight="1" x14ac:dyDescent="0.25">
      <c r="A33" s="538" t="s">
        <v>294</v>
      </c>
      <c r="B33" s="550"/>
      <c r="C33" s="550">
        <f t="shared" ref="C33:C35" si="16">C32+B33</f>
        <v>0</v>
      </c>
      <c r="D33" s="551">
        <f t="shared" si="12"/>
        <v>0</v>
      </c>
      <c r="E33" s="552">
        <v>1603.12</v>
      </c>
      <c r="F33" s="550">
        <f t="shared" si="13"/>
        <v>5610.92</v>
      </c>
      <c r="G33" s="550">
        <f t="shared" si="14"/>
        <v>16832.760000000002</v>
      </c>
      <c r="H33" s="553" t="str">
        <f>IF(C33&gt;G33,"OUI","")</f>
        <v/>
      </c>
      <c r="I33" s="554">
        <f t="shared" ref="I33:I34" si="17">IF(H33="OUI",C33,0)</f>
        <v>0</v>
      </c>
      <c r="J33" s="551">
        <f t="shared" ref="J33:J34" si="18">I33-I32</f>
        <v>0</v>
      </c>
      <c r="K33" s="555">
        <f t="shared" si="15"/>
        <v>0</v>
      </c>
    </row>
    <row r="34" spans="1:11" ht="21.75" customHeight="1" x14ac:dyDescent="0.25">
      <c r="A34" s="538" t="s">
        <v>295</v>
      </c>
      <c r="B34" s="550"/>
      <c r="C34" s="550">
        <f t="shared" si="16"/>
        <v>0</v>
      </c>
      <c r="D34" s="551">
        <f t="shared" si="12"/>
        <v>0</v>
      </c>
      <c r="E34" s="552">
        <v>1603.12</v>
      </c>
      <c r="F34" s="550">
        <f t="shared" si="13"/>
        <v>5610.92</v>
      </c>
      <c r="G34" s="550">
        <f t="shared" si="14"/>
        <v>22443.68</v>
      </c>
      <c r="H34" s="553" t="str">
        <f>IF(C34&gt;G34,"OUI","")</f>
        <v/>
      </c>
      <c r="I34" s="554">
        <f t="shared" si="17"/>
        <v>0</v>
      </c>
      <c r="J34" s="551">
        <f t="shared" si="18"/>
        <v>0</v>
      </c>
      <c r="K34" s="555">
        <f t="shared" si="15"/>
        <v>0</v>
      </c>
    </row>
    <row r="35" spans="1:11" ht="21.75" customHeight="1" x14ac:dyDescent="0.25">
      <c r="A35" s="538" t="s">
        <v>296</v>
      </c>
      <c r="B35" s="550"/>
      <c r="C35" s="550">
        <f t="shared" si="16"/>
        <v>0</v>
      </c>
      <c r="D35" s="551">
        <f t="shared" si="12"/>
        <v>0</v>
      </c>
      <c r="E35" s="552">
        <v>1603.12</v>
      </c>
      <c r="F35" s="550">
        <f t="shared" si="13"/>
        <v>5610.92</v>
      </c>
      <c r="G35" s="550">
        <f t="shared" si="14"/>
        <v>28054.6</v>
      </c>
      <c r="H35" s="553" t="str">
        <f t="shared" ref="H35" si="19">IF(C35&gt;G35,"OUI","")</f>
        <v/>
      </c>
      <c r="I35" s="554">
        <f>IF(H35="OUI",C35,0)</f>
        <v>0</v>
      </c>
      <c r="J35" s="551">
        <f>I35-I34</f>
        <v>0</v>
      </c>
      <c r="K35" s="555">
        <f>(J35*6%)+(D35*7%)</f>
        <v>0</v>
      </c>
    </row>
    <row r="37" spans="1:11" ht="21.75" thickBot="1" x14ac:dyDescent="0.3">
      <c r="A37" s="593" t="s">
        <v>313</v>
      </c>
      <c r="B37" s="594"/>
      <c r="C37" s="594"/>
      <c r="D37" s="594"/>
      <c r="E37" s="594"/>
      <c r="F37" s="594"/>
      <c r="G37" s="594"/>
      <c r="H37" s="594"/>
      <c r="I37" s="556"/>
    </row>
    <row r="38" spans="1:11" ht="21" customHeight="1" thickBot="1" x14ac:dyDescent="0.3">
      <c r="A38" s="557" t="s">
        <v>314</v>
      </c>
      <c r="B38" s="558">
        <v>0.31950000000000001</v>
      </c>
    </row>
    <row r="39" spans="1:11" ht="15.75" thickBot="1" x14ac:dyDescent="0.3"/>
    <row r="40" spans="1:11" ht="30" x14ac:dyDescent="0.25">
      <c r="A40" s="285" t="s">
        <v>284</v>
      </c>
      <c r="B40" s="277" t="s">
        <v>315</v>
      </c>
      <c r="C40" s="277" t="s">
        <v>316</v>
      </c>
      <c r="D40" s="547" t="s">
        <v>299</v>
      </c>
      <c r="E40" s="536" t="s">
        <v>317</v>
      </c>
      <c r="F40" s="536" t="s">
        <v>318</v>
      </c>
      <c r="G40" s="536" t="s">
        <v>319</v>
      </c>
      <c r="H40" s="536" t="s">
        <v>320</v>
      </c>
      <c r="I40" s="278" t="s">
        <v>321</v>
      </c>
    </row>
    <row r="41" spans="1:11" ht="21" customHeight="1" x14ac:dyDescent="0.25">
      <c r="A41" s="538" t="s">
        <v>292</v>
      </c>
      <c r="B41" s="559"/>
      <c r="C41" s="560">
        <f>B41</f>
        <v>0</v>
      </c>
      <c r="D41" s="552">
        <v>1603.12</v>
      </c>
      <c r="E41" s="559">
        <f>+D41</f>
        <v>1603.12</v>
      </c>
      <c r="F41" s="280" t="e">
        <f>ROUND(($B$38/0.6)*((1.6*E41/C41)-1),4)</f>
        <v>#DIV/0!</v>
      </c>
      <c r="G41" s="560" t="e">
        <f>IF(F41&gt;0,F41*C41,0)</f>
        <v>#DIV/0!</v>
      </c>
      <c r="H41" s="561" t="e">
        <f>G41</f>
        <v>#DIV/0!</v>
      </c>
      <c r="I41" s="562" t="e">
        <f>IF(F41&gt;$B$38,"ERREUR","")</f>
        <v>#DIV/0!</v>
      </c>
    </row>
    <row r="42" spans="1:11" ht="21" customHeight="1" x14ac:dyDescent="0.25">
      <c r="A42" s="538" t="s">
        <v>293</v>
      </c>
      <c r="B42" s="559"/>
      <c r="C42" s="560">
        <f>C41+B42</f>
        <v>0</v>
      </c>
      <c r="D42" s="552">
        <v>1603.12</v>
      </c>
      <c r="E42" s="559">
        <f>D42+E41</f>
        <v>3206.24</v>
      </c>
      <c r="F42" s="280" t="e">
        <f>ROUND(($B$38/0.6)*((1.6*E42/C42)-1),4)</f>
        <v>#DIV/0!</v>
      </c>
      <c r="G42" s="560" t="e">
        <f t="shared" ref="G42:G45" si="20">IF(F42&gt;0,F42*C42,0)</f>
        <v>#DIV/0!</v>
      </c>
      <c r="H42" s="561" t="e">
        <f>G42-G41</f>
        <v>#DIV/0!</v>
      </c>
      <c r="I42" s="562" t="e">
        <f>IF(F42&gt;$B$38,"ERREUR","")</f>
        <v>#DIV/0!</v>
      </c>
    </row>
    <row r="43" spans="1:11" ht="21" customHeight="1" x14ac:dyDescent="0.25">
      <c r="A43" s="538" t="s">
        <v>294</v>
      </c>
      <c r="B43" s="559"/>
      <c r="C43" s="560">
        <f t="shared" ref="C43:C45" si="21">C42+B43</f>
        <v>0</v>
      </c>
      <c r="D43" s="552">
        <v>1603.12</v>
      </c>
      <c r="E43" s="559">
        <f t="shared" ref="E43:E45" si="22">D43+E42</f>
        <v>4809.3599999999997</v>
      </c>
      <c r="F43" s="280" t="e">
        <f>ROUND(($B$38/0.6)*((1.6*E43/C43)-1),4)</f>
        <v>#DIV/0!</v>
      </c>
      <c r="G43" s="563" t="e">
        <f t="shared" si="20"/>
        <v>#DIV/0!</v>
      </c>
      <c r="H43" s="561" t="e">
        <f t="shared" ref="H43:H45" si="23">G43-G42</f>
        <v>#DIV/0!</v>
      </c>
      <c r="I43" s="562" t="e">
        <f>IF(F43&gt;$B$38,"ERREUR","")</f>
        <v>#DIV/0!</v>
      </c>
    </row>
    <row r="44" spans="1:11" ht="21" customHeight="1" x14ac:dyDescent="0.25">
      <c r="A44" s="538" t="s">
        <v>295</v>
      </c>
      <c r="B44" s="559"/>
      <c r="C44" s="560">
        <f t="shared" si="21"/>
        <v>0</v>
      </c>
      <c r="D44" s="552">
        <v>1603.12</v>
      </c>
      <c r="E44" s="559">
        <f t="shared" si="22"/>
        <v>6412.48</v>
      </c>
      <c r="F44" s="280" t="e">
        <f>ROUND(($B$38/0.6)*((1.6*E44/C44)-1),4)</f>
        <v>#DIV/0!</v>
      </c>
      <c r="G44" s="560" t="e">
        <f t="shared" si="20"/>
        <v>#DIV/0!</v>
      </c>
      <c r="H44" s="561" t="e">
        <f t="shared" si="23"/>
        <v>#DIV/0!</v>
      </c>
      <c r="I44" s="562" t="e">
        <f>IF(F44&gt;$B$38,"ERREUR","")</f>
        <v>#DIV/0!</v>
      </c>
    </row>
    <row r="45" spans="1:11" ht="21" customHeight="1" x14ac:dyDescent="0.25">
      <c r="A45" s="538" t="s">
        <v>296</v>
      </c>
      <c r="B45" s="559"/>
      <c r="C45" s="560">
        <f t="shared" si="21"/>
        <v>0</v>
      </c>
      <c r="D45" s="552">
        <v>1603.12</v>
      </c>
      <c r="E45" s="559">
        <f t="shared" si="22"/>
        <v>8015.5999999999995</v>
      </c>
      <c r="F45" s="280" t="e">
        <f>ROUND(($B$38/0.6)*((1.6*E45/C45)-1),4)</f>
        <v>#DIV/0!</v>
      </c>
      <c r="G45" s="560" t="e">
        <f t="shared" si="20"/>
        <v>#DIV/0!</v>
      </c>
      <c r="H45" s="561" t="e">
        <f t="shared" si="23"/>
        <v>#DIV/0!</v>
      </c>
      <c r="I45" s="562" t="e">
        <f>IF(F45&gt;$B$38,"ERREUR","")</f>
        <v>#DIV/0!</v>
      </c>
    </row>
    <row r="47" spans="1:11" ht="23.25" x14ac:dyDescent="0.25">
      <c r="A47" s="531" t="s">
        <v>322</v>
      </c>
      <c r="B47" s="532"/>
      <c r="C47" s="532"/>
      <c r="D47" s="532"/>
      <c r="E47" s="532"/>
      <c r="F47" s="532"/>
    </row>
    <row r="49" spans="1:8" ht="18.75" x14ac:dyDescent="0.25">
      <c r="A49" s="533" t="s">
        <v>283</v>
      </c>
      <c r="D49" s="534">
        <v>3428</v>
      </c>
    </row>
    <row r="50" spans="1:8" ht="15.75" thickBot="1" x14ac:dyDescent="0.3"/>
    <row r="51" spans="1:8" ht="30" x14ac:dyDescent="0.25">
      <c r="A51" s="535" t="s">
        <v>284</v>
      </c>
      <c r="B51" s="277" t="s">
        <v>285</v>
      </c>
      <c r="C51" s="277" t="s">
        <v>286</v>
      </c>
      <c r="D51" s="277" t="s">
        <v>287</v>
      </c>
      <c r="E51" s="536" t="s">
        <v>288</v>
      </c>
      <c r="F51" s="277" t="s">
        <v>323</v>
      </c>
      <c r="G51" s="536" t="s">
        <v>324</v>
      </c>
      <c r="H51" s="537" t="s">
        <v>325</v>
      </c>
    </row>
    <row r="52" spans="1:8" ht="19.5" customHeight="1" x14ac:dyDescent="0.25">
      <c r="A52" s="538" t="s">
        <v>292</v>
      </c>
      <c r="B52" s="287"/>
      <c r="C52" s="564">
        <f>B52</f>
        <v>0</v>
      </c>
      <c r="D52" s="540">
        <v>3428</v>
      </c>
      <c r="E52" s="564">
        <f>D52</f>
        <v>3428</v>
      </c>
      <c r="F52" s="565" t="str">
        <f>IF(E52&gt;C52,"","OUI")</f>
        <v/>
      </c>
      <c r="G52" s="551">
        <f t="shared" ref="G52:G56" si="24">IF(C52&gt;E52,C52,0)</f>
        <v>0</v>
      </c>
      <c r="H52" s="566">
        <f>G52</f>
        <v>0</v>
      </c>
    </row>
    <row r="53" spans="1:8" ht="19.5" customHeight="1" x14ac:dyDescent="0.25">
      <c r="A53" s="538" t="s">
        <v>293</v>
      </c>
      <c r="B53" s="287"/>
      <c r="C53" s="564">
        <f>C52+B53</f>
        <v>0</v>
      </c>
      <c r="D53" s="540">
        <v>3428</v>
      </c>
      <c r="E53" s="564">
        <f>E52+D53</f>
        <v>6856</v>
      </c>
      <c r="F53" s="565" t="str">
        <f t="shared" ref="F53:F56" si="25">IF(E53&gt;C53,"","OUI")</f>
        <v/>
      </c>
      <c r="G53" s="551">
        <f t="shared" si="24"/>
        <v>0</v>
      </c>
      <c r="H53" s="566">
        <f>G53-G52</f>
        <v>0</v>
      </c>
    </row>
    <row r="54" spans="1:8" ht="19.5" customHeight="1" x14ac:dyDescent="0.25">
      <c r="A54" s="538" t="s">
        <v>294</v>
      </c>
      <c r="B54" s="287"/>
      <c r="C54" s="564">
        <f>C53+B54</f>
        <v>0</v>
      </c>
      <c r="D54" s="540">
        <v>3428</v>
      </c>
      <c r="E54" s="564">
        <f t="shared" ref="E54:E56" si="26">E53+D54</f>
        <v>10284</v>
      </c>
      <c r="F54" s="565" t="str">
        <f t="shared" si="25"/>
        <v/>
      </c>
      <c r="G54" s="551">
        <f t="shared" si="24"/>
        <v>0</v>
      </c>
      <c r="H54" s="566">
        <f t="shared" ref="H54:H56" si="27">G54-G53</f>
        <v>0</v>
      </c>
    </row>
    <row r="55" spans="1:8" ht="19.5" customHeight="1" x14ac:dyDescent="0.25">
      <c r="A55" s="538" t="s">
        <v>295</v>
      </c>
      <c r="B55" s="287"/>
      <c r="C55" s="564">
        <f t="shared" ref="C55:C56" si="28">C54+B55</f>
        <v>0</v>
      </c>
      <c r="D55" s="540">
        <v>3428</v>
      </c>
      <c r="E55" s="564">
        <f t="shared" si="26"/>
        <v>13712</v>
      </c>
      <c r="F55" s="565" t="str">
        <f t="shared" si="25"/>
        <v/>
      </c>
      <c r="G55" s="551">
        <f t="shared" si="24"/>
        <v>0</v>
      </c>
      <c r="H55" s="566">
        <f t="shared" si="27"/>
        <v>0</v>
      </c>
    </row>
    <row r="56" spans="1:8" ht="19.5" customHeight="1" x14ac:dyDescent="0.25">
      <c r="A56" s="538" t="s">
        <v>296</v>
      </c>
      <c r="B56" s="287"/>
      <c r="C56" s="564">
        <f t="shared" si="28"/>
        <v>0</v>
      </c>
      <c r="D56" s="540">
        <v>3428</v>
      </c>
      <c r="E56" s="564">
        <f t="shared" si="26"/>
        <v>17140</v>
      </c>
      <c r="F56" s="565" t="str">
        <f t="shared" si="25"/>
        <v/>
      </c>
      <c r="G56" s="551">
        <f t="shared" si="24"/>
        <v>0</v>
      </c>
      <c r="H56" s="566">
        <f t="shared" si="27"/>
        <v>0</v>
      </c>
    </row>
  </sheetData>
  <mergeCells count="1">
    <mergeCell ref="A37:H3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D3E6-8600-47A9-ADA1-261F0959D747}">
  <dimension ref="A5:L57"/>
  <sheetViews>
    <sheetView topLeftCell="A16" zoomScale="90" zoomScaleNormal="90" workbookViewId="0">
      <selection activeCell="L36" sqref="L36"/>
    </sheetView>
  </sheetViews>
  <sheetFormatPr baseColWidth="10" defaultColWidth="13.28515625" defaultRowHeight="12" x14ac:dyDescent="0.25"/>
  <cols>
    <col min="1" max="1" width="41" style="1" customWidth="1"/>
    <col min="2" max="6" width="13.28515625" style="1"/>
    <col min="7" max="7" width="5.85546875" style="1" customWidth="1"/>
    <col min="8" max="8" width="50.7109375" style="75" customWidth="1"/>
    <col min="9" max="12" width="13.28515625" style="75"/>
    <col min="13" max="16384" width="13.28515625" style="1"/>
  </cols>
  <sheetData>
    <row r="5" spans="1:12" ht="27" customHeight="1" x14ac:dyDescent="0.3">
      <c r="A5" s="604" t="s">
        <v>129</v>
      </c>
      <c r="B5" s="605"/>
      <c r="C5" s="605"/>
      <c r="D5" s="605"/>
      <c r="E5" s="605"/>
      <c r="H5" s="606" t="s">
        <v>106</v>
      </c>
      <c r="I5" s="606"/>
      <c r="J5" s="606"/>
      <c r="K5" s="606"/>
      <c r="L5" s="606"/>
    </row>
    <row r="6" spans="1:12" ht="15" customHeight="1" thickBot="1" x14ac:dyDescent="0.25">
      <c r="A6" s="152"/>
      <c r="B6" s="153"/>
      <c r="C6" s="153"/>
      <c r="D6" s="153"/>
      <c r="E6" s="153"/>
      <c r="F6" s="153"/>
      <c r="J6" s="76"/>
      <c r="K6" s="76"/>
      <c r="L6" s="76"/>
    </row>
    <row r="7" spans="1:12" ht="25.5" customHeight="1" thickBot="1" x14ac:dyDescent="0.3">
      <c r="A7" s="617" t="s">
        <v>118</v>
      </c>
      <c r="B7" s="578" t="s">
        <v>2</v>
      </c>
      <c r="C7" s="578" t="s">
        <v>3</v>
      </c>
      <c r="D7" s="578" t="s">
        <v>4</v>
      </c>
      <c r="E7" s="578" t="s">
        <v>5</v>
      </c>
      <c r="F7" s="580" t="s">
        <v>6</v>
      </c>
      <c r="H7" s="77" t="s">
        <v>1</v>
      </c>
      <c r="I7" s="78">
        <v>8500</v>
      </c>
    </row>
    <row r="8" spans="1:12" ht="15" customHeight="1" x14ac:dyDescent="0.25">
      <c r="A8" s="618"/>
      <c r="B8" s="579"/>
      <c r="C8" s="579"/>
      <c r="D8" s="579"/>
      <c r="E8" s="579"/>
      <c r="F8" s="581"/>
      <c r="H8" s="613"/>
      <c r="I8" s="615" t="s">
        <v>2</v>
      </c>
      <c r="J8" s="615" t="s">
        <v>3</v>
      </c>
      <c r="K8" s="615" t="s">
        <v>4</v>
      </c>
      <c r="L8" s="607" t="s">
        <v>6</v>
      </c>
    </row>
    <row r="9" spans="1:12" ht="15" customHeight="1" x14ac:dyDescent="0.25">
      <c r="A9" s="3" t="s">
        <v>50</v>
      </c>
      <c r="B9" s="5">
        <v>7000</v>
      </c>
      <c r="C9" s="18"/>
      <c r="D9" s="5">
        <f>B9*C9</f>
        <v>0</v>
      </c>
      <c r="E9" s="18">
        <v>0.13</v>
      </c>
      <c r="F9" s="19">
        <f>B9*E9</f>
        <v>910</v>
      </c>
      <c r="H9" s="614"/>
      <c r="I9" s="616"/>
      <c r="J9" s="616"/>
      <c r="K9" s="616"/>
      <c r="L9" s="608"/>
    </row>
    <row r="10" spans="1:12" ht="15" customHeight="1" x14ac:dyDescent="0.25">
      <c r="A10" s="3" t="s">
        <v>51</v>
      </c>
      <c r="B10" s="5">
        <v>3311</v>
      </c>
      <c r="C10" s="18">
        <v>6.9000000000000006E-2</v>
      </c>
      <c r="D10" s="5">
        <f>B10*C10</f>
        <v>228.45900000000003</v>
      </c>
      <c r="E10" s="18">
        <v>8.5500000000000007E-2</v>
      </c>
      <c r="F10" s="19">
        <f t="shared" ref="F10:F17" si="0">B10*E10</f>
        <v>283.09050000000002</v>
      </c>
      <c r="H10" s="92" t="s">
        <v>23</v>
      </c>
      <c r="I10" s="228"/>
      <c r="J10" s="229"/>
      <c r="K10" s="230"/>
      <c r="L10" s="231"/>
    </row>
    <row r="11" spans="1:12" ht="15" customHeight="1" x14ac:dyDescent="0.25">
      <c r="A11" s="3" t="s">
        <v>51</v>
      </c>
      <c r="B11" s="5">
        <v>7000</v>
      </c>
      <c r="C11" s="18">
        <v>4.0000000000000001E-3</v>
      </c>
      <c r="D11" s="5">
        <f>B11*C11</f>
        <v>28</v>
      </c>
      <c r="E11" s="18">
        <v>1.9E-2</v>
      </c>
      <c r="F11" s="19">
        <f t="shared" si="0"/>
        <v>133</v>
      </c>
      <c r="H11" s="82" t="s">
        <v>24</v>
      </c>
      <c r="I11" s="83"/>
      <c r="J11" s="84"/>
      <c r="K11" s="83"/>
      <c r="L11" s="88">
        <f>F9</f>
        <v>910</v>
      </c>
    </row>
    <row r="12" spans="1:12" ht="15" customHeight="1" x14ac:dyDescent="0.25">
      <c r="A12" s="3" t="s">
        <v>125</v>
      </c>
      <c r="B12" s="5">
        <v>7000</v>
      </c>
      <c r="C12" s="20"/>
      <c r="D12" s="21"/>
      <c r="E12" s="144">
        <v>0.01</v>
      </c>
      <c r="F12" s="19">
        <f t="shared" si="0"/>
        <v>70</v>
      </c>
      <c r="H12" s="82" t="s">
        <v>25</v>
      </c>
      <c r="I12" s="83">
        <v>3311</v>
      </c>
      <c r="J12" s="84">
        <f>C35</f>
        <v>4.1999999999999997E-3</v>
      </c>
      <c r="K12" s="83">
        <f>J12*I12</f>
        <v>13.906199999999998</v>
      </c>
      <c r="L12" s="88">
        <f>F36</f>
        <v>62.908999999999999</v>
      </c>
    </row>
    <row r="13" spans="1:12" ht="15" customHeight="1" x14ac:dyDescent="0.25">
      <c r="A13" s="3" t="s">
        <v>53</v>
      </c>
      <c r="B13" s="5">
        <v>7000</v>
      </c>
      <c r="C13" s="20"/>
      <c r="D13" s="21"/>
      <c r="E13" s="18">
        <v>3.4500000000000003E-2</v>
      </c>
      <c r="F13" s="19">
        <f t="shared" si="0"/>
        <v>241.50000000000003</v>
      </c>
      <c r="H13" s="51" t="s">
        <v>26</v>
      </c>
      <c r="I13" s="87"/>
      <c r="J13" s="84"/>
      <c r="K13" s="83"/>
      <c r="L13" s="249">
        <f>F35</f>
        <v>26.488</v>
      </c>
    </row>
    <row r="14" spans="1:12" ht="15" customHeight="1" x14ac:dyDescent="0.25">
      <c r="A14" s="3"/>
      <c r="B14" s="5"/>
      <c r="C14" s="20"/>
      <c r="D14" s="21"/>
      <c r="E14" s="18"/>
      <c r="F14" s="19"/>
      <c r="H14" s="92" t="s">
        <v>27</v>
      </c>
      <c r="I14" s="83"/>
      <c r="J14" s="89"/>
      <c r="K14" s="83"/>
      <c r="L14" s="88">
        <v>136</v>
      </c>
    </row>
    <row r="15" spans="1:12" ht="15" customHeight="1" x14ac:dyDescent="0.25">
      <c r="A15" s="3" t="s">
        <v>54</v>
      </c>
      <c r="B15" s="5">
        <v>7000</v>
      </c>
      <c r="C15" s="20"/>
      <c r="D15" s="21"/>
      <c r="E15" s="18">
        <v>5.0000000000000001E-3</v>
      </c>
      <c r="F15" s="19">
        <f t="shared" si="0"/>
        <v>35</v>
      </c>
      <c r="H15" s="92" t="s">
        <v>8</v>
      </c>
      <c r="I15" s="228"/>
      <c r="J15" s="229"/>
      <c r="K15" s="83"/>
      <c r="L15" s="231"/>
    </row>
    <row r="16" spans="1:12" ht="15" customHeight="1" x14ac:dyDescent="0.25">
      <c r="A16" s="3" t="s">
        <v>56</v>
      </c>
      <c r="B16" s="5"/>
      <c r="C16" s="20"/>
      <c r="D16" s="21"/>
      <c r="E16" s="18"/>
      <c r="F16" s="19">
        <f>L14</f>
        <v>136</v>
      </c>
      <c r="H16" s="82" t="s">
        <v>28</v>
      </c>
      <c r="I16" s="83">
        <v>3311</v>
      </c>
      <c r="J16" s="84">
        <f>C10</f>
        <v>6.9000000000000006E-2</v>
      </c>
      <c r="K16" s="83">
        <f>J16*I16</f>
        <v>228.45900000000003</v>
      </c>
      <c r="L16" s="88">
        <f>F10</f>
        <v>283.09050000000002</v>
      </c>
    </row>
    <row r="17" spans="1:12" ht="15" customHeight="1" x14ac:dyDescent="0.25">
      <c r="A17" s="3" t="s">
        <v>126</v>
      </c>
      <c r="B17" s="5">
        <v>7000</v>
      </c>
      <c r="C17" s="20"/>
      <c r="D17" s="21"/>
      <c r="E17" s="18">
        <v>3.0000000000000001E-3</v>
      </c>
      <c r="F17" s="19">
        <f t="shared" si="0"/>
        <v>21</v>
      </c>
      <c r="H17" s="82" t="s">
        <v>29</v>
      </c>
      <c r="I17" s="83">
        <v>7000</v>
      </c>
      <c r="J17" s="84">
        <f>C11</f>
        <v>4.0000000000000001E-3</v>
      </c>
      <c r="K17" s="83">
        <f>J17*I17</f>
        <v>28</v>
      </c>
      <c r="L17" s="88">
        <f>F11</f>
        <v>133</v>
      </c>
    </row>
    <row r="18" spans="1:12" ht="15" customHeight="1" x14ac:dyDescent="0.25">
      <c r="A18" s="3" t="s">
        <v>92</v>
      </c>
      <c r="B18" s="5">
        <f>F35+F36</f>
        <v>89.396999999999991</v>
      </c>
      <c r="C18" s="20"/>
      <c r="D18" s="21"/>
      <c r="E18" s="18">
        <v>0.08</v>
      </c>
      <c r="F18" s="19">
        <f>E18*B18</f>
        <v>7.1517599999999995</v>
      </c>
      <c r="H18" s="82" t="s">
        <v>30</v>
      </c>
      <c r="I18" s="83">
        <v>3311</v>
      </c>
      <c r="J18" s="253">
        <f>C27+C28+C32</f>
        <v>4.0300000000000002E-2</v>
      </c>
      <c r="K18" s="83">
        <f>J18*I18</f>
        <v>133.4333</v>
      </c>
      <c r="L18" s="85">
        <f>F27+F28+F32</f>
        <v>200.9777</v>
      </c>
    </row>
    <row r="19" spans="1:12" ht="15" customHeight="1" x14ac:dyDescent="0.25">
      <c r="A19" s="3" t="s">
        <v>9</v>
      </c>
      <c r="B19" s="5">
        <f>7000*98.25/100</f>
        <v>6877.5</v>
      </c>
      <c r="C19" s="18">
        <v>2.4E-2</v>
      </c>
      <c r="D19" s="5">
        <f>B19*C19</f>
        <v>165.06</v>
      </c>
      <c r="E19" s="20"/>
      <c r="F19" s="19"/>
      <c r="H19" s="51" t="s">
        <v>31</v>
      </c>
      <c r="I19" s="83"/>
      <c r="J19" s="91"/>
      <c r="K19" s="83"/>
      <c r="L19" s="88"/>
    </row>
    <row r="20" spans="1:12" ht="15" customHeight="1" x14ac:dyDescent="0.25">
      <c r="A20" s="3" t="s">
        <v>10</v>
      </c>
      <c r="B20" s="5">
        <f t="shared" ref="B20:B21" si="1">7000*98.25/100</f>
        <v>6877.5</v>
      </c>
      <c r="C20" s="18">
        <v>6.8000000000000005E-2</v>
      </c>
      <c r="D20" s="5">
        <f>B20*C20</f>
        <v>467.67</v>
      </c>
      <c r="E20" s="20"/>
      <c r="F20" s="19"/>
      <c r="H20" s="82" t="s">
        <v>32</v>
      </c>
      <c r="I20" s="83">
        <f>7000-3311</f>
        <v>3689</v>
      </c>
      <c r="J20" s="254">
        <f>C31+C29+C33</f>
        <v>8.829999999999999E-2</v>
      </c>
      <c r="K20" s="83">
        <f>J20*I20</f>
        <v>325.73869999999994</v>
      </c>
      <c r="L20" s="85">
        <f>F31+F29+F33</f>
        <v>526.42030000000011</v>
      </c>
    </row>
    <row r="21" spans="1:12" ht="15" customHeight="1" x14ac:dyDescent="0.25">
      <c r="A21" s="3" t="s">
        <v>11</v>
      </c>
      <c r="B21" s="5">
        <f t="shared" si="1"/>
        <v>6877.5</v>
      </c>
      <c r="C21" s="18">
        <v>5.0000000000000001E-3</v>
      </c>
      <c r="D21" s="5">
        <f>B21*C21</f>
        <v>34.387500000000003</v>
      </c>
      <c r="E21" s="20"/>
      <c r="F21" s="19"/>
      <c r="H21" s="82" t="s">
        <v>33</v>
      </c>
      <c r="I21" s="83"/>
      <c r="J21" s="91"/>
      <c r="K21" s="83"/>
      <c r="L21" s="88"/>
    </row>
    <row r="22" spans="1:12" ht="15" customHeight="1" x14ac:dyDescent="0.25">
      <c r="A22" s="3" t="s">
        <v>12</v>
      </c>
      <c r="B22" s="5">
        <v>7000</v>
      </c>
      <c r="C22" s="4"/>
      <c r="D22" s="5"/>
      <c r="E22" s="154">
        <v>1.6000000000000001E-4</v>
      </c>
      <c r="F22" s="19">
        <f>B22*E22</f>
        <v>1.1200000000000001</v>
      </c>
      <c r="H22" s="82" t="s">
        <v>34</v>
      </c>
      <c r="I22" s="83"/>
      <c r="J22" s="91"/>
      <c r="K22" s="83"/>
      <c r="L22" s="88"/>
    </row>
    <row r="23" spans="1:12" ht="15" customHeight="1" x14ac:dyDescent="0.25">
      <c r="A23" s="16" t="s">
        <v>14</v>
      </c>
      <c r="B23" s="17"/>
      <c r="C23" s="20"/>
      <c r="D23" s="20"/>
      <c r="E23" s="20"/>
      <c r="F23" s="19"/>
      <c r="H23" s="92" t="s">
        <v>35</v>
      </c>
      <c r="I23" s="93"/>
      <c r="J23" s="91"/>
      <c r="K23" s="83"/>
      <c r="L23" s="88">
        <f>F13+F14</f>
        <v>241.50000000000003</v>
      </c>
    </row>
    <row r="24" spans="1:12" ht="15" customHeight="1" x14ac:dyDescent="0.25">
      <c r="A24" s="3" t="s">
        <v>127</v>
      </c>
      <c r="B24" s="5">
        <v>7000</v>
      </c>
      <c r="C24" s="18">
        <v>9.4999999999999998E-3</v>
      </c>
      <c r="D24" s="5">
        <f>B24*C24</f>
        <v>66.5</v>
      </c>
      <c r="E24" s="18">
        <v>4.0500000000000001E-2</v>
      </c>
      <c r="F24" s="262">
        <f>B24*E24</f>
        <v>283.5</v>
      </c>
      <c r="H24" s="92" t="s">
        <v>37</v>
      </c>
      <c r="I24" s="228"/>
      <c r="J24" s="250"/>
      <c r="K24" s="83"/>
      <c r="L24" s="251"/>
    </row>
    <row r="25" spans="1:12" ht="15" customHeight="1" x14ac:dyDescent="0.25">
      <c r="A25" s="3" t="s">
        <v>128</v>
      </c>
      <c r="B25" s="5">
        <v>7000</v>
      </c>
      <c r="C25" s="20"/>
      <c r="D25" s="21"/>
      <c r="E25" s="18">
        <v>1.5E-3</v>
      </c>
      <c r="F25" s="262">
        <f>B25*E25</f>
        <v>10.5</v>
      </c>
      <c r="H25" s="3" t="s">
        <v>7</v>
      </c>
      <c r="I25" s="83">
        <v>7000</v>
      </c>
      <c r="J25" s="84">
        <f>C24</f>
        <v>9.4999999999999998E-3</v>
      </c>
      <c r="K25" s="83">
        <f>J25*I25</f>
        <v>66.5</v>
      </c>
      <c r="L25" s="221">
        <f>F24+F25</f>
        <v>294</v>
      </c>
    </row>
    <row r="26" spans="1:12" ht="15" customHeight="1" x14ac:dyDescent="0.25">
      <c r="A26" s="16" t="s">
        <v>15</v>
      </c>
      <c r="B26" s="21"/>
      <c r="C26" s="20"/>
      <c r="D26" s="21"/>
      <c r="E26" s="20"/>
      <c r="F26" s="19"/>
      <c r="H26" s="3" t="s">
        <v>38</v>
      </c>
      <c r="I26" s="83">
        <v>7000</v>
      </c>
      <c r="J26" s="98">
        <f>C34</f>
        <v>2.4000000000000001E-4</v>
      </c>
      <c r="K26" s="83">
        <f>J26*I26</f>
        <v>1.68</v>
      </c>
      <c r="L26" s="222">
        <f>F34</f>
        <v>2.52</v>
      </c>
    </row>
    <row r="27" spans="1:12" ht="15" customHeight="1" x14ac:dyDescent="0.25">
      <c r="A27" s="3" t="s">
        <v>8</v>
      </c>
      <c r="B27" s="5">
        <v>3311</v>
      </c>
      <c r="C27" s="18">
        <v>3.1E-2</v>
      </c>
      <c r="D27" s="5">
        <f>B27*C27</f>
        <v>102.64100000000001</v>
      </c>
      <c r="E27" s="18">
        <v>4.65E-2</v>
      </c>
      <c r="F27" s="19">
        <f>B27*E27</f>
        <v>153.9615</v>
      </c>
      <c r="H27" s="92" t="s">
        <v>39</v>
      </c>
      <c r="I27" s="83"/>
      <c r="J27" s="91"/>
      <c r="K27" s="83"/>
      <c r="L27" s="85">
        <f>F12+F15+F17+F22+F42+F43+F44+F18</f>
        <v>283.37175999999999</v>
      </c>
    </row>
    <row r="28" spans="1:12" ht="15" customHeight="1" x14ac:dyDescent="0.25">
      <c r="A28" s="3" t="s">
        <v>95</v>
      </c>
      <c r="B28" s="5">
        <v>3311</v>
      </c>
      <c r="C28" s="18">
        <v>8.0000000000000002E-3</v>
      </c>
      <c r="D28" s="5">
        <f>B28*C28</f>
        <v>26.488</v>
      </c>
      <c r="E28" s="18">
        <v>1.2E-2</v>
      </c>
      <c r="F28" s="19">
        <f>B28*E28</f>
        <v>39.731999999999999</v>
      </c>
      <c r="H28" s="92" t="s">
        <v>41</v>
      </c>
      <c r="I28" s="93"/>
      <c r="J28" s="91"/>
      <c r="K28" s="83"/>
      <c r="L28" s="88"/>
    </row>
    <row r="29" spans="1:12" ht="14.25" customHeight="1" x14ac:dyDescent="0.25">
      <c r="A29" s="3" t="s">
        <v>95</v>
      </c>
      <c r="B29" s="5">
        <f>7000-3311</f>
        <v>3689</v>
      </c>
      <c r="C29" s="18">
        <v>8.9999999999999993E-3</v>
      </c>
      <c r="D29" s="5">
        <f>B29*C29</f>
        <v>33.201000000000001</v>
      </c>
      <c r="E29" s="18">
        <v>1.2999999999999999E-2</v>
      </c>
      <c r="F29" s="19">
        <f>B29*E29</f>
        <v>47.957000000000001</v>
      </c>
      <c r="H29" s="23" t="s">
        <v>42</v>
      </c>
      <c r="I29" s="83">
        <f>B19+B37</f>
        <v>6965.7960924999998</v>
      </c>
      <c r="J29" s="2">
        <f>C37</f>
        <v>6.8000000000000005E-2</v>
      </c>
      <c r="K29" s="83">
        <f>J29*I29</f>
        <v>473.67413429000004</v>
      </c>
      <c r="L29" s="99"/>
    </row>
    <row r="30" spans="1:12" ht="14.25" customHeight="1" x14ac:dyDescent="0.25">
      <c r="A30" s="16" t="s">
        <v>16</v>
      </c>
      <c r="B30" s="21"/>
      <c r="C30" s="20"/>
      <c r="D30" s="21"/>
      <c r="E30" s="21"/>
      <c r="F30" s="263"/>
      <c r="H30" s="23" t="s">
        <v>43</v>
      </c>
      <c r="I30" s="83">
        <f t="shared" ref="I30" si="2">B20+B38</f>
        <v>6965.7960924999998</v>
      </c>
      <c r="J30" s="2">
        <f>C38+C39</f>
        <v>2.9000000000000001E-2</v>
      </c>
      <c r="K30" s="83">
        <f>J30*I30</f>
        <v>202.00808668249999</v>
      </c>
      <c r="L30" s="99"/>
    </row>
    <row r="31" spans="1:12" ht="14.25" customHeight="1" x14ac:dyDescent="0.25">
      <c r="A31" s="3" t="s">
        <v>133</v>
      </c>
      <c r="B31" s="5">
        <f>B29</f>
        <v>3689</v>
      </c>
      <c r="C31" s="18">
        <v>7.8E-2</v>
      </c>
      <c r="D31" s="264">
        <f>B31*C31</f>
        <v>287.74200000000002</v>
      </c>
      <c r="E31" s="125">
        <v>0.1275</v>
      </c>
      <c r="F31" s="19">
        <f t="shared" ref="F31:F36" si="3">E31*B31</f>
        <v>470.34750000000003</v>
      </c>
      <c r="H31" s="92" t="s">
        <v>44</v>
      </c>
      <c r="I31" s="83"/>
      <c r="J31" s="101"/>
      <c r="K31" s="83"/>
      <c r="L31" s="102"/>
    </row>
    <row r="32" spans="1:12" ht="14.25" customHeight="1" thickBot="1" x14ac:dyDescent="0.3">
      <c r="A32" s="3" t="s">
        <v>134</v>
      </c>
      <c r="B32" s="5">
        <v>3311</v>
      </c>
      <c r="C32" s="18">
        <v>1.2999999999999999E-3</v>
      </c>
      <c r="D32" s="264">
        <f>B32*C32</f>
        <v>4.3042999999999996</v>
      </c>
      <c r="E32" s="125">
        <v>2.2000000000000001E-3</v>
      </c>
      <c r="F32" s="19">
        <f t="shared" si="3"/>
        <v>7.2842000000000002</v>
      </c>
      <c r="H32" s="92" t="s">
        <v>45</v>
      </c>
      <c r="I32" s="104"/>
      <c r="J32" s="80"/>
      <c r="K32" s="157">
        <f>SUM(K12:K30)</f>
        <v>1473.3994209725001</v>
      </c>
      <c r="L32" s="157">
        <f>SUM(L9:L30)</f>
        <v>3100.2772599999998</v>
      </c>
    </row>
    <row r="33" spans="1:12" ht="14.25" customHeight="1" x14ac:dyDescent="0.25">
      <c r="A33" s="3" t="s">
        <v>134</v>
      </c>
      <c r="B33" s="5">
        <f>7000-3311</f>
        <v>3689</v>
      </c>
      <c r="C33" s="18">
        <v>1.2999999999999999E-3</v>
      </c>
      <c r="D33" s="264">
        <f>B33*C33</f>
        <v>4.7957000000000001</v>
      </c>
      <c r="E33" s="125">
        <v>2.2000000000000001E-3</v>
      </c>
      <c r="F33" s="19">
        <f t="shared" si="3"/>
        <v>8.1158000000000001</v>
      </c>
      <c r="K33" s="609" t="s">
        <v>46</v>
      </c>
      <c r="L33" s="610"/>
    </row>
    <row r="34" spans="1:12" ht="14.25" customHeight="1" x14ac:dyDescent="0.25">
      <c r="A34" s="3" t="s">
        <v>137</v>
      </c>
      <c r="B34" s="5">
        <v>7000</v>
      </c>
      <c r="C34" s="154">
        <v>2.4000000000000001E-4</v>
      </c>
      <c r="D34" s="264">
        <f>B34*C34</f>
        <v>1.68</v>
      </c>
      <c r="E34" s="265">
        <v>3.6000000000000002E-4</v>
      </c>
      <c r="F34" s="266">
        <f t="shared" si="3"/>
        <v>2.52</v>
      </c>
      <c r="H34" s="109"/>
      <c r="I34" s="109"/>
      <c r="J34" s="110"/>
      <c r="K34" s="611">
        <f>I7-K32</f>
        <v>7026.6005790274994</v>
      </c>
      <c r="L34" s="612"/>
    </row>
    <row r="35" spans="1:12" ht="36" customHeight="1" x14ac:dyDescent="0.25">
      <c r="A35" s="3" t="s">
        <v>130</v>
      </c>
      <c r="B35" s="264">
        <v>3311</v>
      </c>
      <c r="C35" s="18">
        <v>4.1999999999999997E-3</v>
      </c>
      <c r="D35" s="264">
        <f>B35*C35</f>
        <v>13.906199999999998</v>
      </c>
      <c r="E35" s="267">
        <v>8.0000000000000002E-3</v>
      </c>
      <c r="F35" s="266">
        <f t="shared" si="3"/>
        <v>26.488</v>
      </c>
      <c r="H35" s="123"/>
      <c r="I35" s="115"/>
      <c r="J35" s="110"/>
      <c r="K35" s="158" t="s">
        <v>47</v>
      </c>
      <c r="L35" s="159" t="s">
        <v>48</v>
      </c>
    </row>
    <row r="36" spans="1:12" ht="28.5" customHeight="1" thickBot="1" x14ac:dyDescent="0.3">
      <c r="A36" s="3" t="s">
        <v>136</v>
      </c>
      <c r="B36" s="5">
        <v>3311</v>
      </c>
      <c r="C36" s="20"/>
      <c r="D36" s="264"/>
      <c r="E36" s="267">
        <v>1.9E-2</v>
      </c>
      <c r="F36" s="19">
        <f t="shared" si="3"/>
        <v>62.908999999999999</v>
      </c>
      <c r="J36" s="110"/>
      <c r="K36" s="160">
        <f>I7+L32</f>
        <v>11600.277259999999</v>
      </c>
      <c r="L36" s="161">
        <f>7000*1.8%</f>
        <v>126.00000000000001</v>
      </c>
    </row>
    <row r="37" spans="1:12" ht="22.5" customHeight="1" x14ac:dyDescent="0.25">
      <c r="A37" s="3" t="s">
        <v>131</v>
      </c>
      <c r="B37" s="264">
        <f>+F35+F36*0.9825</f>
        <v>88.2960925</v>
      </c>
      <c r="C37" s="18">
        <v>6.8000000000000005E-2</v>
      </c>
      <c r="D37" s="268">
        <f>C37*B37</f>
        <v>6.0041342900000005</v>
      </c>
      <c r="E37" s="21"/>
      <c r="F37" s="263"/>
      <c r="H37" s="172"/>
      <c r="I37" s="109"/>
      <c r="J37" s="110"/>
      <c r="K37" s="114"/>
      <c r="L37" s="109"/>
    </row>
    <row r="38" spans="1:12" ht="21.75" customHeight="1" x14ac:dyDescent="0.25">
      <c r="A38" s="3" t="s">
        <v>132</v>
      </c>
      <c r="B38" s="264">
        <f>B37</f>
        <v>88.2960925</v>
      </c>
      <c r="C38" s="18">
        <v>2.4E-2</v>
      </c>
      <c r="D38" s="268">
        <f>C38*B38</f>
        <v>2.1191062199999999</v>
      </c>
      <c r="E38" s="21"/>
      <c r="F38" s="263"/>
      <c r="H38" s="171"/>
      <c r="I38" s="114"/>
      <c r="J38" s="110"/>
      <c r="K38" s="114"/>
      <c r="L38" s="109"/>
    </row>
    <row r="39" spans="1:12" ht="14.25" customHeight="1" x14ac:dyDescent="0.25">
      <c r="A39" s="3" t="s">
        <v>18</v>
      </c>
      <c r="B39" s="264">
        <f>B38</f>
        <v>88.2960925</v>
      </c>
      <c r="C39" s="18">
        <v>5.0000000000000001E-3</v>
      </c>
      <c r="D39" s="268">
        <f>C39*B39</f>
        <v>0.4414804625</v>
      </c>
      <c r="E39" s="21"/>
      <c r="F39" s="263"/>
      <c r="H39" s="93"/>
      <c r="I39" s="124"/>
      <c r="J39" s="124"/>
    </row>
    <row r="40" spans="1:12" ht="14.25" customHeight="1" x14ac:dyDescent="0.25">
      <c r="A40" s="269"/>
      <c r="B40" s="21"/>
      <c r="C40" s="20"/>
      <c r="D40" s="270"/>
      <c r="E40" s="21"/>
      <c r="F40" s="263"/>
      <c r="H40" s="117"/>
      <c r="I40" s="117"/>
      <c r="J40" s="116"/>
      <c r="K40" s="117"/>
      <c r="L40" s="117"/>
    </row>
    <row r="41" spans="1:12" ht="14.25" customHeight="1" x14ac:dyDescent="0.25">
      <c r="A41" s="271" t="s">
        <v>19</v>
      </c>
      <c r="B41" s="21"/>
      <c r="C41" s="20"/>
      <c r="D41" s="270"/>
      <c r="E41" s="21"/>
      <c r="F41" s="263"/>
      <c r="H41" s="173"/>
      <c r="I41" s="116"/>
      <c r="J41" s="116"/>
      <c r="K41" s="116"/>
      <c r="L41" s="116"/>
    </row>
    <row r="42" spans="1:12" ht="14.25" customHeight="1" x14ac:dyDescent="0.25">
      <c r="A42" s="51" t="s">
        <v>20</v>
      </c>
      <c r="B42" s="270">
        <v>7000</v>
      </c>
      <c r="C42" s="20"/>
      <c r="D42" s="270"/>
      <c r="E42" s="125">
        <v>6.7999999999999996E-3</v>
      </c>
      <c r="F42" s="272">
        <f>E42*B42</f>
        <v>47.599999999999994</v>
      </c>
      <c r="H42" s="116"/>
      <c r="I42" s="116"/>
      <c r="J42" s="116"/>
      <c r="K42" s="116"/>
      <c r="L42" s="116"/>
    </row>
    <row r="43" spans="1:12" ht="14.25" customHeight="1" x14ac:dyDescent="0.25">
      <c r="A43" s="51" t="s">
        <v>21</v>
      </c>
      <c r="B43" s="270">
        <v>7000</v>
      </c>
      <c r="C43" s="20"/>
      <c r="D43" s="270"/>
      <c r="E43" s="125">
        <v>0.01</v>
      </c>
      <c r="F43" s="272">
        <f>E43*B43</f>
        <v>70</v>
      </c>
      <c r="H43" s="116"/>
      <c r="I43" s="116"/>
      <c r="J43" s="116"/>
      <c r="K43" s="116"/>
      <c r="L43" s="116"/>
    </row>
    <row r="44" spans="1:12" ht="14.25" customHeight="1" x14ac:dyDescent="0.25">
      <c r="A44" s="51" t="s">
        <v>169</v>
      </c>
      <c r="B44" s="270">
        <v>7000</v>
      </c>
      <c r="C44" s="20"/>
      <c r="D44" s="270"/>
      <c r="E44" s="125">
        <v>4.4999999999999997E-3</v>
      </c>
      <c r="F44" s="272">
        <f>E44*B44</f>
        <v>31.499999999999996</v>
      </c>
      <c r="H44" s="116"/>
      <c r="I44" s="116"/>
      <c r="J44" s="116"/>
      <c r="K44" s="116"/>
      <c r="L44" s="116"/>
    </row>
    <row r="45" spans="1:12" ht="14.25" customHeight="1" thickBot="1" x14ac:dyDescent="0.3">
      <c r="A45" s="273" t="s">
        <v>22</v>
      </c>
      <c r="B45" s="27"/>
      <c r="C45" s="31"/>
      <c r="D45" s="274">
        <f>SUM(D9:D44)</f>
        <v>1473.3994209725001</v>
      </c>
      <c r="E45" s="275"/>
      <c r="F45" s="276">
        <f>SUM(F9:F44)</f>
        <v>3100.2772599999994</v>
      </c>
      <c r="H45" s="116"/>
      <c r="I45" s="116"/>
      <c r="J45" s="116"/>
      <c r="K45" s="116"/>
      <c r="L45" s="116"/>
    </row>
    <row r="46" spans="1:12" ht="14.25" customHeight="1" x14ac:dyDescent="0.2">
      <c r="A46" s="9"/>
      <c r="B46" s="156"/>
      <c r="C46" s="156"/>
      <c r="D46" s="156"/>
      <c r="E46" s="156"/>
      <c r="F46" s="156"/>
    </row>
    <row r="47" spans="1:12" ht="14.25" customHeight="1" x14ac:dyDescent="0.25">
      <c r="A47" s="9"/>
      <c r="B47" s="9"/>
      <c r="C47" s="9"/>
      <c r="D47" s="10"/>
      <c r="E47" s="9"/>
      <c r="F47" s="10"/>
    </row>
    <row r="48" spans="1:12" ht="14.25" customHeight="1" x14ac:dyDescent="0.25">
      <c r="A48" s="9"/>
      <c r="B48" s="9"/>
      <c r="C48" s="9"/>
      <c r="D48" s="9"/>
      <c r="E48" s="9"/>
      <c r="F48" s="9"/>
    </row>
    <row r="49" spans="1:7" ht="14.25" customHeight="1" x14ac:dyDescent="0.25">
      <c r="A49" s="9"/>
      <c r="B49" s="9"/>
      <c r="C49" s="9"/>
      <c r="D49" s="9"/>
      <c r="E49" s="9"/>
      <c r="F49" s="9"/>
    </row>
    <row r="50" spans="1:7" ht="14.25" customHeight="1" x14ac:dyDescent="0.25">
      <c r="A50" s="9"/>
      <c r="B50" s="9"/>
      <c r="C50" s="9"/>
      <c r="D50" s="9"/>
      <c r="E50" s="9"/>
      <c r="F50" s="9"/>
    </row>
    <row r="51" spans="1:7" ht="14.25" customHeight="1" x14ac:dyDescent="0.25">
      <c r="A51" s="9"/>
      <c r="B51" s="9"/>
      <c r="C51" s="9"/>
      <c r="D51" s="9"/>
      <c r="E51" s="9"/>
      <c r="F51" s="9"/>
      <c r="G51" s="155"/>
    </row>
    <row r="52" spans="1:7" ht="14.25" customHeight="1" x14ac:dyDescent="0.25">
      <c r="A52" s="9"/>
      <c r="B52" s="9"/>
      <c r="C52" s="9"/>
      <c r="D52" s="9"/>
      <c r="E52" s="9"/>
      <c r="F52" s="9"/>
    </row>
    <row r="53" spans="1:7" ht="14.25" customHeight="1" x14ac:dyDescent="0.25">
      <c r="A53" s="9"/>
      <c r="B53" s="9"/>
      <c r="C53" s="9"/>
      <c r="D53" s="9"/>
      <c r="E53" s="9"/>
      <c r="F53" s="9"/>
    </row>
    <row r="54" spans="1:7" ht="14.25" customHeight="1" x14ac:dyDescent="0.25">
      <c r="A54" s="9"/>
      <c r="B54" s="9"/>
      <c r="C54" s="9"/>
      <c r="D54" s="9"/>
      <c r="E54" s="9"/>
      <c r="F54" s="9"/>
    </row>
    <row r="55" spans="1:7" ht="24" customHeight="1" x14ac:dyDescent="0.25"/>
    <row r="56" spans="1:7" ht="24" customHeight="1" x14ac:dyDescent="0.25"/>
    <row r="57" spans="1:7" ht="24" customHeight="1" x14ac:dyDescent="0.25"/>
  </sheetData>
  <mergeCells count="15">
    <mergeCell ref="A5:E5"/>
    <mergeCell ref="H5:L5"/>
    <mergeCell ref="L8:L9"/>
    <mergeCell ref="K33:L33"/>
    <mergeCell ref="K34:L34"/>
    <mergeCell ref="F7:F8"/>
    <mergeCell ref="H8:H9"/>
    <mergeCell ref="I8:I9"/>
    <mergeCell ref="J8:J9"/>
    <mergeCell ref="K8:K9"/>
    <mergeCell ref="A7:A8"/>
    <mergeCell ref="B7:B8"/>
    <mergeCell ref="C7:C8"/>
    <mergeCell ref="D7:D8"/>
    <mergeCell ref="E7:E8"/>
  </mergeCells>
  <pageMargins left="0" right="0" top="0" bottom="0" header="0" footer="0"/>
  <pageSetup paperSize="9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35C7-2DFA-4FCC-BBF8-9B2A097C6347}">
  <dimension ref="A1:I45"/>
  <sheetViews>
    <sheetView workbookViewId="0">
      <selection sqref="A1:E1048576"/>
    </sheetView>
  </sheetViews>
  <sheetFormatPr baseColWidth="10" defaultRowHeight="12" x14ac:dyDescent="0.25"/>
  <cols>
    <col min="1" max="1" width="46.28515625" style="75" customWidth="1"/>
    <col min="2" max="2" width="16" style="75" customWidth="1"/>
    <col min="3" max="3" width="14.140625" style="75" customWidth="1"/>
    <col min="4" max="4" width="14.7109375" style="75" customWidth="1"/>
    <col min="5" max="5" width="13.85546875" style="75" customWidth="1"/>
    <col min="6" max="6" width="21.7109375" style="75" customWidth="1"/>
    <col min="7" max="8" width="0" style="75" hidden="1" customWidth="1"/>
    <col min="9" max="9" width="14.28515625" style="75" hidden="1" customWidth="1"/>
    <col min="10" max="16384" width="11.42578125" style="75"/>
  </cols>
  <sheetData>
    <row r="1" spans="1:9" ht="18" x14ac:dyDescent="0.25">
      <c r="A1" s="73" t="s">
        <v>0</v>
      </c>
      <c r="B1" s="74"/>
      <c r="C1" s="74"/>
      <c r="D1" s="74"/>
      <c r="I1" s="74"/>
    </row>
    <row r="2" spans="1:9" ht="15" customHeight="1" thickBot="1" x14ac:dyDescent="0.3">
      <c r="C2" s="76"/>
      <c r="D2" s="76"/>
      <c r="E2" s="76"/>
      <c r="I2" s="76"/>
    </row>
    <row r="3" spans="1:9" ht="24" customHeight="1" thickBot="1" x14ac:dyDescent="0.3">
      <c r="A3" s="77" t="s">
        <v>1</v>
      </c>
      <c r="B3" s="78" t="e">
        <f>+' bulletin cadre'!#REF!</f>
        <v>#REF!</v>
      </c>
    </row>
    <row r="4" spans="1:9" ht="18" customHeight="1" x14ac:dyDescent="0.25">
      <c r="A4" s="613"/>
      <c r="B4" s="615" t="s">
        <v>2</v>
      </c>
      <c r="C4" s="615" t="s">
        <v>3</v>
      </c>
      <c r="D4" s="615" t="s">
        <v>4</v>
      </c>
      <c r="E4" s="607" t="s">
        <v>6</v>
      </c>
      <c r="I4" s="615" t="s">
        <v>5</v>
      </c>
    </row>
    <row r="5" spans="1:9" ht="9.75" customHeight="1" x14ac:dyDescent="0.25">
      <c r="A5" s="614"/>
      <c r="B5" s="616"/>
      <c r="C5" s="616"/>
      <c r="D5" s="616"/>
      <c r="E5" s="608"/>
      <c r="I5" s="616"/>
    </row>
    <row r="6" spans="1:9" ht="18" customHeight="1" x14ac:dyDescent="0.25">
      <c r="A6" s="79" t="s">
        <v>23</v>
      </c>
      <c r="B6" s="80"/>
      <c r="C6" s="80"/>
      <c r="D6" s="80"/>
      <c r="E6" s="81"/>
      <c r="I6" s="80"/>
    </row>
    <row r="7" spans="1:9" ht="17.25" customHeight="1" x14ac:dyDescent="0.25">
      <c r="A7" s="82" t="s">
        <v>24</v>
      </c>
      <c r="B7" s="83" t="e">
        <f>$B$3</f>
        <v>#REF!</v>
      </c>
      <c r="C7" s="84">
        <v>7.4999999999999997E-3</v>
      </c>
      <c r="D7" s="83" t="e">
        <f>B7*C7</f>
        <v>#REF!</v>
      </c>
      <c r="E7" s="85" t="e">
        <f>B7*I7</f>
        <v>#REF!</v>
      </c>
      <c r="I7" s="84">
        <f>'[1]v 12 Grille de cotisations'!D9</f>
        <v>0.12889999999999999</v>
      </c>
    </row>
    <row r="8" spans="1:9" ht="17.25" customHeight="1" x14ac:dyDescent="0.25">
      <c r="A8" s="82" t="s">
        <v>25</v>
      </c>
      <c r="B8" s="83">
        <v>3269</v>
      </c>
      <c r="C8" s="84"/>
      <c r="D8" s="83"/>
      <c r="E8" s="85">
        <f>B8*I8</f>
        <v>49.034999999999997</v>
      </c>
      <c r="I8" s="84">
        <v>1.4999999999999999E-2</v>
      </c>
    </row>
    <row r="9" spans="1:9" ht="17.25" customHeight="1" x14ac:dyDescent="0.25">
      <c r="A9" s="82" t="s">
        <v>26</v>
      </c>
      <c r="B9" s="83" t="e">
        <f>$B$3</f>
        <v>#REF!</v>
      </c>
      <c r="C9" s="84" t="e">
        <f>' bulletin cadre'!#REF!</f>
        <v>#REF!</v>
      </c>
      <c r="D9" s="83" t="e">
        <f>B9*C9</f>
        <v>#REF!</v>
      </c>
      <c r="E9" s="85" t="e">
        <f>B9*I9</f>
        <v>#REF!</v>
      </c>
      <c r="I9" s="84" t="e">
        <f>' bulletin cadre'!#REF!</f>
        <v>#REF!</v>
      </c>
    </row>
    <row r="10" spans="1:9" ht="17.25" customHeight="1" x14ac:dyDescent="0.25">
      <c r="A10" s="86" t="s">
        <v>26</v>
      </c>
      <c r="B10" s="83"/>
      <c r="C10" s="84"/>
      <c r="D10" s="87">
        <f>' bulletin cadre'!D35</f>
        <v>13.906199999999998</v>
      </c>
      <c r="E10" s="85">
        <f>' bulletin cadre'!F35</f>
        <v>26.488</v>
      </c>
      <c r="I10" s="84"/>
    </row>
    <row r="11" spans="1:9" ht="17.25" customHeight="1" x14ac:dyDescent="0.25">
      <c r="A11" s="79" t="s">
        <v>27</v>
      </c>
      <c r="B11" s="83" t="e">
        <f>B3</f>
        <v>#REF!</v>
      </c>
      <c r="C11" s="89"/>
      <c r="D11" s="90"/>
      <c r="E11" s="85" t="e">
        <f>B11*I11</f>
        <v>#REF!</v>
      </c>
      <c r="I11" s="84">
        <f>'[2]corrigé exercice'!E13</f>
        <v>2.5000000000000001E-2</v>
      </c>
    </row>
    <row r="12" spans="1:9" ht="17.25" customHeight="1" x14ac:dyDescent="0.25">
      <c r="A12" s="79" t="s">
        <v>8</v>
      </c>
      <c r="B12" s="83"/>
      <c r="C12" s="89"/>
      <c r="D12" s="90"/>
      <c r="E12" s="88"/>
      <c r="I12" s="84"/>
    </row>
    <row r="13" spans="1:9" ht="17.25" customHeight="1" x14ac:dyDescent="0.25">
      <c r="A13" s="82" t="s">
        <v>28</v>
      </c>
      <c r="B13" s="83">
        <v>3269</v>
      </c>
      <c r="C13" s="84">
        <f>'[1]v 12 Grille de cotisations'!C22</f>
        <v>6.9000000000000006E-2</v>
      </c>
      <c r="D13" s="83">
        <f>B13*C13</f>
        <v>225.56100000000001</v>
      </c>
      <c r="E13" s="85">
        <f>B13*I13</f>
        <v>279.49950000000001</v>
      </c>
      <c r="I13" s="84">
        <f>'[1]v 12 Grille de cotisations'!D22</f>
        <v>8.5500000000000007E-2</v>
      </c>
    </row>
    <row r="14" spans="1:9" ht="17.25" customHeight="1" x14ac:dyDescent="0.25">
      <c r="A14" s="82" t="s">
        <v>29</v>
      </c>
      <c r="B14" s="83" t="e">
        <f>B3</f>
        <v>#REF!</v>
      </c>
      <c r="C14" s="84">
        <f>'[1]v 12 Grille de cotisations'!C10</f>
        <v>4.0000000000000001E-3</v>
      </c>
      <c r="D14" s="83" t="e">
        <f>B14*C14</f>
        <v>#REF!</v>
      </c>
      <c r="E14" s="85" t="e">
        <f>B14*I14</f>
        <v>#REF!</v>
      </c>
      <c r="I14" s="84">
        <f>'[1]v 12 Grille de cotisations'!D10</f>
        <v>1.9E-2</v>
      </c>
    </row>
    <row r="15" spans="1:9" ht="17.25" customHeight="1" x14ac:dyDescent="0.25">
      <c r="A15" s="82" t="s">
        <v>30</v>
      </c>
      <c r="B15" s="83">
        <v>3269</v>
      </c>
      <c r="C15" s="91">
        <f>3.1%+0.8%+0.13%</f>
        <v>4.0300000000000002E-2</v>
      </c>
      <c r="D15" s="83">
        <f>B15*C15</f>
        <v>131.7407</v>
      </c>
      <c r="E15" s="118">
        <f>B15*I15</f>
        <v>198.42830000000004</v>
      </c>
      <c r="I15" s="84">
        <f>4.65%+1.2%+0.22%</f>
        <v>6.0700000000000011E-2</v>
      </c>
    </row>
    <row r="16" spans="1:9" ht="17.25" customHeight="1" x14ac:dyDescent="0.25">
      <c r="A16" s="82" t="s">
        <v>31</v>
      </c>
      <c r="B16" s="83"/>
      <c r="C16" s="91"/>
      <c r="D16" s="83"/>
      <c r="E16" s="88"/>
      <c r="I16" s="84"/>
    </row>
    <row r="17" spans="1:9" ht="17.25" customHeight="1" x14ac:dyDescent="0.25">
      <c r="A17" s="82" t="s">
        <v>32</v>
      </c>
      <c r="B17" s="83" t="e">
        <f>B14-B15</f>
        <v>#REF!</v>
      </c>
      <c r="C17" s="91">
        <f>' bulletin cadre'!C31+' bulletin cadre'!C29+' bulletin cadre'!C32</f>
        <v>8.829999999999999E-2</v>
      </c>
      <c r="D17" s="83" t="e">
        <f>C17*B17</f>
        <v>#REF!</v>
      </c>
      <c r="E17" s="119" t="e">
        <f>I17*B17</f>
        <v>#REF!</v>
      </c>
      <c r="I17" s="84">
        <f>1.3%+0.22%+12.75%</f>
        <v>0.14269999999999999</v>
      </c>
    </row>
    <row r="18" spans="1:9" ht="17.25" customHeight="1" x14ac:dyDescent="0.25">
      <c r="A18" s="82" t="s">
        <v>33</v>
      </c>
      <c r="B18" s="83"/>
      <c r="C18" s="91"/>
      <c r="D18" s="83"/>
      <c r="E18" s="88"/>
      <c r="I18" s="84"/>
    </row>
    <row r="19" spans="1:9" ht="17.25" customHeight="1" x14ac:dyDescent="0.25">
      <c r="A19" s="82" t="s">
        <v>34</v>
      </c>
      <c r="B19" s="83"/>
      <c r="C19" s="91"/>
      <c r="D19" s="83"/>
      <c r="E19" s="88"/>
      <c r="I19" s="84"/>
    </row>
    <row r="20" spans="1:9" ht="17.25" customHeight="1" x14ac:dyDescent="0.25">
      <c r="A20" s="92" t="s">
        <v>35</v>
      </c>
      <c r="B20" s="93" t="e">
        <f>B7</f>
        <v>#REF!</v>
      </c>
      <c r="C20" s="91"/>
      <c r="D20" s="83"/>
      <c r="E20" s="85" t="e">
        <f>B20*I20</f>
        <v>#REF!</v>
      </c>
      <c r="I20" s="84">
        <v>5.2499999999999998E-2</v>
      </c>
    </row>
    <row r="21" spans="1:9" ht="17.25" customHeight="1" x14ac:dyDescent="0.25">
      <c r="A21" s="92" t="s">
        <v>37</v>
      </c>
      <c r="B21" s="94"/>
      <c r="C21" s="95"/>
      <c r="D21" s="96"/>
      <c r="E21" s="88"/>
      <c r="I21" s="97"/>
    </row>
    <row r="22" spans="1:9" ht="17.25" customHeight="1" x14ac:dyDescent="0.25">
      <c r="A22" s="92" t="s">
        <v>7</v>
      </c>
      <c r="B22" s="83" t="e">
        <f t="shared" ref="B22:B23" si="0">$B$3</f>
        <v>#REF!</v>
      </c>
      <c r="C22" s="84">
        <v>2.4E-2</v>
      </c>
      <c r="D22" s="83" t="e">
        <f t="shared" ref="D22:D23" si="1">B22*C22</f>
        <v>#REF!</v>
      </c>
      <c r="E22" s="85" t="e">
        <f>B22*I22</f>
        <v>#REF!</v>
      </c>
      <c r="I22" s="84">
        <v>4.2000000000000003E-2</v>
      </c>
    </row>
    <row r="23" spans="1:9" ht="17.25" customHeight="1" x14ac:dyDescent="0.25">
      <c r="A23" s="92" t="s">
        <v>38</v>
      </c>
      <c r="B23" s="83" t="e">
        <f t="shared" si="0"/>
        <v>#REF!</v>
      </c>
      <c r="C23" s="98">
        <v>2.4000000000000001E-4</v>
      </c>
      <c r="D23" s="83" t="e">
        <f t="shared" si="1"/>
        <v>#REF!</v>
      </c>
      <c r="E23" s="85" t="e">
        <f>B23*I23</f>
        <v>#REF!</v>
      </c>
      <c r="I23" s="98">
        <v>3.6000000000000002E-4</v>
      </c>
    </row>
    <row r="24" spans="1:9" ht="17.25" customHeight="1" x14ac:dyDescent="0.25">
      <c r="A24" s="92" t="s">
        <v>39</v>
      </c>
      <c r="B24" s="93">
        <v>3269</v>
      </c>
      <c r="C24" s="91"/>
      <c r="D24" s="83"/>
      <c r="E24" s="85">
        <f>B24*I24</f>
        <v>3.2690000000000001</v>
      </c>
      <c r="I24" s="84">
        <v>1E-3</v>
      </c>
    </row>
    <row r="25" spans="1:9" ht="17.25" customHeight="1" x14ac:dyDescent="0.25">
      <c r="A25" s="121" t="s">
        <v>40</v>
      </c>
      <c r="B25" s="122" t="e">
        <f>B3</f>
        <v>#REF!</v>
      </c>
      <c r="C25" s="95"/>
      <c r="D25" s="96"/>
      <c r="E25" s="120" t="e">
        <f>B25*I25</f>
        <v>#REF!</v>
      </c>
      <c r="I25" s="97">
        <f>1%+0.3%+0.01%+0.016%+0.68%+1%</f>
        <v>3.0060000000000003E-2</v>
      </c>
    </row>
    <row r="26" spans="1:9" ht="17.25" customHeight="1" x14ac:dyDescent="0.25">
      <c r="A26" s="92" t="s">
        <v>41</v>
      </c>
      <c r="B26" s="93"/>
      <c r="C26" s="91"/>
      <c r="D26" s="83"/>
      <c r="E26" s="88"/>
      <c r="I26" s="84"/>
    </row>
    <row r="27" spans="1:9" ht="17.25" customHeight="1" x14ac:dyDescent="0.25">
      <c r="A27" s="82" t="s">
        <v>42</v>
      </c>
      <c r="B27" s="83" t="e">
        <f>(B3*0.9825)+E10+E9+E8</f>
        <v>#REF!</v>
      </c>
      <c r="C27" s="84">
        <v>2.9000000000000001E-2</v>
      </c>
      <c r="D27" s="83" t="e">
        <f t="shared" ref="D27:D28" si="2">B27*C27</f>
        <v>#REF!</v>
      </c>
      <c r="E27" s="99"/>
      <c r="F27" s="100"/>
      <c r="I27" s="89"/>
    </row>
    <row r="28" spans="1:9" ht="17.25" customHeight="1" x14ac:dyDescent="0.25">
      <c r="A28" s="82" t="s">
        <v>43</v>
      </c>
      <c r="B28" s="83" t="e">
        <f>B27</f>
        <v>#REF!</v>
      </c>
      <c r="C28" s="84">
        <v>5.0999999999999997E-2</v>
      </c>
      <c r="D28" s="83" t="e">
        <f t="shared" si="2"/>
        <v>#REF!</v>
      </c>
      <c r="E28" s="99"/>
      <c r="I28" s="89"/>
    </row>
    <row r="29" spans="1:9" ht="17.25" customHeight="1" x14ac:dyDescent="0.25">
      <c r="A29" s="92" t="s">
        <v>44</v>
      </c>
      <c r="B29" s="83"/>
      <c r="C29" s="101"/>
      <c r="D29" s="83"/>
      <c r="E29" s="102"/>
      <c r="I29" s="103"/>
    </row>
    <row r="30" spans="1:9" ht="17.25" customHeight="1" x14ac:dyDescent="0.25">
      <c r="A30" s="92" t="s">
        <v>45</v>
      </c>
      <c r="B30" s="104"/>
      <c r="C30" s="80"/>
      <c r="D30" s="105" t="e">
        <f>SUM(D7:D29)</f>
        <v>#REF!</v>
      </c>
      <c r="E30" s="105" t="e">
        <f>SUM(E7:E29)</f>
        <v>#REF!</v>
      </c>
      <c r="G30" s="93" t="e">
        <f>2841.87-E30</f>
        <v>#REF!</v>
      </c>
      <c r="H30" s="106" t="e">
        <f>G30/6000</f>
        <v>#REF!</v>
      </c>
      <c r="I30" s="90"/>
    </row>
    <row r="31" spans="1:9" ht="17.25" customHeight="1" thickBot="1" x14ac:dyDescent="0.3">
      <c r="D31" s="619" t="s">
        <v>46</v>
      </c>
      <c r="E31" s="620"/>
      <c r="I31" s="107"/>
    </row>
    <row r="32" spans="1:9" ht="17.25" customHeight="1" x14ac:dyDescent="0.25">
      <c r="A32" s="108"/>
      <c r="B32" s="109"/>
      <c r="C32" s="110"/>
      <c r="D32" s="621" t="e">
        <f>B3-D30</f>
        <v>#REF!</v>
      </c>
      <c r="E32" s="620"/>
      <c r="I32" s="109"/>
    </row>
    <row r="33" spans="1:9" ht="25.5" customHeight="1" x14ac:dyDescent="0.25">
      <c r="A33" s="111"/>
      <c r="B33" s="109"/>
      <c r="C33" s="110"/>
      <c r="D33" s="112" t="s">
        <v>47</v>
      </c>
      <c r="E33" s="112" t="s">
        <v>48</v>
      </c>
      <c r="I33" s="109"/>
    </row>
    <row r="34" spans="1:9" ht="17.25" customHeight="1" x14ac:dyDescent="0.25">
      <c r="A34" s="123" t="s">
        <v>69</v>
      </c>
      <c r="B34" s="115" t="e">
        <f>' bulletin cadre'!#REF!</f>
        <v>#REF!</v>
      </c>
      <c r="C34" s="110"/>
      <c r="D34" s="113" t="e">
        <f>B3+E30</f>
        <v>#REF!</v>
      </c>
      <c r="E34" s="113"/>
      <c r="I34" s="109"/>
    </row>
    <row r="35" spans="1:9" ht="17.25" customHeight="1" x14ac:dyDescent="0.25">
      <c r="A35" s="111"/>
      <c r="B35" s="109"/>
      <c r="C35" s="110"/>
      <c r="D35" s="114"/>
      <c r="E35" s="109"/>
      <c r="I35" s="109"/>
    </row>
    <row r="36" spans="1:9" ht="17.25" customHeight="1" x14ac:dyDescent="0.25">
      <c r="A36" s="111"/>
      <c r="B36" s="109"/>
      <c r="C36" s="110"/>
      <c r="D36" s="114"/>
      <c r="E36" s="109"/>
      <c r="I36" s="109"/>
    </row>
    <row r="37" spans="1:9" ht="23.25" customHeight="1" x14ac:dyDescent="0.25">
      <c r="B37" s="124"/>
      <c r="C37" s="124"/>
    </row>
    <row r="38" spans="1:9" ht="24" customHeight="1" x14ac:dyDescent="0.25">
      <c r="A38" s="116"/>
      <c r="B38" s="116"/>
      <c r="C38" s="116"/>
      <c r="D38" s="117"/>
      <c r="E38" s="117"/>
      <c r="I38" s="116"/>
    </row>
    <row r="39" spans="1:9" ht="24" customHeight="1" x14ac:dyDescent="0.25">
      <c r="A39" s="116"/>
      <c r="B39" s="116"/>
      <c r="C39" s="116"/>
      <c r="D39" s="116"/>
      <c r="E39" s="116"/>
      <c r="I39" s="116"/>
    </row>
    <row r="40" spans="1:9" x14ac:dyDescent="0.25">
      <c r="A40" s="116"/>
      <c r="B40" s="116"/>
      <c r="C40" s="116"/>
      <c r="D40" s="116"/>
      <c r="E40" s="116"/>
      <c r="I40" s="116"/>
    </row>
    <row r="41" spans="1:9" x14ac:dyDescent="0.25">
      <c r="A41" s="116"/>
      <c r="B41" s="116"/>
      <c r="C41" s="116"/>
      <c r="D41" s="116"/>
      <c r="E41" s="116"/>
      <c r="I41" s="116"/>
    </row>
    <row r="42" spans="1:9" x14ac:dyDescent="0.25">
      <c r="A42" s="116"/>
      <c r="B42" s="116"/>
      <c r="C42" s="116"/>
      <c r="D42" s="116"/>
      <c r="E42" s="116"/>
      <c r="I42" s="116"/>
    </row>
    <row r="43" spans="1:9" x14ac:dyDescent="0.25">
      <c r="A43" s="116"/>
      <c r="B43" s="116"/>
      <c r="C43" s="116"/>
      <c r="D43" s="116"/>
      <c r="E43" s="116"/>
      <c r="I43" s="116"/>
    </row>
    <row r="44" spans="1:9" x14ac:dyDescent="0.25">
      <c r="A44" s="116"/>
      <c r="B44" s="116"/>
      <c r="C44" s="116"/>
      <c r="D44" s="116"/>
      <c r="E44" s="116"/>
      <c r="I44" s="116"/>
    </row>
    <row r="45" spans="1:9" x14ac:dyDescent="0.25">
      <c r="A45" s="116"/>
      <c r="B45" s="116"/>
      <c r="C45" s="116"/>
      <c r="D45" s="116"/>
      <c r="E45" s="116"/>
      <c r="I45" s="116"/>
    </row>
  </sheetData>
  <mergeCells count="8">
    <mergeCell ref="I4:I5"/>
    <mergeCell ref="D31:E31"/>
    <mergeCell ref="D32:E3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943D-8472-4860-B56E-23E45689FECE}">
  <dimension ref="A1:E57"/>
  <sheetViews>
    <sheetView topLeftCell="A13" zoomScale="90" zoomScaleNormal="90" workbookViewId="0">
      <selection activeCell="A13" sqref="A13:E13"/>
    </sheetView>
  </sheetViews>
  <sheetFormatPr baseColWidth="10" defaultRowHeight="12" x14ac:dyDescent="0.25"/>
  <cols>
    <col min="1" max="1" width="62.85546875" style="1" customWidth="1"/>
    <col min="2" max="2" width="42.42578125" style="1" bestFit="1" customWidth="1"/>
    <col min="3" max="3" width="21.140625" style="1" customWidth="1"/>
    <col min="4" max="4" width="20.7109375" style="1" customWidth="1"/>
    <col min="5" max="5" width="22.5703125" style="1" customWidth="1"/>
    <col min="6" max="16384" width="11.42578125" style="1"/>
  </cols>
  <sheetData>
    <row r="1" spans="1:5" ht="23.25" x14ac:dyDescent="0.25">
      <c r="A1" s="143" t="s">
        <v>105</v>
      </c>
      <c r="B1" s="141"/>
      <c r="C1" s="142"/>
      <c r="D1" s="142"/>
      <c r="E1" s="142"/>
    </row>
    <row r="2" spans="1:5" ht="14.25" x14ac:dyDescent="0.25">
      <c r="D2" s="13"/>
      <c r="E2" s="13"/>
    </row>
    <row r="3" spans="1:5" ht="24" customHeight="1" thickBot="1" x14ac:dyDescent="0.3">
      <c r="B3" s="127"/>
      <c r="C3" s="126"/>
    </row>
    <row r="4" spans="1:5" ht="18" customHeight="1" thickBot="1" x14ac:dyDescent="0.3">
      <c r="A4" s="636" t="s">
        <v>102</v>
      </c>
      <c r="B4" s="636" t="s">
        <v>103</v>
      </c>
      <c r="C4" s="636" t="s">
        <v>2</v>
      </c>
      <c r="D4" s="636" t="s">
        <v>71</v>
      </c>
      <c r="E4" s="636" t="s">
        <v>101</v>
      </c>
    </row>
    <row r="5" spans="1:5" ht="24.75" customHeight="1" thickBot="1" x14ac:dyDescent="0.3">
      <c r="A5" s="637"/>
      <c r="B5" s="636"/>
      <c r="C5" s="636"/>
      <c r="D5" s="636"/>
      <c r="E5" s="636"/>
    </row>
    <row r="6" spans="1:5" ht="20.25" customHeight="1" thickBot="1" x14ac:dyDescent="0.3">
      <c r="A6" s="630" t="s">
        <v>23</v>
      </c>
      <c r="B6" s="631"/>
      <c r="C6" s="631"/>
      <c r="D6" s="631"/>
      <c r="E6" s="631"/>
    </row>
    <row r="7" spans="1:5" ht="17.25" customHeight="1" thickBot="1" x14ac:dyDescent="0.3">
      <c r="A7" s="224" t="s">
        <v>24</v>
      </c>
      <c r="B7" s="130" t="s">
        <v>50</v>
      </c>
      <c r="C7" s="128" t="s">
        <v>77</v>
      </c>
      <c r="D7" s="165"/>
      <c r="E7" s="165">
        <v>0.13</v>
      </c>
    </row>
    <row r="8" spans="1:5" ht="17.25" customHeight="1" thickBot="1" x14ac:dyDescent="0.3">
      <c r="A8" s="224" t="s">
        <v>25</v>
      </c>
      <c r="B8" s="130" t="s">
        <v>78</v>
      </c>
      <c r="C8" s="627" t="s">
        <v>79</v>
      </c>
      <c r="D8" s="628"/>
      <c r="E8" s="629"/>
    </row>
    <row r="9" spans="1:5" ht="17.25" customHeight="1" thickBot="1" x14ac:dyDescent="0.3">
      <c r="A9" s="224" t="s">
        <v>26</v>
      </c>
      <c r="B9" s="131" t="s">
        <v>17</v>
      </c>
      <c r="C9" s="627" t="s">
        <v>79</v>
      </c>
      <c r="D9" s="628"/>
      <c r="E9" s="629"/>
    </row>
    <row r="10" spans="1:5" ht="17.25" customHeight="1" thickBot="1" x14ac:dyDescent="0.3">
      <c r="A10" s="625"/>
      <c r="B10" s="626"/>
      <c r="C10" s="626"/>
      <c r="D10" s="626"/>
      <c r="E10" s="626"/>
    </row>
    <row r="11" spans="1:5" ht="17.25" customHeight="1" thickBot="1" x14ac:dyDescent="0.3">
      <c r="A11" s="224" t="s">
        <v>27</v>
      </c>
      <c r="B11" s="14" t="s">
        <v>56</v>
      </c>
      <c r="C11" s="128" t="s">
        <v>77</v>
      </c>
      <c r="D11" s="132"/>
      <c r="E11" s="165" t="s">
        <v>81</v>
      </c>
    </row>
    <row r="12" spans="1:5" ht="17.25" customHeight="1" thickBot="1" x14ac:dyDescent="0.3">
      <c r="A12" s="625"/>
      <c r="B12" s="626"/>
      <c r="C12" s="626"/>
      <c r="D12" s="626"/>
      <c r="E12" s="626"/>
    </row>
    <row r="13" spans="1:5" ht="17.25" customHeight="1" thickBot="1" x14ac:dyDescent="0.3">
      <c r="A13" s="630" t="s">
        <v>8</v>
      </c>
      <c r="B13" s="631"/>
      <c r="C13" s="631"/>
      <c r="D13" s="631"/>
      <c r="E13" s="631"/>
    </row>
    <row r="14" spans="1:5" ht="17.25" customHeight="1" thickBot="1" x14ac:dyDescent="0.3">
      <c r="A14" s="224" t="s">
        <v>28</v>
      </c>
      <c r="B14" s="14" t="s">
        <v>82</v>
      </c>
      <c r="C14" s="133" t="s">
        <v>80</v>
      </c>
      <c r="D14" s="165">
        <v>6.9000000000000006E-2</v>
      </c>
      <c r="E14" s="166">
        <v>8.5500000000000007E-2</v>
      </c>
    </row>
    <row r="15" spans="1:5" ht="17.25" customHeight="1" thickBot="1" x14ac:dyDescent="0.3">
      <c r="A15" s="224" t="s">
        <v>29</v>
      </c>
      <c r="B15" s="14" t="s">
        <v>83</v>
      </c>
      <c r="C15" s="128" t="s">
        <v>77</v>
      </c>
      <c r="D15" s="165">
        <v>4.0000000000000001E-3</v>
      </c>
      <c r="E15" s="166">
        <v>1.9E-2</v>
      </c>
    </row>
    <row r="16" spans="1:5" ht="17.25" customHeight="1" thickBot="1" x14ac:dyDescent="0.3">
      <c r="A16" s="622" t="s">
        <v>74</v>
      </c>
      <c r="B16" s="134" t="s">
        <v>94</v>
      </c>
      <c r="C16" s="135" t="s">
        <v>84</v>
      </c>
      <c r="D16" s="136">
        <v>3.7999999999999999E-2</v>
      </c>
      <c r="E16" s="162">
        <v>4.65E-2</v>
      </c>
    </row>
    <row r="17" spans="1:5" ht="17.25" customHeight="1" thickBot="1" x14ac:dyDescent="0.3">
      <c r="A17" s="623"/>
      <c r="B17" s="134" t="s">
        <v>95</v>
      </c>
      <c r="C17" s="135" t="s">
        <v>84</v>
      </c>
      <c r="D17" s="136">
        <v>8.0000000000000002E-3</v>
      </c>
      <c r="E17" s="162">
        <v>1.2E-2</v>
      </c>
    </row>
    <row r="18" spans="1:5" ht="17.25" customHeight="1" thickBot="1" x14ac:dyDescent="0.3">
      <c r="A18" s="624"/>
      <c r="B18" s="164" t="s">
        <v>112</v>
      </c>
      <c r="C18" s="135"/>
      <c r="D18" s="165">
        <f>SUM(D16:D17)</f>
        <v>4.5999999999999999E-2</v>
      </c>
      <c r="E18" s="166">
        <f>SUM(E16:E17)</f>
        <v>5.8499999999999996E-2</v>
      </c>
    </row>
    <row r="19" spans="1:5" ht="17.25" customHeight="1" thickBot="1" x14ac:dyDescent="0.3">
      <c r="A19" s="622" t="s">
        <v>75</v>
      </c>
      <c r="B19" s="134" t="s">
        <v>94</v>
      </c>
      <c r="C19" s="135" t="s">
        <v>96</v>
      </c>
      <c r="D19" s="136">
        <v>8.1000000000000003E-2</v>
      </c>
      <c r="E19" s="162">
        <v>0.1215</v>
      </c>
    </row>
    <row r="20" spans="1:5" ht="17.25" customHeight="1" thickBot="1" x14ac:dyDescent="0.3">
      <c r="A20" s="623"/>
      <c r="B20" s="134" t="s">
        <v>95</v>
      </c>
      <c r="C20" s="135" t="s">
        <v>96</v>
      </c>
      <c r="D20" s="136">
        <v>8.9999999999999993E-3</v>
      </c>
      <c r="E20" s="162">
        <v>1.2999999999999999E-2</v>
      </c>
    </row>
    <row r="21" spans="1:5" ht="17.25" customHeight="1" thickBot="1" x14ac:dyDescent="0.3">
      <c r="A21" s="624"/>
      <c r="B21" s="164" t="s">
        <v>112</v>
      </c>
      <c r="C21" s="135"/>
      <c r="D21" s="165">
        <f>SUM(D19:D20)</f>
        <v>0.09</v>
      </c>
      <c r="E21" s="166">
        <f>SUM(E19:E20)</f>
        <v>0.13450000000000001</v>
      </c>
    </row>
    <row r="22" spans="1:5" ht="17.25" customHeight="1" thickBot="1" x14ac:dyDescent="0.3">
      <c r="A22" s="224" t="s">
        <v>34</v>
      </c>
      <c r="B22" s="130"/>
      <c r="C22" s="138"/>
      <c r="D22" s="139"/>
      <c r="E22" s="138"/>
    </row>
    <row r="23" spans="1:5" ht="17.25" customHeight="1" thickBot="1" x14ac:dyDescent="0.3">
      <c r="A23" s="625"/>
      <c r="B23" s="626"/>
      <c r="C23" s="626"/>
      <c r="D23" s="626"/>
      <c r="E23" s="626"/>
    </row>
    <row r="24" spans="1:5" ht="17.25" customHeight="1" thickBot="1" x14ac:dyDescent="0.3">
      <c r="A24" s="224" t="s">
        <v>36</v>
      </c>
      <c r="B24" s="14" t="s">
        <v>53</v>
      </c>
      <c r="C24" s="130"/>
      <c r="D24" s="130"/>
      <c r="E24" s="167" t="s">
        <v>85</v>
      </c>
    </row>
    <row r="25" spans="1:5" ht="21.75" customHeight="1" thickBot="1" x14ac:dyDescent="0.3">
      <c r="A25" s="625"/>
      <c r="B25" s="626"/>
      <c r="C25" s="626"/>
      <c r="D25" s="626"/>
      <c r="E25" s="626"/>
    </row>
    <row r="26" spans="1:5" ht="17.25" customHeight="1" thickBot="1" x14ac:dyDescent="0.3">
      <c r="A26" s="622" t="s">
        <v>37</v>
      </c>
      <c r="B26" s="14" t="s">
        <v>86</v>
      </c>
      <c r="C26" s="128" t="s">
        <v>87</v>
      </c>
      <c r="D26" s="129">
        <v>9.4999999999999998E-3</v>
      </c>
      <c r="E26" s="162">
        <v>4.0500000000000001E-2</v>
      </c>
    </row>
    <row r="27" spans="1:5" ht="17.25" customHeight="1" thickBot="1" x14ac:dyDescent="0.3">
      <c r="A27" s="623"/>
      <c r="B27" s="130" t="s">
        <v>59</v>
      </c>
      <c r="C27" s="128" t="s">
        <v>87</v>
      </c>
      <c r="D27" s="130"/>
      <c r="E27" s="162">
        <v>1.5E-3</v>
      </c>
    </row>
    <row r="28" spans="1:5" ht="17.25" customHeight="1" thickBot="1" x14ac:dyDescent="0.3">
      <c r="A28" s="624"/>
      <c r="B28" s="164" t="s">
        <v>112</v>
      </c>
      <c r="C28" s="135"/>
      <c r="D28" s="165">
        <f>SUM(D26:D27)</f>
        <v>9.4999999999999998E-3</v>
      </c>
      <c r="E28" s="166">
        <f>SUM(E26:E27)</f>
        <v>4.2000000000000003E-2</v>
      </c>
    </row>
    <row r="29" spans="1:5" ht="17.25" customHeight="1" thickBot="1" x14ac:dyDescent="0.3">
      <c r="A29" s="625"/>
      <c r="B29" s="626"/>
      <c r="C29" s="626"/>
      <c r="D29" s="626"/>
      <c r="E29" s="626"/>
    </row>
    <row r="30" spans="1:5" ht="17.25" customHeight="1" thickBot="1" x14ac:dyDescent="0.3">
      <c r="A30" s="622" t="s">
        <v>76</v>
      </c>
      <c r="B30" s="14" t="s">
        <v>52</v>
      </c>
      <c r="C30" s="128" t="s">
        <v>88</v>
      </c>
      <c r="D30" s="139"/>
      <c r="E30" s="128" t="s">
        <v>81</v>
      </c>
    </row>
    <row r="31" spans="1:5" ht="17.25" customHeight="1" thickBot="1" x14ac:dyDescent="0.3">
      <c r="A31" s="623"/>
      <c r="B31" s="14" t="s">
        <v>54</v>
      </c>
      <c r="C31" s="133" t="s">
        <v>89</v>
      </c>
      <c r="D31" s="130"/>
      <c r="E31" s="133" t="s">
        <v>90</v>
      </c>
    </row>
    <row r="32" spans="1:5" ht="23.25" customHeight="1" thickBot="1" x14ac:dyDescent="0.3">
      <c r="A32" s="623"/>
      <c r="B32" s="14" t="s">
        <v>55</v>
      </c>
      <c r="C32" s="128" t="s">
        <v>88</v>
      </c>
      <c r="D32" s="130"/>
      <c r="E32" s="162">
        <v>3.0000000000000001E-3</v>
      </c>
    </row>
    <row r="33" spans="1:5" ht="17.25" customHeight="1" thickBot="1" x14ac:dyDescent="0.3">
      <c r="A33" s="623"/>
      <c r="B33" s="14" t="s">
        <v>12</v>
      </c>
      <c r="C33" s="133" t="s">
        <v>88</v>
      </c>
      <c r="D33" s="130"/>
      <c r="E33" s="163">
        <v>1.6000000000000001E-4</v>
      </c>
    </row>
    <row r="34" spans="1:5" ht="17.25" customHeight="1" thickBot="1" x14ac:dyDescent="0.3">
      <c r="A34" s="623"/>
      <c r="B34" s="14" t="s">
        <v>20</v>
      </c>
      <c r="C34" s="130"/>
      <c r="D34" s="130"/>
      <c r="E34" s="162">
        <v>6.7999999999999996E-3</v>
      </c>
    </row>
    <row r="35" spans="1:5" ht="17.25" customHeight="1" thickBot="1" x14ac:dyDescent="0.3">
      <c r="A35" s="623"/>
      <c r="B35" s="14" t="s">
        <v>67</v>
      </c>
      <c r="C35" s="130"/>
      <c r="D35" s="130"/>
      <c r="E35" s="133" t="s">
        <v>91</v>
      </c>
    </row>
    <row r="36" spans="1:5" ht="17.25" customHeight="1" thickBot="1" x14ac:dyDescent="0.3">
      <c r="A36" s="623"/>
      <c r="B36" s="130" t="s">
        <v>97</v>
      </c>
      <c r="C36" s="130"/>
      <c r="D36" s="130"/>
      <c r="E36" s="162">
        <v>4.4999999999999997E-3</v>
      </c>
    </row>
    <row r="37" spans="1:5" ht="23.25" customHeight="1" thickBot="1" x14ac:dyDescent="0.3">
      <c r="A37" s="623"/>
      <c r="B37" s="130" t="s">
        <v>92</v>
      </c>
      <c r="C37" s="140" t="s">
        <v>93</v>
      </c>
      <c r="D37" s="130"/>
      <c r="E37" s="162">
        <v>8.0000000000000002E-3</v>
      </c>
    </row>
    <row r="38" spans="1:5" ht="24.75" thickBot="1" x14ac:dyDescent="0.3">
      <c r="A38" s="624"/>
      <c r="B38" s="164" t="s">
        <v>112</v>
      </c>
      <c r="D38" s="130"/>
      <c r="E38" s="168" t="s">
        <v>120</v>
      </c>
    </row>
    <row r="39" spans="1:5" ht="17.25" customHeight="1" thickBot="1" x14ac:dyDescent="0.3">
      <c r="A39" s="625"/>
      <c r="B39" s="626"/>
      <c r="C39" s="626"/>
      <c r="D39" s="626"/>
      <c r="E39" s="626"/>
    </row>
    <row r="40" spans="1:5" ht="21" customHeight="1" thickBot="1" x14ac:dyDescent="0.3">
      <c r="A40" s="224" t="s">
        <v>41</v>
      </c>
      <c r="B40" s="130"/>
      <c r="C40" s="130"/>
      <c r="D40" s="130"/>
      <c r="E40" s="130"/>
    </row>
    <row r="41" spans="1:5" ht="18" customHeight="1" thickBot="1" x14ac:dyDescent="0.3">
      <c r="A41" s="625"/>
      <c r="B41" s="626"/>
      <c r="C41" s="626"/>
      <c r="D41" s="626"/>
      <c r="E41" s="626"/>
    </row>
    <row r="42" spans="1:5" ht="18" customHeight="1" thickBot="1" x14ac:dyDescent="0.3">
      <c r="A42" s="224" t="s">
        <v>42</v>
      </c>
      <c r="B42" s="130"/>
      <c r="C42" s="638" t="s">
        <v>98</v>
      </c>
      <c r="D42" s="639">
        <v>6.8000000000000005E-2</v>
      </c>
      <c r="E42" s="625"/>
    </row>
    <row r="43" spans="1:5" ht="18" customHeight="1" thickBot="1" x14ac:dyDescent="0.3">
      <c r="A43" s="130"/>
      <c r="B43" s="130"/>
      <c r="C43" s="626"/>
      <c r="D43" s="640"/>
      <c r="E43" s="626"/>
    </row>
    <row r="44" spans="1:5" ht="18" customHeight="1" thickBot="1" x14ac:dyDescent="0.3">
      <c r="A44" s="625"/>
      <c r="B44" s="626"/>
      <c r="C44" s="626"/>
      <c r="D44" s="626"/>
      <c r="E44" s="626"/>
    </row>
    <row r="45" spans="1:5" ht="18" customHeight="1" thickBot="1" x14ac:dyDescent="0.3">
      <c r="B45" s="625"/>
      <c r="C45" s="626"/>
      <c r="D45" s="626"/>
      <c r="E45" s="626"/>
    </row>
    <row r="46" spans="1:5" ht="18" customHeight="1" thickBot="1" x14ac:dyDescent="0.3">
      <c r="A46" s="622" t="s">
        <v>43</v>
      </c>
      <c r="B46" s="130" t="s">
        <v>99</v>
      </c>
      <c r="C46" s="638" t="s">
        <v>98</v>
      </c>
      <c r="D46" s="162">
        <v>2.4E-2</v>
      </c>
      <c r="E46" s="625"/>
    </row>
    <row r="47" spans="1:5" ht="18" customHeight="1" thickBot="1" x14ac:dyDescent="0.3">
      <c r="A47" s="623"/>
      <c r="B47" s="130" t="s">
        <v>100</v>
      </c>
      <c r="C47" s="626"/>
      <c r="D47" s="162">
        <v>5.0000000000000001E-3</v>
      </c>
      <c r="E47" s="626"/>
    </row>
    <row r="48" spans="1:5" ht="18" customHeight="1" thickBot="1" x14ac:dyDescent="0.3">
      <c r="A48" s="624"/>
      <c r="B48" s="164" t="s">
        <v>112</v>
      </c>
      <c r="C48" s="137"/>
      <c r="D48" s="166">
        <f>SUM(D46:D47)</f>
        <v>2.9000000000000001E-2</v>
      </c>
      <c r="E48" s="137"/>
    </row>
    <row r="49" spans="1:5" ht="18" customHeight="1" thickBot="1" x14ac:dyDescent="0.3">
      <c r="A49" s="625"/>
      <c r="B49" s="626"/>
      <c r="C49" s="626"/>
      <c r="D49" s="626"/>
      <c r="E49" s="626"/>
    </row>
    <row r="50" spans="1:5" ht="18" customHeight="1" thickBot="1" x14ac:dyDescent="0.3">
      <c r="A50" s="224" t="s">
        <v>44</v>
      </c>
      <c r="B50" s="130"/>
      <c r="C50" s="130"/>
      <c r="D50" s="130"/>
      <c r="E50" s="130"/>
    </row>
    <row r="51" spans="1:5" ht="18" customHeight="1" thickBot="1" x14ac:dyDescent="0.3">
      <c r="A51" s="625"/>
      <c r="B51" s="626"/>
      <c r="C51" s="626"/>
      <c r="D51" s="626"/>
      <c r="E51" s="626"/>
    </row>
    <row r="52" spans="1:5" ht="18" customHeight="1" thickBot="1" x14ac:dyDescent="0.3">
      <c r="A52" s="224" t="s">
        <v>45</v>
      </c>
      <c r="B52" s="130"/>
      <c r="C52" s="138"/>
      <c r="D52" s="237"/>
      <c r="E52" s="238"/>
    </row>
    <row r="53" spans="1:5" ht="18" customHeight="1" thickBot="1" x14ac:dyDescent="0.3">
      <c r="A53" s="232"/>
      <c r="C53" s="233"/>
      <c r="D53" s="129"/>
      <c r="E53" s="234"/>
    </row>
    <row r="54" spans="1:5" ht="18" customHeight="1" thickBot="1" x14ac:dyDescent="0.3">
      <c r="A54" s="232"/>
      <c r="C54" s="233"/>
      <c r="D54" s="632" t="s">
        <v>121</v>
      </c>
      <c r="E54" s="633"/>
    </row>
    <row r="55" spans="1:5" ht="18" customHeight="1" thickBot="1" x14ac:dyDescent="0.3">
      <c r="A55" s="232"/>
      <c r="C55" s="233"/>
      <c r="D55" s="634"/>
      <c r="E55" s="635"/>
    </row>
    <row r="56" spans="1:5" ht="24.75" thickBot="1" x14ac:dyDescent="0.3">
      <c r="A56" s="232"/>
      <c r="C56" s="233"/>
      <c r="D56" s="235" t="s">
        <v>47</v>
      </c>
      <c r="E56" s="236" t="s">
        <v>122</v>
      </c>
    </row>
    <row r="57" spans="1:5" ht="64.5" customHeight="1" thickBot="1" x14ac:dyDescent="0.3">
      <c r="B57" s="9"/>
      <c r="C57" s="9"/>
      <c r="D57" s="170" t="s">
        <v>116</v>
      </c>
      <c r="E57" s="169" t="s">
        <v>117</v>
      </c>
    </row>
  </sheetData>
  <mergeCells count="32">
    <mergeCell ref="A6:E6"/>
    <mergeCell ref="A13:E13"/>
    <mergeCell ref="D54:E54"/>
    <mergeCell ref="D55:E55"/>
    <mergeCell ref="B4:B5"/>
    <mergeCell ref="C4:C5"/>
    <mergeCell ref="D4:D5"/>
    <mergeCell ref="E4:E5"/>
    <mergeCell ref="A4:A5"/>
    <mergeCell ref="A10:E10"/>
    <mergeCell ref="A12:E12"/>
    <mergeCell ref="C46:C47"/>
    <mergeCell ref="A29:E29"/>
    <mergeCell ref="C42:C43"/>
    <mergeCell ref="D42:D43"/>
    <mergeCell ref="A39:E39"/>
    <mergeCell ref="A30:A38"/>
    <mergeCell ref="A44:E44"/>
    <mergeCell ref="A49:E49"/>
    <mergeCell ref="A51:E51"/>
    <mergeCell ref="C8:E8"/>
    <mergeCell ref="C9:E9"/>
    <mergeCell ref="A16:A18"/>
    <mergeCell ref="A19:A21"/>
    <mergeCell ref="A26:A28"/>
    <mergeCell ref="A23:E23"/>
    <mergeCell ref="A25:E25"/>
    <mergeCell ref="A41:E41"/>
    <mergeCell ref="E42:E43"/>
    <mergeCell ref="E46:E47"/>
    <mergeCell ref="B45:E45"/>
    <mergeCell ref="A46:A48"/>
  </mergeCells>
  <pageMargins left="0" right="0" top="0" bottom="0" header="0" footer="0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9ABB-CC6B-4F58-A35F-5ED7D6531115}">
  <dimension ref="A1:L61"/>
  <sheetViews>
    <sheetView topLeftCell="A36" zoomScale="90" zoomScaleNormal="90" workbookViewId="0">
      <selection activeCell="A63" sqref="A63"/>
    </sheetView>
  </sheetViews>
  <sheetFormatPr baseColWidth="10" defaultRowHeight="12" x14ac:dyDescent="0.25"/>
  <cols>
    <col min="1" max="1" width="56.85546875" style="175" bestFit="1" customWidth="1"/>
    <col min="2" max="2" width="42.42578125" style="175" bestFit="1" customWidth="1"/>
    <col min="3" max="3" width="21.140625" style="175" bestFit="1" customWidth="1"/>
    <col min="4" max="4" width="16.140625" style="175" customWidth="1"/>
    <col min="5" max="5" width="21" style="183" customWidth="1"/>
    <col min="6" max="16384" width="11.42578125" style="175"/>
  </cols>
  <sheetData>
    <row r="1" spans="1:12" ht="15" x14ac:dyDescent="0.25">
      <c r="A1" s="641" t="s">
        <v>113</v>
      </c>
      <c r="B1" s="642"/>
      <c r="C1" s="642"/>
      <c r="D1" s="642"/>
      <c r="E1" s="642"/>
    </row>
    <row r="2" spans="1:12" ht="18" x14ac:dyDescent="0.25">
      <c r="D2" s="176"/>
      <c r="E2" s="177"/>
      <c r="F2" s="178"/>
      <c r="H2" s="179"/>
      <c r="I2" s="180"/>
      <c r="J2" s="180"/>
      <c r="K2" s="180"/>
    </row>
    <row r="3" spans="1:12" ht="24" customHeight="1" thickBot="1" x14ac:dyDescent="0.3">
      <c r="B3" s="181"/>
      <c r="C3" s="182"/>
      <c r="J3" s="176"/>
      <c r="K3" s="176"/>
      <c r="L3" s="176"/>
    </row>
    <row r="4" spans="1:12" ht="18" customHeight="1" thickBot="1" x14ac:dyDescent="0.3">
      <c r="A4" s="659" t="s">
        <v>102</v>
      </c>
      <c r="B4" s="659" t="s">
        <v>103</v>
      </c>
      <c r="C4" s="659" t="s">
        <v>2</v>
      </c>
      <c r="D4" s="659" t="s">
        <v>71</v>
      </c>
      <c r="E4" s="659" t="s">
        <v>101</v>
      </c>
      <c r="H4" s="181"/>
      <c r="I4" s="182"/>
    </row>
    <row r="5" spans="1:12" ht="8.25" customHeight="1" thickBot="1" x14ac:dyDescent="0.3">
      <c r="A5" s="660"/>
      <c r="B5" s="659"/>
      <c r="C5" s="659"/>
      <c r="D5" s="659"/>
      <c r="E5" s="659"/>
      <c r="H5" s="661"/>
      <c r="I5" s="662"/>
      <c r="J5" s="662"/>
      <c r="K5" s="662"/>
      <c r="L5" s="662"/>
    </row>
    <row r="6" spans="1:12" ht="21" customHeight="1" thickBot="1" x14ac:dyDescent="0.3">
      <c r="A6" s="630" t="s">
        <v>23</v>
      </c>
      <c r="B6" s="631"/>
      <c r="C6" s="631"/>
      <c r="D6" s="631"/>
      <c r="E6" s="631"/>
      <c r="H6" s="661"/>
      <c r="I6" s="662"/>
      <c r="J6" s="662"/>
      <c r="K6" s="662"/>
      <c r="L6" s="662"/>
    </row>
    <row r="7" spans="1:12" ht="17.25" customHeight="1" thickBot="1" x14ac:dyDescent="0.3">
      <c r="A7" s="225" t="s">
        <v>24</v>
      </c>
      <c r="B7" s="184" t="s">
        <v>50</v>
      </c>
      <c r="C7" s="185" t="s">
        <v>77</v>
      </c>
      <c r="D7" s="186"/>
      <c r="E7" s="186">
        <v>0.13</v>
      </c>
      <c r="H7" s="661"/>
      <c r="I7" s="662"/>
      <c r="J7" s="662"/>
      <c r="K7" s="662"/>
      <c r="L7" s="662"/>
    </row>
    <row r="8" spans="1:12" ht="17.25" customHeight="1" thickBot="1" x14ac:dyDescent="0.3">
      <c r="A8" s="225" t="s">
        <v>25</v>
      </c>
      <c r="B8" s="188" t="s">
        <v>78</v>
      </c>
      <c r="C8" s="656" t="s">
        <v>79</v>
      </c>
      <c r="D8" s="657"/>
      <c r="E8" s="658"/>
      <c r="H8" s="181"/>
      <c r="I8" s="189"/>
      <c r="J8" s="190"/>
      <c r="K8" s="189"/>
      <c r="L8" s="191"/>
    </row>
    <row r="9" spans="1:12" ht="17.25" customHeight="1" thickBot="1" x14ac:dyDescent="0.3">
      <c r="A9" s="225" t="s">
        <v>26</v>
      </c>
      <c r="B9" s="192" t="s">
        <v>17</v>
      </c>
      <c r="C9" s="656" t="s">
        <v>79</v>
      </c>
      <c r="D9" s="657"/>
      <c r="E9" s="678"/>
      <c r="H9" s="193"/>
      <c r="I9" s="189"/>
      <c r="J9" s="190"/>
      <c r="K9" s="194"/>
      <c r="L9" s="191"/>
    </row>
    <row r="10" spans="1:12" ht="17.25" customHeight="1" thickBot="1" x14ac:dyDescent="0.3">
      <c r="A10" s="663"/>
      <c r="B10" s="664"/>
      <c r="C10" s="664"/>
      <c r="D10" s="664"/>
      <c r="E10" s="664"/>
      <c r="H10" s="187"/>
      <c r="I10" s="189"/>
      <c r="J10" s="195"/>
      <c r="K10" s="196"/>
      <c r="L10" s="191"/>
    </row>
    <row r="11" spans="1:12" ht="17.25" customHeight="1" thickBot="1" x14ac:dyDescent="0.3">
      <c r="A11" s="225" t="s">
        <v>27</v>
      </c>
      <c r="B11" s="184" t="s">
        <v>56</v>
      </c>
      <c r="C11" s="185" t="s">
        <v>77</v>
      </c>
      <c r="D11" s="197"/>
      <c r="E11" s="186" t="s">
        <v>81</v>
      </c>
      <c r="H11" s="187"/>
      <c r="I11" s="189"/>
      <c r="J11" s="195"/>
      <c r="K11" s="196"/>
      <c r="L11" s="191"/>
    </row>
    <row r="12" spans="1:12" ht="17.25" customHeight="1" thickBot="1" x14ac:dyDescent="0.3">
      <c r="A12" s="663"/>
      <c r="B12" s="664"/>
      <c r="C12" s="664"/>
      <c r="D12" s="664"/>
      <c r="E12" s="664"/>
      <c r="H12" s="181"/>
      <c r="I12" s="189"/>
      <c r="J12" s="190"/>
      <c r="K12" s="189"/>
      <c r="L12" s="191"/>
    </row>
    <row r="13" spans="1:12" ht="17.25" customHeight="1" thickBot="1" x14ac:dyDescent="0.3">
      <c r="A13" s="630" t="s">
        <v>8</v>
      </c>
      <c r="B13" s="631"/>
      <c r="C13" s="631"/>
      <c r="D13" s="631"/>
      <c r="E13" s="631"/>
      <c r="H13" s="181"/>
      <c r="I13" s="181"/>
      <c r="J13" s="181"/>
      <c r="K13" s="181"/>
      <c r="L13" s="181"/>
    </row>
    <row r="14" spans="1:12" ht="17.25" customHeight="1" thickBot="1" x14ac:dyDescent="0.3">
      <c r="A14" s="225" t="s">
        <v>28</v>
      </c>
      <c r="B14" s="184" t="s">
        <v>82</v>
      </c>
      <c r="C14" s="198" t="s">
        <v>80</v>
      </c>
      <c r="D14" s="186">
        <v>6.9000000000000006E-2</v>
      </c>
      <c r="E14" s="186">
        <v>8.5500000000000007E-2</v>
      </c>
      <c r="H14" s="181"/>
      <c r="I14" s="181"/>
      <c r="J14" s="181"/>
      <c r="K14" s="181"/>
      <c r="L14" s="181"/>
    </row>
    <row r="15" spans="1:12" ht="17.25" customHeight="1" thickBot="1" x14ac:dyDescent="0.3">
      <c r="A15" s="225" t="s">
        <v>29</v>
      </c>
      <c r="B15" s="184" t="s">
        <v>83</v>
      </c>
      <c r="C15" s="185" t="s">
        <v>77</v>
      </c>
      <c r="D15" s="186">
        <v>4.0000000000000001E-3</v>
      </c>
      <c r="E15" s="186">
        <v>1.9E-2</v>
      </c>
      <c r="H15" s="181"/>
      <c r="I15" s="181"/>
      <c r="J15" s="181"/>
      <c r="K15" s="181"/>
      <c r="L15" s="181"/>
    </row>
    <row r="16" spans="1:12" ht="17.25" customHeight="1" thickBot="1" x14ac:dyDescent="0.3">
      <c r="A16" s="643" t="s">
        <v>30</v>
      </c>
      <c r="B16" s="199" t="s">
        <v>94</v>
      </c>
      <c r="C16" s="200" t="s">
        <v>80</v>
      </c>
      <c r="D16" s="201">
        <v>3.1E-2</v>
      </c>
      <c r="E16" s="202">
        <v>4.65E-2</v>
      </c>
      <c r="J16" s="181"/>
      <c r="K16" s="181"/>
      <c r="L16" s="181"/>
    </row>
    <row r="17" spans="1:12" ht="17.25" customHeight="1" thickBot="1" x14ac:dyDescent="0.3">
      <c r="A17" s="644"/>
      <c r="B17" s="199" t="s">
        <v>61</v>
      </c>
      <c r="C17" s="200" t="s">
        <v>80</v>
      </c>
      <c r="D17" s="201">
        <v>8.0000000000000002E-3</v>
      </c>
      <c r="E17" s="202">
        <v>1.2E-2</v>
      </c>
      <c r="J17" s="181"/>
      <c r="K17" s="181"/>
      <c r="L17" s="181"/>
    </row>
    <row r="18" spans="1:12" ht="17.25" customHeight="1" thickBot="1" x14ac:dyDescent="0.3">
      <c r="A18" s="644"/>
      <c r="B18" s="199" t="s">
        <v>111</v>
      </c>
      <c r="C18" s="200" t="s">
        <v>80</v>
      </c>
      <c r="D18" s="201">
        <v>1.2999999999999999E-3</v>
      </c>
      <c r="E18" s="202">
        <v>2.2000000000000001E-3</v>
      </c>
      <c r="J18" s="181"/>
      <c r="K18" s="181"/>
      <c r="L18" s="181"/>
    </row>
    <row r="19" spans="1:12" ht="17.25" customHeight="1" thickBot="1" x14ac:dyDescent="0.3">
      <c r="A19" s="645"/>
      <c r="B19" s="203" t="s">
        <v>112</v>
      </c>
      <c r="C19" s="200"/>
      <c r="D19" s="186">
        <f>SUM(D16:D18)</f>
        <v>4.0300000000000002E-2</v>
      </c>
      <c r="E19" s="204">
        <f>SUM(E16:E18)</f>
        <v>6.0699999999999997E-2</v>
      </c>
      <c r="J19" s="181"/>
      <c r="K19" s="181"/>
      <c r="L19" s="181"/>
    </row>
    <row r="20" spans="1:12" ht="17.25" customHeight="1" thickBot="1" x14ac:dyDescent="0.3">
      <c r="A20" s="646" t="s">
        <v>31</v>
      </c>
      <c r="B20" s="648" t="s">
        <v>107</v>
      </c>
      <c r="C20" s="650"/>
      <c r="D20" s="652">
        <v>7.8E-2</v>
      </c>
      <c r="E20" s="654">
        <v>0.1275</v>
      </c>
      <c r="J20" s="181"/>
      <c r="K20" s="181"/>
      <c r="L20" s="181"/>
    </row>
    <row r="21" spans="1:12" ht="17.25" customHeight="1" thickBot="1" x14ac:dyDescent="0.3">
      <c r="A21" s="647"/>
      <c r="B21" s="649"/>
      <c r="C21" s="651"/>
      <c r="D21" s="653"/>
      <c r="E21" s="653"/>
      <c r="J21" s="181"/>
      <c r="K21" s="181"/>
      <c r="L21" s="181"/>
    </row>
    <row r="22" spans="1:12" ht="17.25" customHeight="1" thickBot="1" x14ac:dyDescent="0.3">
      <c r="A22" s="643" t="s">
        <v>32</v>
      </c>
      <c r="B22" s="199" t="s">
        <v>108</v>
      </c>
      <c r="C22" s="200" t="s">
        <v>109</v>
      </c>
      <c r="D22" s="201">
        <v>7.8E-2</v>
      </c>
      <c r="E22" s="202">
        <v>0.1275</v>
      </c>
      <c r="J22" s="181"/>
      <c r="K22" s="181"/>
      <c r="L22" s="181"/>
    </row>
    <row r="23" spans="1:12" ht="17.25" customHeight="1" thickBot="1" x14ac:dyDescent="0.3">
      <c r="A23" s="655"/>
      <c r="B23" s="199" t="s">
        <v>110</v>
      </c>
      <c r="C23" s="200" t="s">
        <v>109</v>
      </c>
      <c r="D23" s="201">
        <v>8.9999999999999993E-3</v>
      </c>
      <c r="E23" s="202">
        <v>1.2999999999999999E-2</v>
      </c>
      <c r="H23" s="181"/>
      <c r="I23" s="181"/>
      <c r="J23" s="181"/>
      <c r="K23" s="181"/>
      <c r="L23" s="181"/>
    </row>
    <row r="24" spans="1:12" ht="17.25" customHeight="1" thickBot="1" x14ac:dyDescent="0.3">
      <c r="A24" s="644"/>
      <c r="B24" s="199" t="s">
        <v>111</v>
      </c>
      <c r="C24" s="200" t="s">
        <v>109</v>
      </c>
      <c r="D24" s="201">
        <v>1.2999999999999999E-3</v>
      </c>
      <c r="E24" s="202">
        <v>2.2000000000000001E-3</v>
      </c>
      <c r="H24" s="181"/>
      <c r="I24" s="181"/>
      <c r="J24" s="181"/>
      <c r="K24" s="181"/>
      <c r="L24" s="181"/>
    </row>
    <row r="25" spans="1:12" ht="17.25" customHeight="1" thickBot="1" x14ac:dyDescent="0.3">
      <c r="A25" s="645"/>
      <c r="B25" s="203" t="s">
        <v>112</v>
      </c>
      <c r="C25" s="200"/>
      <c r="D25" s="186">
        <f>SUM(D22:D24)</f>
        <v>8.829999999999999E-2</v>
      </c>
      <c r="E25" s="204">
        <f>SUM(E22:E24)</f>
        <v>0.14270000000000002</v>
      </c>
      <c r="H25" s="181"/>
      <c r="I25" s="181"/>
      <c r="J25" s="181"/>
      <c r="K25" s="181"/>
      <c r="L25" s="181"/>
    </row>
    <row r="26" spans="1:12" ht="17.25" customHeight="1" thickBot="1" x14ac:dyDescent="0.3">
      <c r="A26" s="225" t="s">
        <v>34</v>
      </c>
      <c r="B26" s="199"/>
      <c r="C26" s="200"/>
      <c r="D26" s="201"/>
      <c r="E26" s="202"/>
      <c r="H26" s="181"/>
      <c r="I26" s="181"/>
      <c r="J26" s="181"/>
      <c r="K26" s="181"/>
      <c r="L26" s="181"/>
    </row>
    <row r="27" spans="1:12" ht="17.25" customHeight="1" thickBot="1" x14ac:dyDescent="0.3">
      <c r="A27" s="188"/>
      <c r="B27" s="188"/>
      <c r="C27" s="206"/>
      <c r="D27" s="207"/>
      <c r="E27" s="185"/>
      <c r="H27" s="208"/>
      <c r="I27" s="208"/>
      <c r="J27" s="208"/>
      <c r="K27" s="208"/>
      <c r="L27" s="208"/>
    </row>
    <row r="28" spans="1:12" ht="17.25" customHeight="1" thickBot="1" x14ac:dyDescent="0.3">
      <c r="A28" s="225" t="s">
        <v>36</v>
      </c>
      <c r="B28" s="184" t="s">
        <v>53</v>
      </c>
      <c r="C28" s="188"/>
      <c r="D28" s="188"/>
      <c r="E28" s="209" t="s">
        <v>85</v>
      </c>
      <c r="H28" s="208"/>
      <c r="I28" s="208"/>
      <c r="J28" s="208"/>
      <c r="K28" s="208"/>
      <c r="L28" s="208"/>
    </row>
    <row r="29" spans="1:12" ht="21.75" customHeight="1" thickBot="1" x14ac:dyDescent="0.3">
      <c r="A29" s="188"/>
    </row>
    <row r="30" spans="1:12" ht="17.25" customHeight="1" thickBot="1" x14ac:dyDescent="0.3">
      <c r="A30" s="643" t="s">
        <v>37</v>
      </c>
      <c r="B30" s="184" t="s">
        <v>86</v>
      </c>
      <c r="C30" s="185" t="s">
        <v>87</v>
      </c>
      <c r="D30" s="210">
        <v>9.4999999999999998E-3</v>
      </c>
      <c r="E30" s="202">
        <v>4.0500000000000001E-2</v>
      </c>
    </row>
    <row r="31" spans="1:12" ht="17.25" customHeight="1" thickBot="1" x14ac:dyDescent="0.3">
      <c r="A31" s="644"/>
      <c r="B31" s="188" t="s">
        <v>59</v>
      </c>
      <c r="C31" s="185" t="s">
        <v>87</v>
      </c>
      <c r="D31" s="188"/>
      <c r="E31" s="202">
        <v>1.5E-3</v>
      </c>
    </row>
    <row r="32" spans="1:12" ht="17.25" customHeight="1" thickBot="1" x14ac:dyDescent="0.3">
      <c r="A32" s="645"/>
      <c r="B32" s="203" t="s">
        <v>112</v>
      </c>
      <c r="C32" s="185"/>
      <c r="D32" s="188"/>
      <c r="E32" s="204">
        <v>4.2000000000000003E-2</v>
      </c>
    </row>
    <row r="33" spans="1:5" ht="17.25" customHeight="1" thickBot="1" x14ac:dyDescent="0.3">
      <c r="A33" s="242"/>
      <c r="B33" s="239"/>
      <c r="C33" s="240"/>
      <c r="E33" s="241"/>
    </row>
    <row r="34" spans="1:5" ht="17.25" customHeight="1" thickBot="1" x14ac:dyDescent="0.3">
      <c r="A34" s="244" t="s">
        <v>38</v>
      </c>
      <c r="B34" s="203"/>
      <c r="C34" s="185" t="s">
        <v>87</v>
      </c>
      <c r="D34" s="245">
        <v>2.4000000000000001E-4</v>
      </c>
      <c r="E34" s="246">
        <v>3.6000000000000002E-4</v>
      </c>
    </row>
    <row r="35" spans="1:5" ht="17.25" customHeight="1" thickBot="1" x14ac:dyDescent="0.3">
      <c r="A35" s="243"/>
    </row>
    <row r="36" spans="1:5" ht="17.25" customHeight="1" thickBot="1" x14ac:dyDescent="0.3">
      <c r="A36" s="643" t="s">
        <v>76</v>
      </c>
      <c r="B36" s="184" t="s">
        <v>52</v>
      </c>
      <c r="C36" s="185" t="s">
        <v>88</v>
      </c>
      <c r="D36" s="207"/>
      <c r="E36" s="185" t="s">
        <v>81</v>
      </c>
    </row>
    <row r="37" spans="1:5" ht="17.25" customHeight="1" thickBot="1" x14ac:dyDescent="0.3">
      <c r="A37" s="644"/>
      <c r="B37" s="184" t="s">
        <v>54</v>
      </c>
      <c r="C37" s="198" t="s">
        <v>89</v>
      </c>
      <c r="D37" s="188"/>
      <c r="E37" s="198" t="s">
        <v>90</v>
      </c>
    </row>
    <row r="38" spans="1:5" ht="23.25" customHeight="1" thickBot="1" x14ac:dyDescent="0.3">
      <c r="A38" s="644"/>
      <c r="B38" s="184" t="s">
        <v>55</v>
      </c>
      <c r="C38" s="185" t="s">
        <v>88</v>
      </c>
      <c r="D38" s="188"/>
      <c r="E38" s="202">
        <v>3.0000000000000001E-3</v>
      </c>
    </row>
    <row r="39" spans="1:5" ht="17.25" customHeight="1" thickBot="1" x14ac:dyDescent="0.3">
      <c r="A39" s="644"/>
      <c r="B39" s="184" t="s">
        <v>12</v>
      </c>
      <c r="C39" s="198" t="s">
        <v>88</v>
      </c>
      <c r="D39" s="188"/>
      <c r="E39" s="211">
        <v>1.6000000000000001E-4</v>
      </c>
    </row>
    <row r="40" spans="1:5" ht="17.25" customHeight="1" thickBot="1" x14ac:dyDescent="0.3">
      <c r="A40" s="644"/>
      <c r="B40" s="184" t="s">
        <v>20</v>
      </c>
      <c r="C40" s="188"/>
      <c r="D40" s="188"/>
      <c r="E40" s="202">
        <v>6.7999999999999996E-3</v>
      </c>
    </row>
    <row r="41" spans="1:5" ht="17.25" customHeight="1" thickBot="1" x14ac:dyDescent="0.3">
      <c r="A41" s="644"/>
      <c r="B41" s="184" t="s">
        <v>67</v>
      </c>
      <c r="C41" s="188"/>
      <c r="D41" s="188"/>
      <c r="E41" s="198" t="s">
        <v>91</v>
      </c>
    </row>
    <row r="42" spans="1:5" ht="17.25" customHeight="1" thickBot="1" x14ac:dyDescent="0.3">
      <c r="A42" s="644"/>
      <c r="B42" s="188" t="s">
        <v>97</v>
      </c>
      <c r="C42" s="188"/>
      <c r="D42" s="188"/>
      <c r="E42" s="202">
        <v>4.4999999999999997E-3</v>
      </c>
    </row>
    <row r="43" spans="1:5" ht="23.25" customHeight="1" thickBot="1" x14ac:dyDescent="0.3">
      <c r="A43" s="644"/>
      <c r="B43" s="188" t="s">
        <v>92</v>
      </c>
      <c r="C43" s="212" t="s">
        <v>93</v>
      </c>
      <c r="D43" s="188"/>
      <c r="E43" s="202">
        <v>8.0000000000000002E-3</v>
      </c>
    </row>
    <row r="44" spans="1:5" ht="23.25" customHeight="1" thickBot="1" x14ac:dyDescent="0.3">
      <c r="A44" s="645"/>
      <c r="B44" s="203" t="s">
        <v>112</v>
      </c>
      <c r="D44" s="188"/>
      <c r="E44" s="213" t="s">
        <v>114</v>
      </c>
    </row>
    <row r="45" spans="1:5" ht="17.25" customHeight="1" thickBot="1" x14ac:dyDescent="0.3">
      <c r="A45" s="188"/>
      <c r="B45" s="205"/>
      <c r="C45" s="205"/>
      <c r="D45" s="205"/>
      <c r="E45" s="214"/>
    </row>
    <row r="46" spans="1:5" ht="21" customHeight="1" thickBot="1" x14ac:dyDescent="0.3">
      <c r="A46" s="225" t="s">
        <v>41</v>
      </c>
      <c r="B46" s="663"/>
      <c r="C46" s="664"/>
      <c r="D46" s="664"/>
      <c r="E46" s="664"/>
    </row>
    <row r="47" spans="1:5" ht="18" customHeight="1" thickBot="1" x14ac:dyDescent="0.3">
      <c r="A47" s="188"/>
      <c r="B47" s="205"/>
      <c r="C47" s="205"/>
      <c r="D47" s="205"/>
      <c r="E47" s="214"/>
    </row>
    <row r="48" spans="1:5" ht="18" customHeight="1" thickBot="1" x14ac:dyDescent="0.3">
      <c r="A48" s="225" t="s">
        <v>42</v>
      </c>
      <c r="B48" s="673"/>
      <c r="C48" s="668" t="s">
        <v>98</v>
      </c>
      <c r="D48" s="669">
        <v>6.8000000000000005E-2</v>
      </c>
      <c r="E48" s="671"/>
    </row>
    <row r="49" spans="1:5" ht="18" customHeight="1" thickBot="1" x14ac:dyDescent="0.3">
      <c r="A49" s="188"/>
      <c r="B49" s="674"/>
      <c r="C49" s="664"/>
      <c r="D49" s="670"/>
      <c r="E49" s="672"/>
    </row>
    <row r="50" spans="1:5" ht="18" customHeight="1" thickBot="1" x14ac:dyDescent="0.3">
      <c r="A50" s="675"/>
      <c r="B50" s="676"/>
      <c r="C50" s="676"/>
      <c r="D50" s="676"/>
      <c r="E50" s="677"/>
    </row>
    <row r="51" spans="1:5" ht="18" customHeight="1" thickBot="1" x14ac:dyDescent="0.3">
      <c r="A51" s="643" t="s">
        <v>43</v>
      </c>
      <c r="B51" s="188" t="s">
        <v>99</v>
      </c>
      <c r="C51" s="668" t="s">
        <v>98</v>
      </c>
      <c r="D51" s="202">
        <v>2.4E-2</v>
      </c>
      <c r="E51" s="671"/>
    </row>
    <row r="52" spans="1:5" ht="18" customHeight="1" thickBot="1" x14ac:dyDescent="0.3">
      <c r="A52" s="644"/>
      <c r="B52" s="188" t="s">
        <v>100</v>
      </c>
      <c r="C52" s="664"/>
      <c r="D52" s="202">
        <v>5.0000000000000001E-3</v>
      </c>
      <c r="E52" s="672"/>
    </row>
    <row r="53" spans="1:5" ht="18" customHeight="1" thickBot="1" x14ac:dyDescent="0.3">
      <c r="A53" s="645"/>
      <c r="B53" s="203" t="s">
        <v>112</v>
      </c>
      <c r="C53" s="205"/>
      <c r="D53" s="204">
        <f>SUM(D51:D52)</f>
        <v>2.9000000000000001E-2</v>
      </c>
      <c r="E53" s="214"/>
    </row>
    <row r="54" spans="1:5" ht="18" customHeight="1" thickBot="1" x14ac:dyDescent="0.3">
      <c r="A54" s="188"/>
      <c r="B54" s="205"/>
      <c r="C54" s="205"/>
      <c r="D54" s="205"/>
      <c r="E54" s="214"/>
    </row>
    <row r="55" spans="1:5" ht="18" customHeight="1" thickBot="1" x14ac:dyDescent="0.3">
      <c r="A55" s="225" t="s">
        <v>44</v>
      </c>
      <c r="B55" s="663"/>
      <c r="C55" s="664"/>
      <c r="D55" s="664"/>
      <c r="E55" s="664"/>
    </row>
    <row r="56" spans="1:5" ht="18" customHeight="1" thickBot="1" x14ac:dyDescent="0.3">
      <c r="A56" s="188"/>
      <c r="B56" s="205"/>
      <c r="C56" s="205"/>
      <c r="D56" s="205"/>
      <c r="E56" s="214"/>
    </row>
    <row r="57" spans="1:5" ht="18" customHeight="1" thickBot="1" x14ac:dyDescent="0.3">
      <c r="A57" s="225" t="s">
        <v>45</v>
      </c>
      <c r="B57" s="188"/>
      <c r="C57" s="206"/>
      <c r="D57" s="210"/>
      <c r="E57" s="185"/>
    </row>
    <row r="58" spans="1:5" ht="18" customHeight="1" thickBot="1" x14ac:dyDescent="0.3">
      <c r="A58" s="188"/>
      <c r="B58" s="188"/>
      <c r="C58" s="188"/>
      <c r="D58" s="665" t="s">
        <v>46</v>
      </c>
      <c r="E58" s="647"/>
    </row>
    <row r="59" spans="1:5" ht="18" customHeight="1" thickBot="1" x14ac:dyDescent="0.3">
      <c r="A59" s="188"/>
      <c r="B59" s="188"/>
      <c r="C59" s="188"/>
      <c r="D59" s="666" t="s">
        <v>115</v>
      </c>
      <c r="E59" s="667"/>
    </row>
    <row r="60" spans="1:5" ht="26.25" customHeight="1" thickBot="1" x14ac:dyDescent="0.3">
      <c r="A60" s="215"/>
      <c r="B60" s="216"/>
      <c r="C60" s="217"/>
      <c r="D60" s="226" t="s">
        <v>47</v>
      </c>
      <c r="E60" s="227" t="s">
        <v>104</v>
      </c>
    </row>
    <row r="61" spans="1:5" ht="61.5" customHeight="1" thickBot="1" x14ac:dyDescent="0.3">
      <c r="B61" s="218"/>
      <c r="C61" s="218"/>
      <c r="D61" s="219" t="s">
        <v>116</v>
      </c>
      <c r="E61" s="220" t="s">
        <v>117</v>
      </c>
    </row>
  </sheetData>
  <mergeCells count="38">
    <mergeCell ref="C9:E9"/>
    <mergeCell ref="A13:E13"/>
    <mergeCell ref="B46:E46"/>
    <mergeCell ref="A16:A19"/>
    <mergeCell ref="A10:E10"/>
    <mergeCell ref="A12:E12"/>
    <mergeCell ref="B55:E55"/>
    <mergeCell ref="D58:E58"/>
    <mergeCell ref="D59:E59"/>
    <mergeCell ref="A51:A53"/>
    <mergeCell ref="C48:C49"/>
    <mergeCell ref="D48:D49"/>
    <mergeCell ref="E48:E49"/>
    <mergeCell ref="C51:C52"/>
    <mergeCell ref="E51:E52"/>
    <mergeCell ref="B48:B49"/>
    <mergeCell ref="A50:E50"/>
    <mergeCell ref="H5:H7"/>
    <mergeCell ref="I5:I7"/>
    <mergeCell ref="J5:J7"/>
    <mergeCell ref="K5:K7"/>
    <mergeCell ref="L5:L7"/>
    <mergeCell ref="A1:E1"/>
    <mergeCell ref="A36:A44"/>
    <mergeCell ref="A20:A21"/>
    <mergeCell ref="B20:B21"/>
    <mergeCell ref="C20:C21"/>
    <mergeCell ref="D20:D21"/>
    <mergeCell ref="E20:E21"/>
    <mergeCell ref="A22:A25"/>
    <mergeCell ref="A30:A32"/>
    <mergeCell ref="C8:E8"/>
    <mergeCell ref="A4:A5"/>
    <mergeCell ref="B4:B5"/>
    <mergeCell ref="C4:C5"/>
    <mergeCell ref="D4:D5"/>
    <mergeCell ref="E4:E5"/>
    <mergeCell ref="A6:E6"/>
  </mergeCells>
  <pageMargins left="0" right="0" top="0" bottom="0" header="0" footer="0"/>
  <pageSetup paperSize="9" orientation="landscape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E566-4B47-4AE0-9160-E1E192DD5CC7}">
  <dimension ref="A1:F8"/>
  <sheetViews>
    <sheetView zoomScale="180" zoomScaleNormal="180" workbookViewId="0">
      <selection activeCell="C16" sqref="C16"/>
    </sheetView>
  </sheetViews>
  <sheetFormatPr baseColWidth="10" defaultRowHeight="15" x14ac:dyDescent="0.25"/>
  <cols>
    <col min="1" max="1" width="21.42578125" style="279" customWidth="1"/>
    <col min="2" max="2" width="14.28515625" style="279" bestFit="1" customWidth="1"/>
    <col min="3" max="3" width="9.28515625" style="279" customWidth="1"/>
    <col min="4" max="4" width="13.140625" style="279" bestFit="1" customWidth="1"/>
    <col min="5" max="5" width="11.42578125" style="279"/>
    <col min="6" max="6" width="22.7109375" style="279" bestFit="1" customWidth="1"/>
    <col min="7" max="16384" width="11.42578125" style="279"/>
  </cols>
  <sheetData>
    <row r="1" spans="1:6" ht="18.75" x14ac:dyDescent="0.25">
      <c r="A1" s="281" t="s">
        <v>140</v>
      </c>
    </row>
    <row r="3" spans="1:6" x14ac:dyDescent="0.25">
      <c r="A3" s="282" t="s">
        <v>141</v>
      </c>
      <c r="B3" s="283" t="s">
        <v>149</v>
      </c>
      <c r="C3" s="282" t="s">
        <v>142</v>
      </c>
    </row>
    <row r="4" spans="1:6" ht="15.75" thickBot="1" x14ac:dyDescent="0.3">
      <c r="F4" s="284"/>
    </row>
    <row r="5" spans="1:6" ht="18" customHeight="1" x14ac:dyDescent="0.25">
      <c r="A5" s="285"/>
      <c r="B5" s="277" t="s">
        <v>138</v>
      </c>
      <c r="C5" s="277" t="s">
        <v>143</v>
      </c>
      <c r="D5" s="278" t="s">
        <v>145</v>
      </c>
    </row>
    <row r="6" spans="1:6" ht="18" customHeight="1" x14ac:dyDescent="0.25">
      <c r="A6" s="286">
        <v>43101</v>
      </c>
      <c r="B6" s="287">
        <v>2000</v>
      </c>
      <c r="C6" s="280"/>
      <c r="D6" s="288"/>
    </row>
    <row r="7" spans="1:6" ht="18" customHeight="1" x14ac:dyDescent="0.25">
      <c r="A7" s="289">
        <v>43132</v>
      </c>
      <c r="B7" s="287">
        <v>2000</v>
      </c>
      <c r="C7" s="287">
        <v>600</v>
      </c>
      <c r="D7" s="288" t="s">
        <v>146</v>
      </c>
    </row>
    <row r="8" spans="1:6" ht="18" customHeight="1" thickBot="1" x14ac:dyDescent="0.3">
      <c r="A8" s="290">
        <v>43160</v>
      </c>
      <c r="B8" s="291">
        <v>2000</v>
      </c>
      <c r="C8" s="291"/>
      <c r="D8" s="29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4</vt:i4>
      </vt:variant>
    </vt:vector>
  </HeadingPairs>
  <TitlesOfParts>
    <vt:vector size="15" baseType="lpstr">
      <vt:lpstr>Bulletin non-cadre</vt:lpstr>
      <vt:lpstr> bulletin simplif non-cadre</vt:lpstr>
      <vt:lpstr>Exercice 1</vt:lpstr>
      <vt:lpstr>OUTILS</vt:lpstr>
      <vt:lpstr> bulletin cadre</vt:lpstr>
      <vt:lpstr>bulletin cadre simplifié</vt:lpstr>
      <vt:lpstr>Décomposition non-cadre</vt:lpstr>
      <vt:lpstr>Décomposition cadre</vt:lpstr>
      <vt:lpstr>temps partiel</vt:lpstr>
      <vt:lpstr>temps complet</vt:lpstr>
      <vt:lpstr> enonce NC</vt:lpstr>
      <vt:lpstr>' bulletin cadre'!_Toc409093540</vt:lpstr>
      <vt:lpstr>' bulletin simplif non-cadre'!_Toc409093540</vt:lpstr>
      <vt:lpstr>' enonce NC'!_Toc409093540</vt:lpstr>
      <vt:lpstr>'Bulletin non-cadre'!_Toc409093540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ARKHOS</cp:lastModifiedBy>
  <cp:lastPrinted>2018-01-31T09:55:16Z</cp:lastPrinted>
  <dcterms:created xsi:type="dcterms:W3CDTF">2017-10-11T09:58:25Z</dcterms:created>
  <dcterms:modified xsi:type="dcterms:W3CDTF">2023-03-19T09:34:05Z</dcterms:modified>
</cp:coreProperties>
</file>