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EXCEL PERF\Vidéo 6 LE BULLETIN SIMPLIFIE APPLICATION\"/>
    </mc:Choice>
  </mc:AlternateContent>
  <bookViews>
    <workbookView xWindow="0" yWindow="0" windowWidth="24000" windowHeight="9510" firstSheet="1" activeTab="3" xr2:uid="{2CDD76BD-2964-405C-B9B8-D38D49F646F8}"/>
  </bookViews>
  <sheets>
    <sheet name="DONNEES DE REFERENCE (2)" sheetId="11" r:id="rId1"/>
    <sheet name="DONNEES DE REFERENCE" sheetId="10" r:id="rId2"/>
    <sheet name="Bulletin non-cadre" sheetId="7" r:id="rId3"/>
    <sheet name=" bulletin simplif non-cadre" sheetId="8" r:id="rId4"/>
  </sheets>
  <definedNames>
    <definedName name="_Toc409093540" localSheetId="3">' bulletin simplif non-cadre'!$A$1</definedName>
    <definedName name="_Toc409093540" localSheetId="2">'Bulletin non-cadre'!$A$1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" l="1"/>
  <c r="E22" i="8" l="1"/>
  <c r="E20" i="8"/>
  <c r="E17" i="8"/>
  <c r="C17" i="8"/>
  <c r="B17" i="8"/>
  <c r="E14" i="8"/>
  <c r="E21" i="8"/>
  <c r="E16" i="8"/>
  <c r="E15" i="8"/>
  <c r="E11" i="8"/>
  <c r="E8" i="8"/>
  <c r="E7" i="8"/>
  <c r="C27" i="8"/>
  <c r="C26" i="8"/>
  <c r="C21" i="8"/>
  <c r="C16" i="8"/>
  <c r="C15" i="8"/>
  <c r="C14" i="8"/>
  <c r="C9" i="8"/>
  <c r="D9" i="8" s="1"/>
  <c r="C8" i="8"/>
  <c r="C7" i="8"/>
  <c r="B8" i="8"/>
  <c r="B19" i="7"/>
  <c r="C7" i="7"/>
  <c r="B18" i="10"/>
  <c r="B13" i="10"/>
  <c r="B12" i="10"/>
  <c r="B10" i="10"/>
  <c r="E47" i="7"/>
  <c r="C39" i="7"/>
  <c r="E39" i="7"/>
  <c r="D17" i="8" l="1"/>
  <c r="D8" i="8"/>
  <c r="E40" i="7"/>
  <c r="C40" i="7"/>
  <c r="E23" i="7"/>
  <c r="C8" i="7"/>
  <c r="E17" i="7"/>
  <c r="C6" i="7"/>
  <c r="C5" i="7"/>
  <c r="B8" i="7"/>
  <c r="B7" i="7"/>
  <c r="B6" i="7"/>
  <c r="B5" i="7"/>
  <c r="D4" i="7"/>
  <c r="D7" i="7" l="1"/>
  <c r="B40" i="7"/>
  <c r="B39" i="7"/>
  <c r="D8" i="7"/>
  <c r="D6" i="7"/>
  <c r="D5" i="7"/>
  <c r="D10" i="7" l="1"/>
  <c r="B21" i="7" s="1"/>
  <c r="F21" i="7" s="1"/>
  <c r="B20" i="10" l="1"/>
  <c r="F30" i="7" s="1"/>
  <c r="B20" i="7"/>
  <c r="B36" i="7"/>
  <c r="B33" i="7"/>
  <c r="B47" i="7"/>
  <c r="F47" i="7" s="1"/>
  <c r="B37" i="7"/>
  <c r="B32" i="7"/>
  <c r="B35" i="7"/>
  <c r="B18" i="7"/>
  <c r="B38" i="7"/>
  <c r="B15" i="7"/>
  <c r="B17" i="7"/>
  <c r="B3" i="8"/>
  <c r="B14" i="7"/>
  <c r="B22" i="7"/>
  <c r="B27" i="7"/>
  <c r="B25" i="7"/>
  <c r="B26" i="7"/>
  <c r="B28" i="7"/>
  <c r="B46" i="7" s="1"/>
  <c r="B14" i="8" l="1"/>
  <c r="B11" i="8"/>
  <c r="B15" i="8"/>
  <c r="B16" i="8"/>
  <c r="E29" i="8" l="1"/>
  <c r="E37" i="8" s="1"/>
  <c r="I22" i="8"/>
  <c r="I16" i="8"/>
  <c r="I8" i="8"/>
  <c r="F33" i="7" l="1"/>
  <c r="F35" i="7"/>
  <c r="D27" i="7"/>
  <c r="D25" i="7"/>
  <c r="D26" i="7"/>
  <c r="D39" i="7" l="1"/>
  <c r="F39" i="7"/>
  <c r="D35" i="7"/>
  <c r="F28" i="7"/>
  <c r="F14" i="7"/>
  <c r="D14" i="7"/>
  <c r="B21" i="8"/>
  <c r="B22" i="8"/>
  <c r="B7" i="8"/>
  <c r="F37" i="7"/>
  <c r="D37" i="7"/>
  <c r="D32" i="7"/>
  <c r="F32" i="7"/>
  <c r="F46" i="7" l="1"/>
  <c r="D40" i="7"/>
  <c r="F40" i="7"/>
  <c r="E9" i="8"/>
  <c r="D21" i="8"/>
  <c r="B20" i="8"/>
  <c r="D7" i="8"/>
  <c r="B16" i="7"/>
  <c r="F15" i="7"/>
  <c r="D15" i="7"/>
  <c r="B41" i="7" l="1"/>
  <c r="B42" i="7" s="1"/>
  <c r="B29" i="7"/>
  <c r="F29" i="7" s="1"/>
  <c r="B26" i="8"/>
  <c r="B27" i="8" s="1"/>
  <c r="D27" i="8" s="1"/>
  <c r="F16" i="7"/>
  <c r="D16" i="7"/>
  <c r="D14" i="8"/>
  <c r="D41" i="7" l="1"/>
  <c r="D26" i="8"/>
  <c r="D15" i="8"/>
  <c r="B43" i="7"/>
  <c r="D43" i="7" s="1"/>
  <c r="D42" i="7"/>
  <c r="F17" i="7"/>
  <c r="D50" i="7" l="1"/>
  <c r="F18" i="7"/>
  <c r="E32" i="8"/>
  <c r="D16" i="8"/>
  <c r="D32" i="8" s="1"/>
  <c r="D35" i="8" s="1"/>
  <c r="D37" i="8" l="1"/>
  <c r="D52" i="7"/>
  <c r="D40" i="8" s="1"/>
  <c r="D51" i="7"/>
  <c r="F20" i="7"/>
  <c r="B23" i="7" l="1"/>
  <c r="F22" i="7"/>
  <c r="F23" i="7" l="1"/>
  <c r="B24" i="7"/>
  <c r="F24" i="7" s="1"/>
  <c r="F50" i="7" l="1"/>
</calcChain>
</file>

<file path=xl/sharedStrings.xml><?xml version="1.0" encoding="utf-8"?>
<sst xmlns="http://schemas.openxmlformats.org/spreadsheetml/2006/main" count="159" uniqueCount="121">
  <si>
    <t>Salaire brut</t>
  </si>
  <si>
    <t>Bases</t>
  </si>
  <si>
    <t>Salarial</t>
  </si>
  <si>
    <t>Retenues sal</t>
  </si>
  <si>
    <t>Patronal</t>
  </si>
  <si>
    <t>Cot patron.</t>
  </si>
  <si>
    <t>Retraite</t>
  </si>
  <si>
    <t>C.S.G. non déductible</t>
  </si>
  <si>
    <t>C.S.G. déductible</t>
  </si>
  <si>
    <t>CRDS non déductible</t>
  </si>
  <si>
    <t>Contribution au dialogue social</t>
  </si>
  <si>
    <t>Pénibilité cotisation universelle</t>
  </si>
  <si>
    <t>PÔLE EMPLOI</t>
  </si>
  <si>
    <t>Mutuelle</t>
  </si>
  <si>
    <t>Taxe d'apprentissage</t>
  </si>
  <si>
    <t>Total de cotisations</t>
  </si>
  <si>
    <t>SANTE</t>
  </si>
  <si>
    <t>Sécurité sociale - Maladie - Maternité - Invalidité décés</t>
  </si>
  <si>
    <t>Complémentaire incapacité invalidité décés</t>
  </si>
  <si>
    <t>Complémentaire santé</t>
  </si>
  <si>
    <t>Accident du travail - Maladies professionnelles</t>
  </si>
  <si>
    <t>Sécurité sociale plafonnée</t>
  </si>
  <si>
    <t>Sécurité sociale déplafonnée</t>
  </si>
  <si>
    <t>Supplémentaire</t>
  </si>
  <si>
    <t>Famille sécurité sociale</t>
  </si>
  <si>
    <t>Assurance chomage</t>
  </si>
  <si>
    <t>Cotisations statutaires ou prévues par la convention collective</t>
  </si>
  <si>
    <t>C.S.G. non imposable à l'impôt sur le revenu</t>
  </si>
  <si>
    <t>C.S.G/CRDS imposable à l'impôt sur le revenu</t>
  </si>
  <si>
    <t>Allègement des cotisations</t>
  </si>
  <si>
    <t>Total de cotisations et contributions</t>
  </si>
  <si>
    <t>Net payé en euros</t>
  </si>
  <si>
    <t>Total versé
par l'employeur</t>
  </si>
  <si>
    <t>Allègement
de cotisations</t>
  </si>
  <si>
    <t>Bulletin d’un salarié non cadre</t>
  </si>
  <si>
    <t>Vieillesse</t>
  </si>
  <si>
    <t>Allocations familiales</t>
  </si>
  <si>
    <t>Contribution de solidarité autonomie</t>
  </si>
  <si>
    <t>Accident du travail</t>
  </si>
  <si>
    <t>AGS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</si>
  <si>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</si>
  <si>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</si>
  <si>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</si>
  <si>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</si>
  <si>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DIVERS</t>
  </si>
  <si>
    <t>RETRAITE COMPLEMENTAIRE ET PREVOYANCES</t>
  </si>
  <si>
    <t>Taux salarial</t>
  </si>
  <si>
    <t>Part salarié</t>
  </si>
  <si>
    <t>Part employeur</t>
  </si>
  <si>
    <t>Complémentaire Tranche 1</t>
  </si>
  <si>
    <t>Complémentaire Tranche 2</t>
  </si>
  <si>
    <t>Autres contributions dues par l'employeur</t>
  </si>
  <si>
    <t>LES DONNEES</t>
  </si>
  <si>
    <t>Salaire de base pour 151,67 h</t>
  </si>
  <si>
    <t>Nombre d'heures supplémentaires à 25%</t>
  </si>
  <si>
    <t>Nombre d'heures supplémentaires à 50%</t>
  </si>
  <si>
    <t>Nombre d'heures d'absence</t>
  </si>
  <si>
    <t>LE SALARIE</t>
  </si>
  <si>
    <t>L'ENTREPRISE</t>
  </si>
  <si>
    <t>Effectif</t>
  </si>
  <si>
    <t>Taux accident du travail</t>
  </si>
  <si>
    <t>Taux de versement transport</t>
  </si>
  <si>
    <t>Taux salarial de prévoyance</t>
  </si>
  <si>
    <t>Taux patronal de prévoyance</t>
  </si>
  <si>
    <t>Taux salarial de mutuelle</t>
  </si>
  <si>
    <t>Taux patronal de mutuelle</t>
  </si>
  <si>
    <t>Assiette prévoyance</t>
  </si>
  <si>
    <t>Assiette mutuelle</t>
  </si>
  <si>
    <t>Début du mois</t>
  </si>
  <si>
    <t>Fin de mois</t>
  </si>
  <si>
    <t>Salaire de base</t>
  </si>
  <si>
    <t>Heures sup à 125%</t>
  </si>
  <si>
    <t>Heures sup à 150%</t>
  </si>
  <si>
    <t>Heures d'absence</t>
  </si>
  <si>
    <t>Durée en jours ouvrables</t>
  </si>
  <si>
    <t>Prime d'ancienneté</t>
  </si>
  <si>
    <t xml:space="preserve"> </t>
  </si>
  <si>
    <t>Taux</t>
  </si>
  <si>
    <t>Montant</t>
  </si>
  <si>
    <t>Nombre / Base</t>
  </si>
  <si>
    <t>Ancienneté</t>
  </si>
  <si>
    <t>Taux prime</t>
  </si>
  <si>
    <t>PRIME ANCIENNETE (Sur salaire de base)</t>
  </si>
  <si>
    <t>Date embauche</t>
  </si>
  <si>
    <t>Coefficient allègement 0,2809 ou 0,2849</t>
  </si>
  <si>
    <t xml:space="preserve">Maladie </t>
  </si>
  <si>
    <r>
      <t xml:space="preserve">Allègement FILLON = </t>
    </r>
    <r>
      <rPr>
        <b/>
        <sz val="10"/>
        <color rgb="FFFF0000"/>
        <rFont val="Arial"/>
        <family val="2"/>
      </rPr>
      <t>coef/0,6 * ((1,6 * 9,76 *151,6666 / brut-1)</t>
    </r>
  </si>
  <si>
    <r>
      <t xml:space="preserve">NON CADRES </t>
    </r>
    <r>
      <rPr>
        <b/>
        <sz val="9"/>
        <color rgb="FFFF0000"/>
        <rFont val="Arial"/>
        <family val="2"/>
      </rPr>
      <t>sur T1 donc inférieur ou égal à 3 269 €</t>
    </r>
  </si>
  <si>
    <r>
      <t xml:space="preserve">NON CADRES </t>
    </r>
    <r>
      <rPr>
        <b/>
        <sz val="9"/>
        <color rgb="FFFF0000"/>
        <rFont val="Arial"/>
        <family val="2"/>
      </rPr>
      <t>sur T2 donc entre un et deux plafonds de 3 269 €</t>
    </r>
  </si>
  <si>
    <r>
      <t xml:space="preserve">AGFF T1 </t>
    </r>
    <r>
      <rPr>
        <b/>
        <sz val="9"/>
        <color rgb="FFFF0000"/>
        <rFont val="Arial"/>
        <family val="2"/>
      </rPr>
      <t>sur T1 donc inférieur ou égal à 3 269 €</t>
    </r>
  </si>
  <si>
    <r>
      <t xml:space="preserve">AGFF T2 </t>
    </r>
    <r>
      <rPr>
        <b/>
        <sz val="9"/>
        <color rgb="FFFF0000"/>
        <rFont val="Arial"/>
        <family val="2"/>
      </rPr>
      <t>sur T2 donc entre un et deux plafonds de 3 269 €</t>
    </r>
  </si>
  <si>
    <r>
      <t xml:space="preserve">Chômage </t>
    </r>
    <r>
      <rPr>
        <b/>
        <sz val="9"/>
        <color rgb="FFFF0000"/>
        <rFont val="Arial"/>
        <family val="2"/>
      </rPr>
      <t xml:space="preserve">sur TA et TB donc limité à 4 plafonds </t>
    </r>
  </si>
  <si>
    <t>Plafond de sécurité sociale</t>
  </si>
  <si>
    <t>Coefficient FILLON calculé selon les données saisies</t>
  </si>
  <si>
    <t>SMIX horaire</t>
  </si>
  <si>
    <t>Nombre d'heures</t>
  </si>
  <si>
    <t>Bulletin en format complet d’un salarié non cadre</t>
  </si>
  <si>
    <t>Durée en jours ouvrés</t>
  </si>
  <si>
    <r>
      <t xml:space="preserve">Formation professionnelle : </t>
    </r>
    <r>
      <rPr>
        <b/>
        <sz val="9"/>
        <color rgb="FFFF0000"/>
        <rFont val="Arial"/>
        <family val="2"/>
      </rPr>
      <t>Taux de 0,55% si effectif &lt; 11 salariés et 1% au dessus</t>
    </r>
  </si>
  <si>
    <r>
      <t>Vieillesse sur</t>
    </r>
    <r>
      <rPr>
        <b/>
        <sz val="9"/>
        <color rgb="FFFF0000"/>
        <rFont val="Arial"/>
        <family val="2"/>
      </rPr>
      <t xml:space="preserve"> TA donc limité à 3 269 €</t>
    </r>
  </si>
  <si>
    <r>
      <t xml:space="preserve">Allocations familiales complémentaire </t>
    </r>
    <r>
      <rPr>
        <b/>
        <sz val="9"/>
        <color rgb="FFFF0000"/>
        <rFont val="Arial"/>
        <family val="2"/>
      </rPr>
      <t>sur partie de salaire &gt; 3,5 SMIC</t>
    </r>
  </si>
  <si>
    <r>
      <t xml:space="preserve">Versement transport </t>
    </r>
    <r>
      <rPr>
        <b/>
        <sz val="9"/>
        <color rgb="FFFF0000"/>
        <rFont val="Arial"/>
        <family val="2"/>
      </rPr>
      <t>si l'effectif est supérieur ou égal à 11 salariés</t>
    </r>
  </si>
  <si>
    <r>
      <t>Allocations logement FNAL</t>
    </r>
    <r>
      <rPr>
        <b/>
        <sz val="9"/>
        <color rgb="FFFF0000"/>
        <rFont val="Arial"/>
        <family val="2"/>
      </rPr>
      <t xml:space="preserve"> si effectif inférieur à 20 sur TA</t>
    </r>
  </si>
  <si>
    <r>
      <t>Allocations logement FNAL</t>
    </r>
    <r>
      <rPr>
        <b/>
        <sz val="9"/>
        <color rgb="FFFF0000"/>
        <rFont val="Arial"/>
        <family val="2"/>
      </rPr>
      <t xml:space="preserve"> si effectif supérieur ou égal à 20 sur le salaire brut</t>
    </r>
  </si>
  <si>
    <r>
      <t xml:space="preserve">Forfait social </t>
    </r>
    <r>
      <rPr>
        <b/>
        <sz val="9"/>
        <color rgb="FFFF0000"/>
        <rFont val="Arial"/>
        <family val="2"/>
      </rPr>
      <t>sur cotisations patronales de prévoyance en cas d'effectif &gt;= 11 salariés</t>
    </r>
  </si>
  <si>
    <r>
      <t xml:space="preserve">Net à payer : </t>
    </r>
    <r>
      <rPr>
        <b/>
        <sz val="9"/>
        <color rgb="FFFF0000"/>
        <rFont val="Arial"/>
        <family val="2"/>
      </rPr>
      <t>Salaire brut - total des cotisations salariales</t>
    </r>
  </si>
  <si>
    <r>
      <t>Net imposable :</t>
    </r>
    <r>
      <rPr>
        <b/>
        <sz val="12"/>
        <color rgb="FFFF0000"/>
        <rFont val="Arial"/>
        <family val="2"/>
      </rPr>
      <t xml:space="preserve"> Salaire brut - total des cotisations salariales + CSG non déductible + CRDS + Cotisation patronale de mutuelle</t>
    </r>
  </si>
  <si>
    <t>=ARRONDI('DONNEES DE REFERENCE'!$B$4/151,67*1,25;2)</t>
  </si>
  <si>
    <t>=ARRONDI('DONNEES DE REFERENCE'!$B$4/151,67*1,5;2)</t>
  </si>
  <si>
    <t>=SIERREUR(RECHERCHEV('DONNEES DE REFERENCE'!$B$12;'DONNEES DE REFERENCE'!$D$6:$E$8;2;1);0)</t>
  </si>
  <si>
    <t>=ARRONDI('DONNEES DE REFERENCE'!B4/('DONNEES DE REFERENCE'!E10*7);2)</t>
  </si>
  <si>
    <t>=SI($D$10&gt;'DONNEES DE REFERENCE'!$B$22;'DONNEES DE REFERENCE'!$B$22;'Bulletin non-cadre'!$D$10)</t>
  </si>
  <si>
    <t>=SI('DONNEES DE REFERENCE'!$B$17&lt;11;0;$D$10)</t>
  </si>
  <si>
    <t>=SI('DONNEES DE REFERENCE'!G17&gt;=20;'Bulletin non-cadre'!I10;0)</t>
  </si>
  <si>
    <t>=SI('DONNEES DE REFERENCE'!C20&lt;0;"";'Bulletin non-cadre'!E10*'DONNEES DE REFERENCE'!C20)</t>
  </si>
  <si>
    <t>=SI('DONNEES DE REFERENCE'!$B$17&lt;11;0;K39+K40)</t>
  </si>
  <si>
    <t>effectif</t>
  </si>
  <si>
    <t>B17</t>
  </si>
  <si>
    <t>B22</t>
  </si>
  <si>
    <t>Plafond</t>
  </si>
  <si>
    <t xml:space="preserve">Net imposable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</si>
</sst>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0" fontId="6" fillId="0" borderId="2" xfId="0" applyNumberFormat="1" applyFont="1" applyFill="1" applyBorder="1" applyAlignment="1">
      <alignment horizontal="center" vertical="center"/>
    </xf>
    <xf numFmtId="8" fontId="7" fillId="0" borderId="2" xfId="0" applyNumberFormat="1" applyFont="1" applyFill="1" applyBorder="1" applyAlignment="1">
      <alignment horizontal="right" vertical="center"/>
    </xf>
    <xf numFmtId="10" fontId="7" fillId="2" borderId="2" xfId="0" applyNumberFormat="1" applyFont="1" applyFill="1" applyBorder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8" fontId="5" fillId="0" borderId="0" xfId="0" applyNumberFormat="1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8" fontId="8" fillId="0" borderId="8" xfId="0" applyNumberFormat="1" applyFont="1" applyFill="1" applyBorder="1" applyAlignment="1">
      <alignment horizontal="right" vertical="center"/>
    </xf>
    <xf numFmtId="4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8" fontId="6" fillId="0" borderId="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8" fontId="5" fillId="0" borderId="2" xfId="0" applyNumberFormat="1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/>
    </xf>
    <xf numFmtId="8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2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0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8" fontId="6" fillId="0" borderId="8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8" fontId="5" fillId="0" borderId="16" xfId="1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0" applyNumberFormat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14" fontId="0" fillId="0" borderId="0" xfId="0" applyNumberFormat="1"/>
    <xf numFmtId="9" fontId="0" fillId="4" borderId="22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44" fontId="7" fillId="0" borderId="8" xfId="1" applyFont="1" applyFill="1" applyBorder="1" applyAlignment="1">
      <alignment horizontal="right" vertical="center"/>
    </xf>
    <xf numFmtId="10" fontId="7" fillId="0" borderId="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8" fontId="6" fillId="0" borderId="27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43" fontId="4" fillId="0" borderId="26" xfId="4" applyFont="1" applyFill="1" applyBorder="1" applyAlignment="1">
      <alignment vertical="center"/>
    </xf>
    <xf numFmtId="43" fontId="4" fillId="0" borderId="22" xfId="4" applyFont="1" applyFill="1" applyBorder="1" applyAlignment="1">
      <alignment vertical="center"/>
    </xf>
    <xf numFmtId="43" fontId="4" fillId="0" borderId="27" xfId="4" applyFont="1" applyFill="1" applyBorder="1" applyAlignment="1">
      <alignment vertical="center"/>
    </xf>
    <xf numFmtId="44" fontId="4" fillId="0" borderId="22" xfId="1" applyFont="1" applyBorder="1" applyAlignment="1">
      <alignment vertical="center"/>
    </xf>
    <xf numFmtId="44" fontId="4" fillId="0" borderId="22" xfId="1" applyFont="1" applyFill="1" applyBorder="1" applyAlignment="1">
      <alignment vertical="center"/>
    </xf>
    <xf numFmtId="44" fontId="5" fillId="0" borderId="24" xfId="1" applyFont="1" applyFill="1" applyBorder="1" applyAlignment="1">
      <alignment vertical="center"/>
    </xf>
    <xf numFmtId="44" fontId="6" fillId="0" borderId="11" xfId="0" applyNumberFormat="1" applyFont="1" applyFill="1" applyBorder="1" applyAlignment="1">
      <alignment horizontal="right" vertical="center"/>
    </xf>
    <xf numFmtId="44" fontId="5" fillId="0" borderId="16" xfId="1" applyNumberFormat="1" applyFont="1" applyBorder="1" applyAlignment="1">
      <alignment vertical="center"/>
    </xf>
    <xf numFmtId="10" fontId="7" fillId="4" borderId="2" xfId="0" applyNumberFormat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right" vertical="center"/>
    </xf>
    <xf numFmtId="44" fontId="15" fillId="0" borderId="0" xfId="0" applyNumberFormat="1" applyFont="1" applyAlignment="1">
      <alignment vertical="center"/>
    </xf>
    <xf numFmtId="0" fontId="0" fillId="0" borderId="19" xfId="0" applyBorder="1"/>
    <xf numFmtId="44" fontId="0" fillId="3" borderId="20" xfId="1" applyFont="1" applyFill="1" applyBorder="1"/>
    <xf numFmtId="0" fontId="0" fillId="0" borderId="21" xfId="0" applyBorder="1"/>
    <xf numFmtId="0" fontId="0" fillId="3" borderId="22" xfId="0" applyFill="1" applyBorder="1"/>
    <xf numFmtId="14" fontId="0" fillId="3" borderId="22" xfId="0" applyNumberFormat="1" applyFill="1" applyBorder="1"/>
    <xf numFmtId="0" fontId="0" fillId="5" borderId="22" xfId="0" applyFill="1" applyBorder="1"/>
    <xf numFmtId="0" fontId="0" fillId="0" borderId="23" xfId="0" applyBorder="1"/>
    <xf numFmtId="0" fontId="0" fillId="5" borderId="24" xfId="0" applyFill="1" applyBorder="1"/>
    <xf numFmtId="0" fontId="0" fillId="3" borderId="20" xfId="0" applyFill="1" applyBorder="1"/>
    <xf numFmtId="44" fontId="0" fillId="3" borderId="22" xfId="1" applyFont="1" applyFill="1" applyBorder="1"/>
    <xf numFmtId="0" fontId="2" fillId="0" borderId="21" xfId="0" applyFont="1" applyBorder="1"/>
    <xf numFmtId="9" fontId="0" fillId="3" borderId="22" xfId="0" applyNumberFormat="1" applyFill="1" applyBorder="1"/>
    <xf numFmtId="44" fontId="0" fillId="4" borderId="22" xfId="1" applyFont="1" applyFill="1" applyBorder="1"/>
    <xf numFmtId="10" fontId="0" fillId="3" borderId="22" xfId="0" applyNumberFormat="1" applyFill="1" applyBorder="1"/>
    <xf numFmtId="0" fontId="0" fillId="0" borderId="22" xfId="0" applyBorder="1"/>
    <xf numFmtId="0" fontId="0" fillId="0" borderId="24" xfId="0" applyBorder="1"/>
    <xf numFmtId="10" fontId="7" fillId="0" borderId="2" xfId="2" applyNumberFormat="1" applyFont="1" applyFill="1" applyBorder="1" applyAlignment="1">
      <alignment horizontal="right" vertical="center"/>
    </xf>
    <xf numFmtId="10" fontId="7" fillId="4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vertical="center"/>
    </xf>
    <xf numFmtId="44" fontId="7" fillId="6" borderId="2" xfId="0" applyNumberFormat="1" applyFont="1" applyFill="1" applyBorder="1" applyAlignment="1">
      <alignment horizontal="right" vertical="center"/>
    </xf>
    <xf numFmtId="10" fontId="7" fillId="6" borderId="2" xfId="0" applyNumberFormat="1" applyFont="1" applyFill="1" applyBorder="1" applyAlignment="1">
      <alignment horizontal="center" vertical="center"/>
    </xf>
    <xf numFmtId="10" fontId="8" fillId="6" borderId="2" xfId="0" applyNumberFormat="1" applyFont="1" applyFill="1" applyBorder="1" applyAlignment="1">
      <alignment horizontal="center" vertical="center"/>
    </xf>
    <xf numFmtId="44" fontId="4" fillId="6" borderId="26" xfId="1" applyFont="1" applyFill="1" applyBorder="1" applyAlignment="1">
      <alignment horizontal="center" vertical="center"/>
    </xf>
    <xf numFmtId="9" fontId="4" fillId="6" borderId="26" xfId="2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/>
    </xf>
    <xf numFmtId="0" fontId="4" fillId="6" borderId="34" xfId="0" applyFont="1" applyFill="1" applyBorder="1" applyAlignment="1">
      <alignment vertical="center"/>
    </xf>
    <xf numFmtId="9" fontId="3" fillId="6" borderId="35" xfId="2" quotePrefix="1" applyFont="1" applyFill="1" applyBorder="1" applyAlignment="1">
      <alignment vertical="center"/>
    </xf>
    <xf numFmtId="9" fontId="3" fillId="6" borderId="36" xfId="2" quotePrefix="1" applyFont="1" applyFill="1" applyBorder="1" applyAlignment="1">
      <alignment vertical="center"/>
    </xf>
    <xf numFmtId="0" fontId="4" fillId="6" borderId="37" xfId="0" applyFont="1" applyFill="1" applyBorder="1" applyAlignment="1">
      <alignment vertical="center"/>
    </xf>
    <xf numFmtId="8" fontId="8" fillId="0" borderId="9" xfId="0" applyNumberFormat="1" applyFont="1" applyFill="1" applyBorder="1" applyAlignment="1">
      <alignment horizontal="right" vertical="center"/>
    </xf>
    <xf numFmtId="0" fontId="4" fillId="6" borderId="38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8" fontId="12" fillId="6" borderId="9" xfId="0" applyNumberFormat="1" applyFont="1" applyFill="1" applyBorder="1" applyAlignment="1">
      <alignment horizontal="right" vertical="center"/>
    </xf>
    <xf numFmtId="44" fontId="21" fillId="6" borderId="17" xfId="0" quotePrefix="1" applyNumberFormat="1" applyFont="1" applyFill="1" applyBorder="1" applyAlignment="1">
      <alignment horizontal="left" vertical="center"/>
    </xf>
    <xf numFmtId="0" fontId="4" fillId="6" borderId="39" xfId="0" applyFont="1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0" fontId="3" fillId="6" borderId="9" xfId="0" quotePrefix="1" applyFont="1" applyFill="1" applyBorder="1" applyAlignment="1">
      <alignment vertical="center"/>
    </xf>
    <xf numFmtId="8" fontId="7" fillId="6" borderId="2" xfId="0" applyNumberFormat="1" applyFont="1" applyFill="1" applyBorder="1" applyAlignment="1">
      <alignment horizontal="right" vertical="center"/>
    </xf>
    <xf numFmtId="0" fontId="22" fillId="0" borderId="26" xfId="0" applyFont="1" applyBorder="1" applyAlignment="1">
      <alignment vertical="center"/>
    </xf>
    <xf numFmtId="8" fontId="7" fillId="4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8" fontId="8" fillId="4" borderId="8" xfId="0" applyNumberFormat="1" applyFont="1" applyFill="1" applyBorder="1" applyAlignment="1">
      <alignment horizontal="right" vertical="center"/>
    </xf>
    <xf numFmtId="44" fontId="8" fillId="4" borderId="8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10" fontId="7" fillId="4" borderId="2" xfId="2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/>
    </xf>
    <xf numFmtId="10" fontId="6" fillId="4" borderId="2" xfId="0" applyNumberFormat="1" applyFont="1" applyFill="1" applyBorder="1" applyAlignment="1">
      <alignment horizontal="center" vertical="center"/>
    </xf>
    <xf numFmtId="7" fontId="8" fillId="4" borderId="8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44" fontId="7" fillId="4" borderId="8" xfId="1" applyFont="1" applyFill="1" applyBorder="1" applyAlignment="1">
      <alignment horizontal="right" vertical="center"/>
    </xf>
    <xf numFmtId="8" fontId="6" fillId="4" borderId="2" xfId="0" applyNumberFormat="1" applyFont="1" applyFill="1" applyBorder="1" applyAlignment="1">
      <alignment horizontal="right" vertical="center"/>
    </xf>
    <xf numFmtId="8" fontId="6" fillId="4" borderId="8" xfId="0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center" vertical="center"/>
    </xf>
    <xf numFmtId="8" fontId="6" fillId="4" borderId="17" xfId="0" applyNumberFormat="1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8" fontId="8" fillId="4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" fillId="0" borderId="5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4" fontId="3" fillId="6" borderId="29" xfId="1" quotePrefix="1" applyFont="1" applyFill="1" applyBorder="1" applyAlignment="1">
      <alignment horizontal="left" vertical="center"/>
    </xf>
    <xf numFmtId="44" fontId="3" fillId="6" borderId="30" xfId="1" quotePrefix="1" applyFont="1" applyFill="1" applyBorder="1" applyAlignment="1">
      <alignment horizontal="left" vertical="center"/>
    </xf>
    <xf numFmtId="44" fontId="3" fillId="6" borderId="32" xfId="1" quotePrefix="1" applyFont="1" applyFill="1" applyBorder="1" applyAlignment="1">
      <alignment horizontal="left" vertical="center"/>
    </xf>
    <xf numFmtId="44" fontId="3" fillId="6" borderId="33" xfId="1" quotePrefix="1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/>
    </xf>
  </cellXfs>
  <cellStyles count="5">
    <cellStyle name="Milliers" xfId="4" builtinId="3"/>
    <cellStyle name="Monétaire" xfId="1" builtinId="4"/>
    <cellStyle name="Normal" xfId="0" builtinId="0"/>
    <cellStyle name="Pourcentage" xfId="2" builtinId="5"/>
    <cellStyle name="Pourcentage 2" xfId="3" xr:uid="{35D2925A-5508-455D-8EB3-B4AF499CF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11</xdr:row>
      <xdr:rowOff>161924</xdr:rowOff>
    </xdr:from>
    <xdr:to>
      <xdr:col>7</xdr:col>
      <xdr:colOff>266701</xdr:colOff>
      <xdr:row>18</xdr:row>
      <xdr:rowOff>95249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8B3A59D-E392-4961-918B-F3E74F9C45C1}"/>
            </a:ext>
          </a:extLst>
        </xdr:cNvPr>
        <xdr:cNvSpPr txBox="1"/>
      </xdr:nvSpPr>
      <xdr:spPr>
        <a:xfrm>
          <a:off x="4514851" y="2324099"/>
          <a:ext cx="4324350" cy="12858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Les</a:t>
          </a:r>
          <a:r>
            <a:rPr lang="fr-FR" sz="1400" b="1" baseline="0"/>
            <a:t> couleurs indiquent les actions à effectuer :</a:t>
          </a:r>
        </a:p>
        <a:p>
          <a:endParaRPr lang="fr-FR" sz="1400" b="1" baseline="0"/>
        </a:p>
        <a:p>
          <a:r>
            <a:rPr lang="fr-FR" sz="1400" b="1" baseline="0"/>
            <a:t>	Jaune = Saisie </a:t>
          </a:r>
        </a:p>
        <a:p>
          <a:r>
            <a:rPr lang="fr-FR" sz="1400" b="1" baseline="0"/>
            <a:t>	Bleu = formule de calcul à concevoir</a:t>
          </a:r>
        </a:p>
        <a:p>
          <a:r>
            <a:rPr lang="fr-FR" sz="1400" b="1" baseline="0"/>
            <a:t>	Aucune couleur = aucune action</a:t>
          </a:r>
          <a:endParaRPr lang="fr-FR" sz="1400" b="1"/>
        </a:p>
      </xdr:txBody>
    </xdr:sp>
    <xdr:clientData/>
  </xdr:twoCellAnchor>
  <xdr:twoCellAnchor>
    <xdr:from>
      <xdr:col>2</xdr:col>
      <xdr:colOff>304800</xdr:colOff>
      <xdr:row>20</xdr:row>
      <xdr:rowOff>121920</xdr:rowOff>
    </xdr:from>
    <xdr:to>
      <xdr:col>8</xdr:col>
      <xdr:colOff>541020</xdr:colOff>
      <xdr:row>22</xdr:row>
      <xdr:rowOff>53340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031DF9E-CDEE-4147-8501-B508A8D1E725}"/>
            </a:ext>
          </a:extLst>
        </xdr:cNvPr>
        <xdr:cNvSpPr txBox="1"/>
      </xdr:nvSpPr>
      <xdr:spPr>
        <a:xfrm>
          <a:off x="4442460" y="4008120"/>
          <a:ext cx="5440680" cy="3124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 Coefficient FILLON calculé = coef/0,6 * ((1,6 * 9,76 *151,6666 / brut)-1)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331305</xdr:colOff>
      <xdr:row>0</xdr:row>
      <xdr:rowOff>62533</xdr:rowOff>
    </xdr:from>
    <xdr:to>
      <xdr:col>10</xdr:col>
      <xdr:colOff>49697</xdr:colOff>
      <xdr:row>4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CAE0F1F-AA75-4B8F-A94F-D3C3E719B528}"/>
            </a:ext>
          </a:extLst>
        </xdr:cNvPr>
        <xdr:cNvSpPr txBox="1"/>
      </xdr:nvSpPr>
      <xdr:spPr>
        <a:xfrm>
          <a:off x="7379805" y="62533"/>
          <a:ext cx="3528392" cy="66633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700" b="1"/>
            <a:t>Les</a:t>
          </a:r>
          <a:r>
            <a:rPr lang="fr-FR" sz="700" b="1" baseline="0"/>
            <a:t> couleurs indiquent les actions à effectuer :</a:t>
          </a:r>
        </a:p>
        <a:p>
          <a:endParaRPr lang="fr-FR" sz="700" b="1" baseline="0"/>
        </a:p>
        <a:p>
          <a:r>
            <a:rPr lang="fr-FR" sz="700" b="1" baseline="0"/>
            <a:t>	Jaune = Saisie </a:t>
          </a:r>
        </a:p>
        <a:p>
          <a:r>
            <a:rPr lang="fr-FR" sz="700" b="1" baseline="0"/>
            <a:t>	Bleu = formule de calcul à concevoir</a:t>
          </a:r>
        </a:p>
        <a:p>
          <a:r>
            <a:rPr lang="fr-FR" sz="700" b="1" baseline="0"/>
            <a:t>	Aucune couleur = aucune action</a:t>
          </a:r>
          <a:endParaRPr lang="fr-FR" sz="700" b="1"/>
        </a:p>
      </xdr:txBody>
    </xdr:sp>
    <xdr:clientData/>
  </xdr:twoCellAnchor>
  <xdr:twoCellAnchor>
    <xdr:from>
      <xdr:col>3</xdr:col>
      <xdr:colOff>24848</xdr:colOff>
      <xdr:row>8</xdr:row>
      <xdr:rowOff>132522</xdr:rowOff>
    </xdr:from>
    <xdr:to>
      <xdr:col>6</xdr:col>
      <xdr:colOff>530087</xdr:colOff>
      <xdr:row>10</xdr:row>
      <xdr:rowOff>41413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8CB5A49-2A53-4870-8FD9-854053A3C24E}"/>
            </a:ext>
          </a:extLst>
        </xdr:cNvPr>
        <xdr:cNvSpPr txBox="1"/>
      </xdr:nvSpPr>
      <xdr:spPr>
        <a:xfrm>
          <a:off x="4919870" y="1631674"/>
          <a:ext cx="3420717" cy="28989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=NB.JOURS.OUVRES(B8;B9)</a:t>
          </a:r>
        </a:p>
      </xdr:txBody>
    </xdr:sp>
    <xdr:clientData/>
  </xdr:twoCellAnchor>
  <xdr:twoCellAnchor>
    <xdr:from>
      <xdr:col>3</xdr:col>
      <xdr:colOff>36444</xdr:colOff>
      <xdr:row>10</xdr:row>
      <xdr:rowOff>102705</xdr:rowOff>
    </xdr:from>
    <xdr:to>
      <xdr:col>6</xdr:col>
      <xdr:colOff>541683</xdr:colOff>
      <xdr:row>12</xdr:row>
      <xdr:rowOff>11596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AD7F62E4-AE40-466F-912B-9D14E61D2419}"/>
            </a:ext>
          </a:extLst>
        </xdr:cNvPr>
        <xdr:cNvSpPr txBox="1"/>
      </xdr:nvSpPr>
      <xdr:spPr>
        <a:xfrm>
          <a:off x="4931466" y="1982857"/>
          <a:ext cx="3420717" cy="28989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=ANNEE(B8)-ANNEE(B11)</a:t>
          </a:r>
        </a:p>
      </xdr:txBody>
    </xdr:sp>
    <xdr:clientData/>
  </xdr:twoCellAnchor>
  <xdr:twoCellAnchor>
    <xdr:from>
      <xdr:col>3</xdr:col>
      <xdr:colOff>31475</xdr:colOff>
      <xdr:row>12</xdr:row>
      <xdr:rowOff>31476</xdr:rowOff>
    </xdr:from>
    <xdr:to>
      <xdr:col>6</xdr:col>
      <xdr:colOff>536714</xdr:colOff>
      <xdr:row>13</xdr:row>
      <xdr:rowOff>115956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54484FA-AD7B-4562-BA64-75AEB1F37EDB}"/>
            </a:ext>
          </a:extLst>
        </xdr:cNvPr>
        <xdr:cNvSpPr txBox="1"/>
      </xdr:nvSpPr>
      <xdr:spPr>
        <a:xfrm>
          <a:off x="4926497" y="2292628"/>
          <a:ext cx="3420717" cy="2832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=151,6666+B5+B6-B7</a:t>
          </a:r>
        </a:p>
      </xdr:txBody>
    </xdr:sp>
    <xdr:clientData/>
  </xdr:twoCellAnchor>
  <xdr:twoCellAnchor>
    <xdr:from>
      <xdr:col>2</xdr:col>
      <xdr:colOff>132521</xdr:colOff>
      <xdr:row>9</xdr:row>
      <xdr:rowOff>33131</xdr:rowOff>
    </xdr:from>
    <xdr:to>
      <xdr:col>2</xdr:col>
      <xdr:colOff>662608</xdr:colOff>
      <xdr:row>9</xdr:row>
      <xdr:rowOff>157370</xdr:rowOff>
    </xdr:to>
    <xdr:sp macro="" textlink="">
      <xdr:nvSpPr>
        <xdr:cNvPr id="7" name="Flèche : droite 6">
          <a:extLst>
            <a:ext uri="{FF2B5EF4-FFF2-40B4-BE49-F238E27FC236}">
              <a16:creationId xmlns:a16="http://schemas.microsoft.com/office/drawing/2014/main" id="{B47D234F-98CB-4F7B-ACC1-D15F6955302E}"/>
            </a:ext>
          </a:extLst>
        </xdr:cNvPr>
        <xdr:cNvSpPr/>
      </xdr:nvSpPr>
      <xdr:spPr>
        <a:xfrm>
          <a:off x="4265543" y="1722783"/>
          <a:ext cx="530087" cy="12423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127551</xdr:colOff>
      <xdr:row>11</xdr:row>
      <xdr:rowOff>19879</xdr:rowOff>
    </xdr:from>
    <xdr:to>
      <xdr:col>2</xdr:col>
      <xdr:colOff>657638</xdr:colOff>
      <xdr:row>11</xdr:row>
      <xdr:rowOff>144118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E94599A2-4237-4FAF-B1F2-57E4C74A1D80}"/>
            </a:ext>
          </a:extLst>
        </xdr:cNvPr>
        <xdr:cNvSpPr/>
      </xdr:nvSpPr>
      <xdr:spPr>
        <a:xfrm>
          <a:off x="4260573" y="2090531"/>
          <a:ext cx="530087" cy="12423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122581</xdr:colOff>
      <xdr:row>12</xdr:row>
      <xdr:rowOff>56323</xdr:rowOff>
    </xdr:from>
    <xdr:to>
      <xdr:col>2</xdr:col>
      <xdr:colOff>652668</xdr:colOff>
      <xdr:row>12</xdr:row>
      <xdr:rowOff>180562</xdr:rowOff>
    </xdr:to>
    <xdr:sp macro="" textlink="">
      <xdr:nvSpPr>
        <xdr:cNvPr id="10" name="Flèche : droite 9">
          <a:extLst>
            <a:ext uri="{FF2B5EF4-FFF2-40B4-BE49-F238E27FC236}">
              <a16:creationId xmlns:a16="http://schemas.microsoft.com/office/drawing/2014/main" id="{BFBFA542-F232-4348-B94D-6E749D284F8D}"/>
            </a:ext>
          </a:extLst>
        </xdr:cNvPr>
        <xdr:cNvSpPr/>
      </xdr:nvSpPr>
      <xdr:spPr>
        <a:xfrm>
          <a:off x="4255603" y="2317475"/>
          <a:ext cx="530087" cy="12423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117612</xdr:colOff>
      <xdr:row>17</xdr:row>
      <xdr:rowOff>43072</xdr:rowOff>
    </xdr:from>
    <xdr:to>
      <xdr:col>2</xdr:col>
      <xdr:colOff>647699</xdr:colOff>
      <xdr:row>17</xdr:row>
      <xdr:rowOff>167311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C62D1363-0893-4E97-8931-6AB825C3CCDF}"/>
            </a:ext>
          </a:extLst>
        </xdr:cNvPr>
        <xdr:cNvSpPr/>
      </xdr:nvSpPr>
      <xdr:spPr>
        <a:xfrm>
          <a:off x="4250634" y="3273289"/>
          <a:ext cx="530087" cy="12423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120925</xdr:colOff>
      <xdr:row>19</xdr:row>
      <xdr:rowOff>29820</xdr:rowOff>
    </xdr:from>
    <xdr:to>
      <xdr:col>2</xdr:col>
      <xdr:colOff>651012</xdr:colOff>
      <xdr:row>19</xdr:row>
      <xdr:rowOff>154059</xdr:rowOff>
    </xdr:to>
    <xdr:sp macro="" textlink="">
      <xdr:nvSpPr>
        <xdr:cNvPr id="13" name="Flèche : droite 12">
          <a:extLst>
            <a:ext uri="{FF2B5EF4-FFF2-40B4-BE49-F238E27FC236}">
              <a16:creationId xmlns:a16="http://schemas.microsoft.com/office/drawing/2014/main" id="{4312B1BA-0549-49AB-8B3E-2788BD8C081C}"/>
            </a:ext>
          </a:extLst>
        </xdr:cNvPr>
        <xdr:cNvSpPr/>
      </xdr:nvSpPr>
      <xdr:spPr>
        <a:xfrm>
          <a:off x="4253947" y="3641037"/>
          <a:ext cx="530087" cy="12423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34788</xdr:colOff>
      <xdr:row>16</xdr:row>
      <xdr:rowOff>167311</xdr:rowOff>
    </xdr:from>
    <xdr:to>
      <xdr:col>6</xdr:col>
      <xdr:colOff>540027</xdr:colOff>
      <xdr:row>18</xdr:row>
      <xdr:rowOff>69574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F8982ECA-39EB-47E9-A728-C66BAF65BE19}"/>
            </a:ext>
          </a:extLst>
        </xdr:cNvPr>
        <xdr:cNvSpPr txBox="1"/>
      </xdr:nvSpPr>
      <xdr:spPr>
        <a:xfrm>
          <a:off x="4929810" y="3207028"/>
          <a:ext cx="3420717" cy="2832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=SI(B17&lt;20;0,2809;0,2849)</a:t>
          </a:r>
        </a:p>
      </xdr:txBody>
    </xdr:sp>
    <xdr:clientData/>
  </xdr:twoCellAnchor>
  <xdr:twoCellAnchor>
    <xdr:from>
      <xdr:col>3</xdr:col>
      <xdr:colOff>29819</xdr:colOff>
      <xdr:row>18</xdr:row>
      <xdr:rowOff>154058</xdr:rowOff>
    </xdr:from>
    <xdr:to>
      <xdr:col>8</xdr:col>
      <xdr:colOff>8283</xdr:colOff>
      <xdr:row>20</xdr:row>
      <xdr:rowOff>56321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55CBD749-CBEA-4EC2-9638-4350683E19BE}"/>
            </a:ext>
          </a:extLst>
        </xdr:cNvPr>
        <xdr:cNvSpPr txBox="1"/>
      </xdr:nvSpPr>
      <xdr:spPr>
        <a:xfrm>
          <a:off x="4924841" y="3574775"/>
          <a:ext cx="4417942" cy="28326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/>
            <a:t>=ARRONDI(B18/0,6*((1,6*B19*B13/'Bulletin non-cadre'!D10)-1);4)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1576917</xdr:colOff>
      <xdr:row>24</xdr:row>
      <xdr:rowOff>21167</xdr:rowOff>
    </xdr:from>
    <xdr:to>
      <xdr:col>0</xdr:col>
      <xdr:colOff>2751667</xdr:colOff>
      <xdr:row>26</xdr:row>
      <xdr:rowOff>74083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3E87F7A-7440-4C96-831C-05368E480BE7}"/>
            </a:ext>
          </a:extLst>
        </xdr:cNvPr>
        <xdr:cNvSpPr txBox="1"/>
      </xdr:nvSpPr>
      <xdr:spPr>
        <a:xfrm>
          <a:off x="1576917" y="3145367"/>
          <a:ext cx="1174750" cy="491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Assiette = brut * 98,25%</a:t>
          </a:r>
        </a:p>
      </xdr:txBody>
    </xdr:sp>
    <xdr:clientData/>
  </xdr:twoCellAnchor>
  <xdr:twoCellAnchor>
    <xdr:from>
      <xdr:col>0</xdr:col>
      <xdr:colOff>2635249</xdr:colOff>
      <xdr:row>40</xdr:row>
      <xdr:rowOff>84667</xdr:rowOff>
    </xdr:from>
    <xdr:to>
      <xdr:col>1</xdr:col>
      <xdr:colOff>486833</xdr:colOff>
      <xdr:row>42</xdr:row>
      <xdr:rowOff>74083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19B77A1-406D-4647-B3A9-4A6747506430}"/>
            </a:ext>
          </a:extLst>
        </xdr:cNvPr>
        <xdr:cNvSpPr txBox="1"/>
      </xdr:nvSpPr>
      <xdr:spPr>
        <a:xfrm>
          <a:off x="2635249" y="6056842"/>
          <a:ext cx="937684" cy="427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Parts patronales prévoyance et mutuelle</a:t>
          </a:r>
        </a:p>
      </xdr:txBody>
    </xdr:sp>
    <xdr:clientData/>
  </xdr:twoCellAnchor>
  <xdr:twoCellAnchor>
    <xdr:from>
      <xdr:col>6</xdr:col>
      <xdr:colOff>63500</xdr:colOff>
      <xdr:row>34</xdr:row>
      <xdr:rowOff>52918</xdr:rowOff>
    </xdr:from>
    <xdr:to>
      <xdr:col>13</xdr:col>
      <xdr:colOff>359833</xdr:colOff>
      <xdr:row>36</xdr:row>
      <xdr:rowOff>158752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55404BE3-ED3F-497F-843A-B79A15F20376}"/>
            </a:ext>
          </a:extLst>
        </xdr:cNvPr>
        <xdr:cNvSpPr txBox="1"/>
      </xdr:nvSpPr>
      <xdr:spPr>
        <a:xfrm>
          <a:off x="9556750" y="9704918"/>
          <a:ext cx="6519333" cy="67733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=SI($D$10&lt;='DONNEES DE REFERENCE'!$B$22;0;SI('Bulletin non-cadre'!$D$10&gt;2*'DONNEES DE REFERENCE'!$B$22;2*'DONNEES DE REFERENCE'!$B$22;'Bulletin non-cadre'!$D$10-'DONNEES DE REFERENCE'!$B$22))                </a:t>
          </a:r>
          <a:endParaRPr lang="fr-FR" sz="1200" b="1"/>
        </a:p>
      </xdr:txBody>
    </xdr:sp>
    <xdr:clientData/>
  </xdr:twoCellAnchor>
  <xdr:twoCellAnchor>
    <xdr:from>
      <xdr:col>6</xdr:col>
      <xdr:colOff>63499</xdr:colOff>
      <xdr:row>17</xdr:row>
      <xdr:rowOff>63499</xdr:rowOff>
    </xdr:from>
    <xdr:to>
      <xdr:col>13</xdr:col>
      <xdr:colOff>592666</xdr:colOff>
      <xdr:row>19</xdr:row>
      <xdr:rowOff>243417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A4448DB8-7B66-4E68-A9B5-08A1C552B003}"/>
            </a:ext>
          </a:extLst>
        </xdr:cNvPr>
        <xdr:cNvSpPr txBox="1"/>
      </xdr:nvSpPr>
      <xdr:spPr>
        <a:xfrm>
          <a:off x="9556749" y="4857749"/>
          <a:ext cx="6752167" cy="75141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300" b="1"/>
            <a:t>=SI(ET('DONNEES DE REFERENCE'!B17&lt;20;'Bulletin non-cadre'!D10&lt;'DONNEES DE REFERENCE'!B22);'Bulletin non-cadre'!D10;SI(ET('DONNEES DE REFERENCE'!B17&lt;20;'Bulletin non-cadre'!D10&gt;='DONNEES DE REFERENCE'!B22);'DONNEES DE REFERENCE'!B22;0))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9361D-03A3-46F9-B958-0D13FBF907E6}">
  <dimension ref="A1:E30"/>
  <sheetViews>
    <sheetView topLeftCell="A7" zoomScale="125" zoomScaleNormal="125" workbookViewId="0">
      <selection activeCell="I15" sqref="I15"/>
    </sheetView>
  </sheetViews>
  <sheetFormatPr baseColWidth="10" defaultRowHeight="15" x14ac:dyDescent="0.25"/>
  <cols>
    <col min="1" max="1" width="47.7109375" bestFit="1" customWidth="1"/>
    <col min="2" max="2" width="14.28515625" bestFit="1" customWidth="1"/>
    <col min="4" max="4" width="19.85546875" customWidth="1"/>
    <col min="5" max="5" width="12.42578125" customWidth="1"/>
  </cols>
  <sheetData>
    <row r="1" spans="1:5" ht="18.75" x14ac:dyDescent="0.3">
      <c r="A1" s="137" t="s">
        <v>52</v>
      </c>
      <c r="B1" s="137"/>
      <c r="C1" t="s">
        <v>76</v>
      </c>
    </row>
    <row r="2" spans="1:5" x14ac:dyDescent="0.25">
      <c r="D2" s="53">
        <v>42736</v>
      </c>
    </row>
    <row r="3" spans="1:5" x14ac:dyDescent="0.25">
      <c r="A3" s="46" t="s">
        <v>57</v>
      </c>
    </row>
    <row r="4" spans="1:5" ht="15.75" thickBot="1" x14ac:dyDescent="0.3">
      <c r="A4" s="46"/>
    </row>
    <row r="5" spans="1:5" x14ac:dyDescent="0.25">
      <c r="A5" s="79" t="s">
        <v>53</v>
      </c>
      <c r="B5" s="80"/>
      <c r="D5" s="138" t="s">
        <v>82</v>
      </c>
      <c r="E5" s="139"/>
    </row>
    <row r="6" spans="1:5" x14ac:dyDescent="0.25">
      <c r="A6" s="81" t="s">
        <v>54</v>
      </c>
      <c r="B6" s="82"/>
      <c r="D6" s="48" t="s">
        <v>80</v>
      </c>
      <c r="E6" s="49" t="s">
        <v>81</v>
      </c>
    </row>
    <row r="7" spans="1:5" x14ac:dyDescent="0.25">
      <c r="A7" s="81" t="s">
        <v>55</v>
      </c>
      <c r="B7" s="82"/>
      <c r="D7" s="50">
        <v>5</v>
      </c>
      <c r="E7" s="54">
        <v>0.03</v>
      </c>
    </row>
    <row r="8" spans="1:5" x14ac:dyDescent="0.25">
      <c r="A8" s="81" t="s">
        <v>56</v>
      </c>
      <c r="B8" s="82"/>
      <c r="D8" s="50">
        <v>10</v>
      </c>
      <c r="E8" s="54">
        <v>0.05</v>
      </c>
    </row>
    <row r="9" spans="1:5" ht="15.75" thickBot="1" x14ac:dyDescent="0.3">
      <c r="A9" s="81" t="s">
        <v>68</v>
      </c>
      <c r="B9" s="83"/>
      <c r="D9" s="51">
        <v>15</v>
      </c>
      <c r="E9" s="52">
        <v>0.1</v>
      </c>
    </row>
    <row r="10" spans="1:5" x14ac:dyDescent="0.25">
      <c r="A10" s="81" t="s">
        <v>69</v>
      </c>
      <c r="B10" s="83"/>
      <c r="E10" s="47"/>
    </row>
    <row r="11" spans="1:5" x14ac:dyDescent="0.25">
      <c r="A11" s="81" t="s">
        <v>74</v>
      </c>
      <c r="B11" s="84"/>
      <c r="E11" s="47"/>
    </row>
    <row r="12" spans="1:5" x14ac:dyDescent="0.25">
      <c r="A12" s="81" t="s">
        <v>83</v>
      </c>
      <c r="B12" s="83"/>
      <c r="E12" s="47"/>
    </row>
    <row r="13" spans="1:5" x14ac:dyDescent="0.25">
      <c r="A13" s="81" t="s">
        <v>80</v>
      </c>
      <c r="B13" s="84"/>
      <c r="E13" s="47"/>
    </row>
    <row r="14" spans="1:5" ht="15.75" thickBot="1" x14ac:dyDescent="0.3">
      <c r="A14" s="85" t="s">
        <v>95</v>
      </c>
      <c r="B14" s="86"/>
      <c r="E14" s="47"/>
    </row>
    <row r="15" spans="1:5" x14ac:dyDescent="0.25">
      <c r="E15" s="47"/>
    </row>
    <row r="16" spans="1:5" x14ac:dyDescent="0.25">
      <c r="A16" s="46" t="s">
        <v>58</v>
      </c>
    </row>
    <row r="17" spans="1:2" ht="15.75" thickBot="1" x14ac:dyDescent="0.3"/>
    <row r="18" spans="1:2" x14ac:dyDescent="0.25">
      <c r="A18" s="79" t="s">
        <v>59</v>
      </c>
      <c r="B18" s="87"/>
    </row>
    <row r="19" spans="1:2" x14ac:dyDescent="0.25">
      <c r="A19" s="81" t="s">
        <v>84</v>
      </c>
      <c r="B19" s="84"/>
    </row>
    <row r="20" spans="1:2" x14ac:dyDescent="0.25">
      <c r="A20" s="81" t="s">
        <v>94</v>
      </c>
      <c r="B20" s="91">
        <v>9.76</v>
      </c>
    </row>
    <row r="21" spans="1:2" x14ac:dyDescent="0.25">
      <c r="A21" s="89" t="s">
        <v>93</v>
      </c>
      <c r="B21" s="84"/>
    </row>
    <row r="22" spans="1:2" x14ac:dyDescent="0.25">
      <c r="A22" s="81" t="s">
        <v>60</v>
      </c>
      <c r="B22" s="90"/>
    </row>
    <row r="23" spans="1:2" x14ac:dyDescent="0.25">
      <c r="A23" s="81" t="s">
        <v>92</v>
      </c>
      <c r="B23" s="91">
        <v>3269</v>
      </c>
    </row>
    <row r="24" spans="1:2" x14ac:dyDescent="0.25">
      <c r="A24" s="81" t="s">
        <v>61</v>
      </c>
      <c r="B24" s="90"/>
    </row>
    <row r="25" spans="1:2" x14ac:dyDescent="0.25">
      <c r="A25" s="81" t="s">
        <v>62</v>
      </c>
      <c r="B25" s="92"/>
    </row>
    <row r="26" spans="1:2" x14ac:dyDescent="0.25">
      <c r="A26" s="81" t="s">
        <v>63</v>
      </c>
      <c r="B26" s="92"/>
    </row>
    <row r="27" spans="1:2" x14ac:dyDescent="0.25">
      <c r="A27" s="81" t="s">
        <v>66</v>
      </c>
      <c r="B27" s="93" t="s">
        <v>70</v>
      </c>
    </row>
    <row r="28" spans="1:2" x14ac:dyDescent="0.25">
      <c r="A28" s="81" t="s">
        <v>64</v>
      </c>
      <c r="B28" s="90"/>
    </row>
    <row r="29" spans="1:2" x14ac:dyDescent="0.25">
      <c r="A29" s="81" t="s">
        <v>65</v>
      </c>
      <c r="B29" s="92"/>
    </row>
    <row r="30" spans="1:2" ht="15.75" thickBot="1" x14ac:dyDescent="0.3">
      <c r="A30" s="85" t="s">
        <v>67</v>
      </c>
      <c r="B30" s="94" t="s">
        <v>70</v>
      </c>
    </row>
  </sheetData>
  <mergeCells count="2">
    <mergeCell ref="A1:B1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D0DB-42DB-491A-8EC3-B5EF363FF01F}">
  <dimension ref="A1:J34"/>
  <sheetViews>
    <sheetView zoomScale="115" zoomScaleNormal="115" workbookViewId="0">
      <selection activeCell="K8" sqref="K8"/>
    </sheetView>
  </sheetViews>
  <sheetFormatPr baseColWidth="10" defaultRowHeight="15" x14ac:dyDescent="0.25"/>
  <cols>
    <col min="1" max="1" width="47.7109375" bestFit="1" customWidth="1"/>
    <col min="2" max="2" width="14.28515625" bestFit="1" customWidth="1"/>
    <col min="4" max="4" width="19.85546875" customWidth="1"/>
    <col min="5" max="5" width="12.42578125" customWidth="1"/>
  </cols>
  <sheetData>
    <row r="1" spans="1:10" ht="18.75" x14ac:dyDescent="0.3">
      <c r="A1" s="137" t="s">
        <v>52</v>
      </c>
      <c r="B1" s="137"/>
      <c r="C1" t="s">
        <v>76</v>
      </c>
    </row>
    <row r="2" spans="1:10" x14ac:dyDescent="0.25">
      <c r="A2" s="46" t="s">
        <v>57</v>
      </c>
      <c r="J2" s="53"/>
    </row>
    <row r="3" spans="1:10" ht="8.25" customHeight="1" thickBot="1" x14ac:dyDescent="0.3">
      <c r="A3" s="46"/>
      <c r="J3" s="53"/>
    </row>
    <row r="4" spans="1:10" x14ac:dyDescent="0.25">
      <c r="A4" s="79" t="s">
        <v>53</v>
      </c>
      <c r="B4" s="80">
        <v>1700</v>
      </c>
      <c r="D4" s="138" t="s">
        <v>82</v>
      </c>
      <c r="E4" s="139"/>
      <c r="J4" s="53"/>
    </row>
    <row r="5" spans="1:10" x14ac:dyDescent="0.25">
      <c r="A5" s="81" t="s">
        <v>54</v>
      </c>
      <c r="B5" s="82">
        <v>14</v>
      </c>
      <c r="D5" s="48" t="s">
        <v>80</v>
      </c>
      <c r="E5" s="49" t="s">
        <v>81</v>
      </c>
      <c r="J5" s="53"/>
    </row>
    <row r="6" spans="1:10" x14ac:dyDescent="0.25">
      <c r="A6" s="81" t="s">
        <v>55</v>
      </c>
      <c r="B6" s="82">
        <v>8</v>
      </c>
      <c r="D6" s="50">
        <v>5</v>
      </c>
      <c r="E6" s="54">
        <v>0.03</v>
      </c>
      <c r="J6" s="53"/>
    </row>
    <row r="7" spans="1:10" x14ac:dyDescent="0.25">
      <c r="A7" s="81" t="s">
        <v>56</v>
      </c>
      <c r="B7" s="82">
        <v>10</v>
      </c>
      <c r="D7" s="50">
        <v>10</v>
      </c>
      <c r="E7" s="54">
        <v>0.05</v>
      </c>
      <c r="J7" s="53"/>
    </row>
    <row r="8" spans="1:10" ht="15.75" thickBot="1" x14ac:dyDescent="0.3">
      <c r="A8" s="81" t="s">
        <v>68</v>
      </c>
      <c r="B8" s="83">
        <v>42736</v>
      </c>
      <c r="D8" s="51">
        <v>15</v>
      </c>
      <c r="E8" s="52">
        <v>0.1</v>
      </c>
      <c r="J8" s="53"/>
    </row>
    <row r="9" spans="1:10" x14ac:dyDescent="0.25">
      <c r="A9" s="81" t="s">
        <v>69</v>
      </c>
      <c r="B9" s="83">
        <v>42766</v>
      </c>
      <c r="E9" s="47"/>
      <c r="J9" s="53"/>
    </row>
    <row r="10" spans="1:10" x14ac:dyDescent="0.25">
      <c r="A10" s="81" t="s">
        <v>97</v>
      </c>
      <c r="B10" s="84">
        <f>NETWORKDAYS(B8,B9)</f>
        <v>22</v>
      </c>
      <c r="E10" s="47"/>
      <c r="J10" s="53"/>
    </row>
    <row r="11" spans="1:10" x14ac:dyDescent="0.25">
      <c r="A11" s="81" t="s">
        <v>83</v>
      </c>
      <c r="B11" s="83">
        <v>38353</v>
      </c>
      <c r="E11" s="47"/>
      <c r="J11" s="53"/>
    </row>
    <row r="12" spans="1:10" x14ac:dyDescent="0.25">
      <c r="A12" s="81" t="s">
        <v>80</v>
      </c>
      <c r="B12" s="84">
        <f>YEAR(B8)-YEAR(B11)</f>
        <v>12</v>
      </c>
      <c r="E12" s="47"/>
      <c r="J12" s="53"/>
    </row>
    <row r="13" spans="1:10" ht="15.75" thickBot="1" x14ac:dyDescent="0.3">
      <c r="A13" s="85" t="s">
        <v>95</v>
      </c>
      <c r="B13" s="86">
        <f>151.6666+B5+B6-B7</f>
        <v>163.66659999999999</v>
      </c>
      <c r="E13" s="47"/>
      <c r="J13" s="53"/>
    </row>
    <row r="14" spans="1:10" x14ac:dyDescent="0.25">
      <c r="E14" s="47"/>
      <c r="J14" s="53"/>
    </row>
    <row r="15" spans="1:10" x14ac:dyDescent="0.25">
      <c r="A15" s="46" t="s">
        <v>58</v>
      </c>
      <c r="J15" s="53"/>
    </row>
    <row r="16" spans="1:10" ht="15.75" thickBot="1" x14ac:dyDescent="0.3">
      <c r="J16" s="53"/>
    </row>
    <row r="17" spans="1:10" x14ac:dyDescent="0.25">
      <c r="A17" s="79" t="s">
        <v>59</v>
      </c>
      <c r="B17" s="87">
        <v>19</v>
      </c>
      <c r="J17" s="53"/>
    </row>
    <row r="18" spans="1:10" x14ac:dyDescent="0.25">
      <c r="A18" s="81" t="s">
        <v>84</v>
      </c>
      <c r="B18" s="84">
        <f>IF(B17&lt;20,0.2809,0.2849)</f>
        <v>0.28089999999999998</v>
      </c>
      <c r="J18" s="53"/>
    </row>
    <row r="19" spans="1:10" x14ac:dyDescent="0.25">
      <c r="A19" s="81" t="s">
        <v>94</v>
      </c>
      <c r="B19" s="88">
        <v>9.76</v>
      </c>
      <c r="J19" s="53"/>
    </row>
    <row r="20" spans="1:10" x14ac:dyDescent="0.25">
      <c r="A20" s="89" t="s">
        <v>93</v>
      </c>
      <c r="B20" s="84">
        <f>ROUND(B18/0.6*((1.6*B19*B13/'Bulletin non-cadre'!D10)-1),4)</f>
        <v>0.12859999999999999</v>
      </c>
      <c r="J20" s="53"/>
    </row>
    <row r="21" spans="1:10" x14ac:dyDescent="0.25">
      <c r="A21" s="81" t="s">
        <v>60</v>
      </c>
      <c r="B21" s="90">
        <v>0.03</v>
      </c>
      <c r="J21" s="53"/>
    </row>
    <row r="22" spans="1:10" x14ac:dyDescent="0.25">
      <c r="A22" s="81" t="s">
        <v>92</v>
      </c>
      <c r="B22" s="91">
        <v>3269</v>
      </c>
      <c r="J22" s="53"/>
    </row>
    <row r="23" spans="1:10" x14ac:dyDescent="0.25">
      <c r="A23" s="81" t="s">
        <v>61</v>
      </c>
      <c r="B23" s="90">
        <v>0.01</v>
      </c>
      <c r="J23" s="53"/>
    </row>
    <row r="24" spans="1:10" x14ac:dyDescent="0.25">
      <c r="A24" s="81" t="s">
        <v>62</v>
      </c>
      <c r="B24" s="92">
        <v>1.4999999999999999E-2</v>
      </c>
      <c r="J24" s="53"/>
    </row>
    <row r="25" spans="1:10" x14ac:dyDescent="0.25">
      <c r="A25" s="81" t="s">
        <v>63</v>
      </c>
      <c r="B25" s="92">
        <v>2.5000000000000001E-2</v>
      </c>
      <c r="J25" s="53"/>
    </row>
    <row r="26" spans="1:10" x14ac:dyDescent="0.25">
      <c r="A26" s="81" t="s">
        <v>66</v>
      </c>
      <c r="B26" s="93" t="s">
        <v>70</v>
      </c>
      <c r="J26" s="53"/>
    </row>
    <row r="27" spans="1:10" x14ac:dyDescent="0.25">
      <c r="A27" s="81" t="s">
        <v>64</v>
      </c>
      <c r="B27" s="90">
        <v>7.4999999999999997E-3</v>
      </c>
      <c r="J27" s="53"/>
    </row>
    <row r="28" spans="1:10" x14ac:dyDescent="0.25">
      <c r="A28" s="81" t="s">
        <v>65</v>
      </c>
      <c r="B28" s="92">
        <v>1.4999999999999999E-2</v>
      </c>
      <c r="J28" s="53"/>
    </row>
    <row r="29" spans="1:10" ht="15.75" thickBot="1" x14ac:dyDescent="0.3">
      <c r="A29" s="85" t="s">
        <v>67</v>
      </c>
      <c r="B29" s="94" t="s">
        <v>70</v>
      </c>
      <c r="J29" s="53"/>
    </row>
    <row r="30" spans="1:10" x14ac:dyDescent="0.25">
      <c r="J30" s="53"/>
    </row>
    <row r="31" spans="1:10" x14ac:dyDescent="0.25">
      <c r="J31" s="53"/>
    </row>
    <row r="32" spans="1:10" x14ac:dyDescent="0.25">
      <c r="J32" s="53"/>
    </row>
    <row r="33" spans="10:10" x14ac:dyDescent="0.25">
      <c r="J33" s="53"/>
    </row>
    <row r="34" spans="10:10" x14ac:dyDescent="0.25">
      <c r="J34" s="53"/>
    </row>
  </sheetData>
  <mergeCells count="2">
    <mergeCell ref="A1:B1"/>
    <mergeCell ref="D4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616-B213-43C0-98D0-7D9BA0525B45}">
  <dimension ref="A1:N53"/>
  <sheetViews>
    <sheetView topLeftCell="A40" zoomScale="90" zoomScaleNormal="90" workbookViewId="0">
      <selection activeCell="F36" sqref="F36"/>
    </sheetView>
  </sheetViews>
  <sheetFormatPr baseColWidth="10" defaultRowHeight="12" x14ac:dyDescent="0.25"/>
  <cols>
    <col min="1" max="1" width="69.28515625" style="1" bestFit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21.7109375" style="1" bestFit="1" customWidth="1"/>
    <col min="8" max="11" width="11.42578125" style="1"/>
    <col min="12" max="12" width="14.42578125" style="1" customWidth="1"/>
    <col min="13" max="16384" width="11.42578125" style="1"/>
  </cols>
  <sheetData>
    <row r="1" spans="1:14" ht="18" x14ac:dyDescent="0.25">
      <c r="A1" s="144" t="s">
        <v>96</v>
      </c>
      <c r="B1" s="145"/>
      <c r="C1" s="145"/>
      <c r="D1" s="145"/>
      <c r="E1" s="145"/>
    </row>
    <row r="2" spans="1:14" ht="18.75" thickBot="1" x14ac:dyDescent="0.3">
      <c r="A2" s="44"/>
      <c r="B2" s="45"/>
      <c r="C2" s="45"/>
      <c r="D2" s="45"/>
      <c r="E2" s="45"/>
    </row>
    <row r="3" spans="1:14" ht="20.25" customHeight="1" x14ac:dyDescent="0.25">
      <c r="A3" s="60"/>
      <c r="B3" s="61" t="s">
        <v>79</v>
      </c>
      <c r="C3" s="61" t="s">
        <v>77</v>
      </c>
      <c r="D3" s="62" t="s">
        <v>78</v>
      </c>
      <c r="E3" s="45"/>
      <c r="F3" s="152" t="s">
        <v>77</v>
      </c>
      <c r="G3" s="153"/>
      <c r="H3" s="153"/>
      <c r="I3" s="153"/>
      <c r="J3" s="153"/>
    </row>
    <row r="4" spans="1:14" ht="24" customHeight="1" thickBot="1" x14ac:dyDescent="0.3">
      <c r="A4" s="63" t="s">
        <v>70</v>
      </c>
      <c r="B4" s="67"/>
      <c r="C4" s="68"/>
      <c r="D4" s="71">
        <f>'DONNEES DE REFERENCE'!B4</f>
        <v>1700</v>
      </c>
      <c r="E4" s="13"/>
      <c r="F4" s="13"/>
    </row>
    <row r="5" spans="1:14" ht="24" customHeight="1" x14ac:dyDescent="0.25">
      <c r="A5" s="63" t="s">
        <v>71</v>
      </c>
      <c r="B5" s="67">
        <f>'DONNEES DE REFERENCE'!B5</f>
        <v>14</v>
      </c>
      <c r="C5" s="101">
        <f>ROUND('DONNEES DE REFERENCE'!$B$4/151.67*1.25,2)</f>
        <v>14.01</v>
      </c>
      <c r="D5" s="71">
        <f>C5*B5</f>
        <v>196.14</v>
      </c>
      <c r="E5" s="13"/>
      <c r="F5" s="154" t="s">
        <v>107</v>
      </c>
      <c r="G5" s="155"/>
      <c r="H5" s="155"/>
      <c r="I5" s="155"/>
      <c r="J5" s="155"/>
      <c r="K5" s="155"/>
      <c r="L5" s="103"/>
    </row>
    <row r="6" spans="1:14" ht="24" customHeight="1" x14ac:dyDescent="0.25">
      <c r="A6" s="63" t="s">
        <v>72</v>
      </c>
      <c r="B6" s="67">
        <f>'DONNEES DE REFERENCE'!B6</f>
        <v>8</v>
      </c>
      <c r="C6" s="101">
        <f>ROUND('DONNEES DE REFERENCE'!$B$4/151.67*1.5,2)</f>
        <v>16.809999999999999</v>
      </c>
      <c r="D6" s="71">
        <f>C6*B6</f>
        <v>134.47999999999999</v>
      </c>
      <c r="E6" s="13"/>
      <c r="F6" s="156" t="s">
        <v>108</v>
      </c>
      <c r="G6" s="157"/>
      <c r="H6" s="157"/>
      <c r="I6" s="157"/>
      <c r="J6" s="157"/>
      <c r="K6" s="157"/>
      <c r="L6" s="104"/>
    </row>
    <row r="7" spans="1:14" ht="24" customHeight="1" x14ac:dyDescent="0.25">
      <c r="A7" s="63" t="s">
        <v>73</v>
      </c>
      <c r="B7" s="67">
        <f>'DONNEES DE REFERENCE'!B7</f>
        <v>10</v>
      </c>
      <c r="C7" s="101">
        <f>ROUND('DONNEES DE REFERENCE'!$B$4/('DONNEES DE REFERENCE'!B10*7),2)</f>
        <v>11.04</v>
      </c>
      <c r="D7" s="71">
        <f>C7*-B7</f>
        <v>-110.39999999999999</v>
      </c>
      <c r="E7" s="13"/>
      <c r="F7" s="156" t="s">
        <v>110</v>
      </c>
      <c r="G7" s="157"/>
      <c r="H7" s="157"/>
      <c r="I7" s="157"/>
      <c r="J7" s="157"/>
      <c r="K7" s="157"/>
      <c r="L7" s="104"/>
    </row>
    <row r="8" spans="1:14" ht="24" customHeight="1" thickBot="1" x14ac:dyDescent="0.3">
      <c r="A8" s="63" t="s">
        <v>75</v>
      </c>
      <c r="B8" s="67">
        <f>'DONNEES DE REFERENCE'!B4</f>
        <v>1700</v>
      </c>
      <c r="C8" s="102">
        <f>IFERROR(VLOOKUP('DONNEES DE REFERENCE'!$B$12,'DONNEES DE REFERENCE'!$D$6:$E$8,2,1),0)</f>
        <v>0.05</v>
      </c>
      <c r="D8" s="72">
        <f>C8*B8</f>
        <v>85</v>
      </c>
      <c r="E8" s="13"/>
      <c r="F8" s="105" t="s">
        <v>109</v>
      </c>
      <c r="G8" s="106"/>
      <c r="H8" s="106"/>
      <c r="I8" s="106"/>
      <c r="J8" s="106"/>
      <c r="K8" s="106"/>
      <c r="L8" s="107"/>
    </row>
    <row r="9" spans="1:14" ht="24" customHeight="1" x14ac:dyDescent="0.25">
      <c r="A9" s="63"/>
      <c r="B9" s="64"/>
      <c r="C9" s="68"/>
      <c r="D9" s="69"/>
      <c r="E9" s="13"/>
    </row>
    <row r="10" spans="1:14" ht="24" customHeight="1" thickBot="1" x14ac:dyDescent="0.3">
      <c r="A10" s="65" t="s">
        <v>0</v>
      </c>
      <c r="B10" s="66"/>
      <c r="C10" s="70"/>
      <c r="D10" s="73">
        <f>SUM(D4:D9)</f>
        <v>2005.2199999999998</v>
      </c>
      <c r="E10" s="13"/>
      <c r="G10" s="97"/>
      <c r="H10" s="117" t="s">
        <v>117</v>
      </c>
      <c r="I10" s="117" t="s">
        <v>116</v>
      </c>
    </row>
    <row r="11" spans="1:14" ht="24" customHeight="1" thickBot="1" x14ac:dyDescent="0.3">
      <c r="A11" s="55"/>
      <c r="B11" s="30"/>
      <c r="C11" s="13"/>
      <c r="D11" s="13"/>
      <c r="E11" s="13"/>
      <c r="F11" s="13"/>
      <c r="H11" s="117" t="s">
        <v>118</v>
      </c>
      <c r="I11" s="117" t="s">
        <v>119</v>
      </c>
    </row>
    <row r="12" spans="1:14" ht="18" customHeight="1" x14ac:dyDescent="0.25">
      <c r="A12" s="146"/>
      <c r="B12" s="148" t="s">
        <v>1</v>
      </c>
      <c r="C12" s="148" t="s">
        <v>2</v>
      </c>
      <c r="D12" s="148" t="s">
        <v>3</v>
      </c>
      <c r="E12" s="150" t="s">
        <v>4</v>
      </c>
      <c r="F12" s="140" t="s">
        <v>5</v>
      </c>
    </row>
    <row r="13" spans="1:14" ht="18" customHeight="1" x14ac:dyDescent="0.25">
      <c r="A13" s="147"/>
      <c r="B13" s="149"/>
      <c r="C13" s="149"/>
      <c r="D13" s="149"/>
      <c r="E13" s="151"/>
      <c r="F13" s="141"/>
      <c r="H13" s="11"/>
      <c r="I13" s="78"/>
      <c r="J13" s="11"/>
      <c r="K13" s="11"/>
    </row>
    <row r="14" spans="1:14" ht="22.5" customHeight="1" x14ac:dyDescent="0.25">
      <c r="A14" s="2" t="s">
        <v>85</v>
      </c>
      <c r="B14" s="4">
        <f>$D$10</f>
        <v>2005.2199999999998</v>
      </c>
      <c r="C14" s="16">
        <v>7.4999999999999997E-3</v>
      </c>
      <c r="D14" s="4">
        <f>B14*C14</f>
        <v>15.039149999999998</v>
      </c>
      <c r="E14" s="16">
        <v>0.12889999999999999</v>
      </c>
      <c r="F14" s="17">
        <f>B14*E14</f>
        <v>258.47285799999997</v>
      </c>
    </row>
    <row r="15" spans="1:14" ht="22.5" customHeight="1" x14ac:dyDescent="0.25">
      <c r="A15" s="2" t="s">
        <v>99</v>
      </c>
      <c r="B15" s="98">
        <f>IF($D$10&gt;'DONNEES DE REFERENCE'!$B$22,'DONNEES DE REFERENCE'!$B$22,'Bulletin non-cadre'!$D$10)</f>
        <v>2005.2199999999998</v>
      </c>
      <c r="C15" s="16">
        <v>6.9000000000000006E-2</v>
      </c>
      <c r="D15" s="4">
        <f t="shared" ref="D15:D16" si="0">B15*C15</f>
        <v>138.36017999999999</v>
      </c>
      <c r="E15" s="16">
        <v>8.5500000000000007E-2</v>
      </c>
      <c r="F15" s="108">
        <f t="shared" ref="F15:F24" si="1">B15*E15</f>
        <v>171.44630999999998</v>
      </c>
      <c r="G15" s="115" t="s">
        <v>111</v>
      </c>
      <c r="H15" s="109"/>
      <c r="I15" s="109"/>
      <c r="J15" s="109"/>
      <c r="K15" s="109"/>
      <c r="L15" s="109"/>
      <c r="M15" s="109"/>
      <c r="N15" s="110"/>
    </row>
    <row r="16" spans="1:14" ht="22.5" customHeight="1" x14ac:dyDescent="0.25">
      <c r="A16" s="2" t="s">
        <v>35</v>
      </c>
      <c r="B16" s="4">
        <f>B15</f>
        <v>2005.2199999999998</v>
      </c>
      <c r="C16" s="16">
        <v>4.0000000000000001E-3</v>
      </c>
      <c r="D16" s="4">
        <f t="shared" si="0"/>
        <v>8.02088</v>
      </c>
      <c r="E16" s="16">
        <v>1.9E-2</v>
      </c>
      <c r="F16" s="17">
        <f t="shared" si="1"/>
        <v>38.099179999999997</v>
      </c>
    </row>
    <row r="17" spans="1:13" ht="22.5" customHeight="1" x14ac:dyDescent="0.25">
      <c r="A17" s="2" t="s">
        <v>101</v>
      </c>
      <c r="B17" s="98">
        <f>IF('DONNEES DE REFERENCE'!$B$17&lt;11,0,$D$10)</f>
        <v>2005.2199999999998</v>
      </c>
      <c r="C17" s="19"/>
      <c r="D17" s="20"/>
      <c r="E17" s="96">
        <f>'DONNEES DE REFERENCE'!B23</f>
        <v>0.01</v>
      </c>
      <c r="F17" s="108">
        <f t="shared" si="1"/>
        <v>20.052199999999999</v>
      </c>
      <c r="G17" s="115" t="s">
        <v>112</v>
      </c>
      <c r="H17" s="109"/>
      <c r="I17" s="109"/>
      <c r="J17" s="110"/>
    </row>
    <row r="18" spans="1:13" ht="22.5" customHeight="1" x14ac:dyDescent="0.25">
      <c r="A18" s="2" t="s">
        <v>36</v>
      </c>
      <c r="B18" s="18">
        <f>+D10</f>
        <v>2005.2199999999998</v>
      </c>
      <c r="C18" s="19"/>
      <c r="D18" s="20"/>
      <c r="E18" s="16">
        <v>3.4500000000000003E-2</v>
      </c>
      <c r="F18" s="17">
        <f t="shared" si="1"/>
        <v>69.180089999999993</v>
      </c>
    </row>
    <row r="19" spans="1:13" ht="22.5" customHeight="1" x14ac:dyDescent="0.25">
      <c r="A19" s="2" t="s">
        <v>100</v>
      </c>
      <c r="B19" s="118">
        <f>IF('Bulletin non-cadre'!D10&gt;('DONNEES DE REFERENCE'!B19*151.67*3.5),'Bulletin non-cadre'!D10,0)</f>
        <v>0</v>
      </c>
      <c r="C19" s="19"/>
      <c r="D19" s="20"/>
      <c r="E19" s="76">
        <v>1.7999999999999999E-2</v>
      </c>
      <c r="F19" s="17"/>
    </row>
    <row r="20" spans="1:13" ht="22.5" customHeight="1" x14ac:dyDescent="0.25">
      <c r="A20" s="2" t="s">
        <v>102</v>
      </c>
      <c r="B20" s="98">
        <f>IF(AND('DONNEES DE REFERENCE'!B17&lt;20,'Bulletin non-cadre'!D10&lt;'DONNEES DE REFERENCE'!B22),'Bulletin non-cadre'!D10,IF(AND('DONNEES DE REFERENCE'!B17&lt;20,'Bulletin non-cadre'!D10&gt;='DONNEES DE REFERENCE'!B22),'DONNEES DE REFERENCE'!B22,0))</f>
        <v>2005.2199999999998</v>
      </c>
      <c r="C20" s="19"/>
      <c r="D20" s="20"/>
      <c r="E20" s="76">
        <v>1E-3</v>
      </c>
      <c r="F20" s="108">
        <f t="shared" si="1"/>
        <v>2.00522</v>
      </c>
    </row>
    <row r="21" spans="1:13" ht="22.5" customHeight="1" x14ac:dyDescent="0.25">
      <c r="A21" s="2" t="s">
        <v>103</v>
      </c>
      <c r="B21" s="116">
        <f>IF('DONNEES DE REFERENCE'!B17&gt;=20,'Bulletin non-cadre'!D10,0)</f>
        <v>0</v>
      </c>
      <c r="C21" s="19"/>
      <c r="D21" s="20"/>
      <c r="E21" s="76">
        <v>5.0000000000000001E-3</v>
      </c>
      <c r="F21" s="108">
        <f t="shared" si="1"/>
        <v>0</v>
      </c>
      <c r="G21" s="115" t="s">
        <v>113</v>
      </c>
      <c r="H21" s="109"/>
      <c r="I21" s="109"/>
      <c r="J21" s="109"/>
      <c r="K21" s="110"/>
    </row>
    <row r="22" spans="1:13" ht="22.5" customHeight="1" x14ac:dyDescent="0.25">
      <c r="A22" s="2" t="s">
        <v>37</v>
      </c>
      <c r="B22" s="4">
        <f>$D$10</f>
        <v>2005.2199999999998</v>
      </c>
      <c r="C22" s="19"/>
      <c r="D22" s="20"/>
      <c r="E22" s="16">
        <v>3.0000000000000001E-3</v>
      </c>
      <c r="F22" s="17">
        <f t="shared" si="1"/>
        <v>6.0156599999999996</v>
      </c>
    </row>
    <row r="23" spans="1:13" ht="22.5" customHeight="1" x14ac:dyDescent="0.25">
      <c r="A23" s="2" t="s">
        <v>38</v>
      </c>
      <c r="B23" s="4">
        <f t="shared" ref="B23:B24" si="2">B22</f>
        <v>2005.2199999999998</v>
      </c>
      <c r="C23" s="19"/>
      <c r="D23" s="20"/>
      <c r="E23" s="99">
        <f>'DONNEES DE REFERENCE'!$B$21</f>
        <v>0.03</v>
      </c>
      <c r="F23" s="17">
        <f t="shared" si="1"/>
        <v>60.15659999999999</v>
      </c>
    </row>
    <row r="24" spans="1:13" ht="22.5" customHeight="1" x14ac:dyDescent="0.25">
      <c r="A24" s="2" t="s">
        <v>11</v>
      </c>
      <c r="B24" s="4">
        <f t="shared" si="2"/>
        <v>2005.2199999999998</v>
      </c>
      <c r="C24" s="19"/>
      <c r="D24" s="20"/>
      <c r="E24" s="16">
        <v>1E-4</v>
      </c>
      <c r="F24" s="17">
        <f t="shared" si="1"/>
        <v>0.20052199999999998</v>
      </c>
    </row>
    <row r="25" spans="1:13" ht="22.5" customHeight="1" x14ac:dyDescent="0.25">
      <c r="A25" s="2" t="s">
        <v>7</v>
      </c>
      <c r="B25" s="4">
        <f>$D$10*0.9825</f>
        <v>1970.1286499999999</v>
      </c>
      <c r="C25" s="16">
        <v>2.4E-2</v>
      </c>
      <c r="D25" s="4">
        <f t="shared" ref="D25:D27" si="3">B25*C25</f>
        <v>47.283087599999995</v>
      </c>
      <c r="E25" s="19"/>
      <c r="F25" s="22"/>
      <c r="G25" s="23"/>
    </row>
    <row r="26" spans="1:13" ht="22.5" customHeight="1" x14ac:dyDescent="0.25">
      <c r="A26" s="2" t="s">
        <v>8</v>
      </c>
      <c r="B26" s="4">
        <f t="shared" ref="B26:B27" si="4">$D$10*0.9825</f>
        <v>1970.1286499999999</v>
      </c>
      <c r="C26" s="16">
        <v>5.0999999999999997E-2</v>
      </c>
      <c r="D26" s="4">
        <f t="shared" si="3"/>
        <v>100.47656114999998</v>
      </c>
      <c r="E26" s="19"/>
      <c r="F26" s="22"/>
    </row>
    <row r="27" spans="1:13" ht="22.5" customHeight="1" x14ac:dyDescent="0.25">
      <c r="A27" s="2" t="s">
        <v>9</v>
      </c>
      <c r="B27" s="4">
        <f t="shared" si="4"/>
        <v>1970.1286499999999</v>
      </c>
      <c r="C27" s="16">
        <v>5.0000000000000001E-3</v>
      </c>
      <c r="D27" s="4">
        <f t="shared" si="3"/>
        <v>9.8506432499999992</v>
      </c>
      <c r="E27" s="19"/>
      <c r="F27" s="22"/>
    </row>
    <row r="28" spans="1:13" ht="22.5" customHeight="1" x14ac:dyDescent="0.25">
      <c r="A28" s="2" t="s">
        <v>10</v>
      </c>
      <c r="B28" s="4">
        <f>$D$10</f>
        <v>2005.2199999999998</v>
      </c>
      <c r="C28" s="3"/>
      <c r="D28" s="4"/>
      <c r="E28" s="24">
        <v>1.6000000000000001E-4</v>
      </c>
      <c r="F28" s="17">
        <f t="shared" ref="F28" si="5">B28*E28</f>
        <v>0.32083519999999999</v>
      </c>
    </row>
    <row r="29" spans="1:13" ht="22.5" customHeight="1" x14ac:dyDescent="0.25">
      <c r="A29" s="2" t="s">
        <v>104</v>
      </c>
      <c r="B29" s="98">
        <f>IF('DONNEES DE REFERENCE'!$B$17&lt;11,0,F39+F40)</f>
        <v>68</v>
      </c>
      <c r="C29" s="3"/>
      <c r="D29" s="4"/>
      <c r="E29" s="24">
        <v>0.08</v>
      </c>
      <c r="F29" s="108">
        <f>E29*B29</f>
        <v>5.44</v>
      </c>
      <c r="G29" s="112" t="s">
        <v>115</v>
      </c>
      <c r="H29" s="113"/>
      <c r="I29" s="113"/>
      <c r="J29" s="113"/>
      <c r="K29" s="114"/>
    </row>
    <row r="30" spans="1:13" ht="22.5" customHeight="1" x14ac:dyDescent="0.25">
      <c r="A30" s="2" t="s">
        <v>86</v>
      </c>
      <c r="B30" s="4"/>
      <c r="C30" s="3"/>
      <c r="D30" s="4"/>
      <c r="E30" s="24"/>
      <c r="F30" s="111">
        <f>IF('DONNEES DE REFERENCE'!B20&lt;0,"",'Bulletin non-cadre'!D10*'DONNEES DE REFERENCE'!B20)*-1</f>
        <v>-257.87129199999998</v>
      </c>
      <c r="G30" s="115" t="s">
        <v>114</v>
      </c>
      <c r="H30" s="109"/>
      <c r="I30" s="109"/>
      <c r="J30" s="109"/>
      <c r="K30" s="109"/>
      <c r="L30" s="109"/>
      <c r="M30" s="110"/>
    </row>
    <row r="31" spans="1:13" ht="22.5" customHeight="1" x14ac:dyDescent="0.25">
      <c r="A31" s="14" t="s">
        <v>12</v>
      </c>
      <c r="B31" s="15"/>
      <c r="C31" s="19"/>
      <c r="D31" s="19"/>
      <c r="E31" s="19"/>
      <c r="F31" s="56"/>
    </row>
    <row r="32" spans="1:13" ht="22.5" customHeight="1" x14ac:dyDescent="0.25">
      <c r="A32" s="2" t="s">
        <v>91</v>
      </c>
      <c r="B32" s="4">
        <f>IF($D$10&gt;(4*'DONNEES DE REFERENCE'!$B$22),4*'DONNEES DE REFERENCE'!$B$22,'Bulletin non-cadre'!$D$10)</f>
        <v>2005.2199999999998</v>
      </c>
      <c r="C32" s="16">
        <v>2.4E-2</v>
      </c>
      <c r="D32" s="4">
        <f t="shared" ref="D32" si="6">B32*C32</f>
        <v>48.125279999999997</v>
      </c>
      <c r="E32" s="16">
        <v>0.04</v>
      </c>
      <c r="F32" s="17">
        <f t="shared" ref="F32:F33" si="7">B32*E32</f>
        <v>80.208799999999997</v>
      </c>
    </row>
    <row r="33" spans="1:7" ht="22.5" customHeight="1" x14ac:dyDescent="0.25">
      <c r="A33" s="2" t="s">
        <v>39</v>
      </c>
      <c r="B33" s="4">
        <f>IF($D$10&gt;(4*'DONNEES DE REFERENCE'!$B$22),4*'DONNEES DE REFERENCE'!$B$22,'Bulletin non-cadre'!$D$10)</f>
        <v>2005.2199999999998</v>
      </c>
      <c r="C33" s="19"/>
      <c r="D33" s="20"/>
      <c r="E33" s="16">
        <v>2E-3</v>
      </c>
      <c r="F33" s="17">
        <f t="shared" si="7"/>
        <v>4.01044</v>
      </c>
    </row>
    <row r="34" spans="1:7" ht="22.5" customHeight="1" x14ac:dyDescent="0.25">
      <c r="A34" s="14" t="s">
        <v>45</v>
      </c>
      <c r="B34" s="20"/>
      <c r="C34" s="19"/>
      <c r="D34" s="20"/>
      <c r="E34" s="19"/>
      <c r="F34" s="22"/>
      <c r="G34" s="36"/>
    </row>
    <row r="35" spans="1:7" ht="22.5" customHeight="1" x14ac:dyDescent="0.25">
      <c r="A35" s="2" t="s">
        <v>87</v>
      </c>
      <c r="B35" s="18">
        <f>IF($D$10&gt;'DONNEES DE REFERENCE'!$B$22,'DONNEES DE REFERENCE'!$B$22,'Bulletin non-cadre'!$D$10)</f>
        <v>2005.2199999999998</v>
      </c>
      <c r="C35" s="16">
        <v>3.1E-2</v>
      </c>
      <c r="D35" s="4">
        <f>B35*C35</f>
        <v>62.161819999999992</v>
      </c>
      <c r="E35" s="16">
        <v>4.65E-2</v>
      </c>
      <c r="F35" s="17">
        <f t="shared" ref="F35:F39" si="8">B35*E35</f>
        <v>93.242729999999995</v>
      </c>
      <c r="G35" s="36"/>
    </row>
    <row r="36" spans="1:7" ht="22.5" customHeight="1" x14ac:dyDescent="0.25">
      <c r="A36" s="2" t="s">
        <v>88</v>
      </c>
      <c r="B36" s="98">
        <f>IF($D$10&lt;='DONNEES DE REFERENCE'!$B$22,0,IF('Bulletin non-cadre'!$D$10&gt;2*'DONNEES DE REFERENCE'!$B$22,2*'DONNEES DE REFERENCE'!$B$22,'Bulletin non-cadre'!$D$10-'DONNEES DE REFERENCE'!$B$22))</f>
        <v>0</v>
      </c>
      <c r="C36" s="16">
        <v>8.1000000000000003E-2</v>
      </c>
      <c r="D36" s="4"/>
      <c r="E36" s="16">
        <v>0.1215</v>
      </c>
      <c r="F36" s="17"/>
      <c r="G36" s="36"/>
    </row>
    <row r="37" spans="1:7" ht="22.5" customHeight="1" x14ac:dyDescent="0.25">
      <c r="A37" s="2" t="s">
        <v>89</v>
      </c>
      <c r="B37" s="18">
        <f>IF($D$10&gt;'DONNEES DE REFERENCE'!$B$22,'DONNEES DE REFERENCE'!$B$22,'Bulletin non-cadre'!$D$10)</f>
        <v>2005.2199999999998</v>
      </c>
      <c r="C37" s="16">
        <v>8.0000000000000002E-3</v>
      </c>
      <c r="D37" s="4">
        <f t="shared" ref="D37:D39" si="9">B37*C37</f>
        <v>16.04176</v>
      </c>
      <c r="E37" s="16">
        <v>1.2E-2</v>
      </c>
      <c r="F37" s="17">
        <f t="shared" si="8"/>
        <v>24.062639999999998</v>
      </c>
      <c r="G37" s="36"/>
    </row>
    <row r="38" spans="1:7" ht="22.5" customHeight="1" x14ac:dyDescent="0.25">
      <c r="A38" s="2" t="s">
        <v>90</v>
      </c>
      <c r="B38" s="18">
        <f>IF($D$10&lt;='DONNEES DE REFERENCE'!$B$22,0,IF('Bulletin non-cadre'!$D$10&gt;2*'DONNEES DE REFERENCE'!$B$22,2*'DONNEES DE REFERENCE'!$B$22,'Bulletin non-cadre'!$D$10-'DONNEES DE REFERENCE'!$B$22))</f>
        <v>0</v>
      </c>
      <c r="C38" s="16">
        <v>8.9999999999999993E-3</v>
      </c>
      <c r="D38" s="4"/>
      <c r="E38" s="16">
        <v>1.2999999999999999E-2</v>
      </c>
      <c r="F38" s="17"/>
      <c r="G38" s="36"/>
    </row>
    <row r="39" spans="1:7" ht="22.5" customHeight="1" x14ac:dyDescent="0.25">
      <c r="A39" s="37" t="s">
        <v>13</v>
      </c>
      <c r="B39" s="18">
        <f>$D$4</f>
        <v>1700</v>
      </c>
      <c r="C39" s="100">
        <f>'DONNEES DE REFERENCE'!B27</f>
        <v>7.4999999999999997E-3</v>
      </c>
      <c r="D39" s="4">
        <f t="shared" si="9"/>
        <v>12.75</v>
      </c>
      <c r="E39" s="100">
        <f>'DONNEES DE REFERENCE'!B28</f>
        <v>1.4999999999999999E-2</v>
      </c>
      <c r="F39" s="57">
        <f t="shared" si="8"/>
        <v>25.5</v>
      </c>
      <c r="G39" s="36"/>
    </row>
    <row r="40" spans="1:7" ht="22.5" customHeight="1" x14ac:dyDescent="0.25">
      <c r="A40" s="2" t="s">
        <v>40</v>
      </c>
      <c r="B40" s="18">
        <f>$D$4</f>
        <v>1700</v>
      </c>
      <c r="C40" s="99">
        <f>'DONNEES DE REFERENCE'!B24</f>
        <v>1.4999999999999999E-2</v>
      </c>
      <c r="D40" s="4">
        <f>B40*C40</f>
        <v>25.5</v>
      </c>
      <c r="E40" s="99">
        <f>'DONNEES DE REFERENCE'!B25</f>
        <v>2.5000000000000001E-2</v>
      </c>
      <c r="F40" s="57">
        <f>E40*B40</f>
        <v>42.5</v>
      </c>
    </row>
    <row r="41" spans="1:7" ht="22.5" customHeight="1" x14ac:dyDescent="0.25">
      <c r="A41" s="2" t="s">
        <v>41</v>
      </c>
      <c r="B41" s="4">
        <f>F39+F40</f>
        <v>68</v>
      </c>
      <c r="C41" s="16">
        <v>2.4E-2</v>
      </c>
      <c r="D41" s="4">
        <f>C41*B41</f>
        <v>1.6320000000000001</v>
      </c>
      <c r="E41" s="58"/>
      <c r="F41" s="57"/>
    </row>
    <row r="42" spans="1:7" ht="22.5" customHeight="1" x14ac:dyDescent="0.25">
      <c r="A42" s="2" t="s">
        <v>42</v>
      </c>
      <c r="B42" s="4">
        <f>B41</f>
        <v>68</v>
      </c>
      <c r="C42" s="16">
        <v>5.0999999999999997E-2</v>
      </c>
      <c r="D42" s="4">
        <f t="shared" ref="D42:D43" si="10">C42*B42</f>
        <v>3.468</v>
      </c>
      <c r="E42" s="58"/>
      <c r="F42" s="57"/>
    </row>
    <row r="43" spans="1:7" ht="22.5" customHeight="1" x14ac:dyDescent="0.25">
      <c r="A43" s="2" t="s">
        <v>43</v>
      </c>
      <c r="B43" s="4">
        <f>B42</f>
        <v>68</v>
      </c>
      <c r="C43" s="16">
        <v>5.0000000000000001E-3</v>
      </c>
      <c r="D43" s="4">
        <f t="shared" si="10"/>
        <v>0.34</v>
      </c>
      <c r="E43" s="58"/>
      <c r="F43" s="57"/>
    </row>
    <row r="44" spans="1:7" ht="22.5" customHeight="1" x14ac:dyDescent="0.25">
      <c r="A44" s="2"/>
      <c r="B44" s="4"/>
      <c r="C44" s="16"/>
      <c r="D44" s="4"/>
      <c r="E44" s="58"/>
      <c r="F44" s="57"/>
    </row>
    <row r="45" spans="1:7" ht="22.5" customHeight="1" x14ac:dyDescent="0.25">
      <c r="A45" s="14" t="s">
        <v>44</v>
      </c>
      <c r="B45" s="4"/>
      <c r="C45" s="16"/>
      <c r="D45" s="4"/>
      <c r="E45" s="58"/>
      <c r="F45" s="57"/>
    </row>
    <row r="46" spans="1:7" ht="22.5" customHeight="1" x14ac:dyDescent="0.25">
      <c r="A46" s="2" t="s">
        <v>14</v>
      </c>
      <c r="B46" s="4">
        <f>$B$28</f>
        <v>2005.2199999999998</v>
      </c>
      <c r="C46" s="16"/>
      <c r="D46" s="4"/>
      <c r="E46" s="58">
        <v>6.7999999999999996E-3</v>
      </c>
      <c r="F46" s="57">
        <f>E46*B46</f>
        <v>13.635495999999998</v>
      </c>
    </row>
    <row r="47" spans="1:7" ht="22.5" customHeight="1" x14ac:dyDescent="0.25">
      <c r="A47" s="2" t="s">
        <v>98</v>
      </c>
      <c r="B47" s="4">
        <f>$D$10</f>
        <v>2005.2199999999998</v>
      </c>
      <c r="C47" s="16"/>
      <c r="D47" s="4"/>
      <c r="E47" s="95">
        <f>IF('DONNEES DE REFERENCE'!$B$17&lt;11,0.55%,1%)</f>
        <v>0.01</v>
      </c>
      <c r="F47" s="57">
        <f>E47*B47</f>
        <v>20.052199999999999</v>
      </c>
    </row>
    <row r="48" spans="1:7" ht="22.5" customHeight="1" x14ac:dyDescent="0.25">
      <c r="A48" s="2"/>
      <c r="B48" s="4"/>
      <c r="C48" s="16"/>
      <c r="D48" s="4"/>
      <c r="E48" s="58"/>
      <c r="F48" s="57"/>
    </row>
    <row r="49" spans="1:6" ht="22.5" customHeight="1" x14ac:dyDescent="0.25">
      <c r="A49" s="2"/>
      <c r="B49" s="4"/>
      <c r="C49" s="16"/>
      <c r="D49" s="4"/>
      <c r="E49" s="58"/>
      <c r="F49" s="57"/>
    </row>
    <row r="50" spans="1:6" ht="22.5" customHeight="1" x14ac:dyDescent="0.25">
      <c r="A50" s="21" t="s">
        <v>15</v>
      </c>
      <c r="B50" s="25"/>
      <c r="C50" s="43"/>
      <c r="D50" s="26">
        <f>SUM(D14:D47)</f>
        <v>489.04936199999997</v>
      </c>
      <c r="E50" s="20"/>
      <c r="F50" s="40">
        <f>SUM(F14:F49)</f>
        <v>676.73048919999997</v>
      </c>
    </row>
    <row r="51" spans="1:6" ht="22.5" customHeight="1" thickBot="1" x14ac:dyDescent="0.3">
      <c r="A51" s="31" t="s">
        <v>105</v>
      </c>
      <c r="B51" s="27"/>
      <c r="C51" s="32"/>
      <c r="D51" s="74">
        <f>D10-D50</f>
        <v>1516.1706379999998</v>
      </c>
      <c r="E51" s="27"/>
      <c r="F51" s="59"/>
    </row>
    <row r="52" spans="1:6" ht="39.75" customHeight="1" thickBot="1" x14ac:dyDescent="0.3">
      <c r="A52" s="142" t="s">
        <v>106</v>
      </c>
      <c r="B52" s="143"/>
      <c r="C52" s="143"/>
      <c r="D52" s="75">
        <f>D10-D50+D43+D41+D27+D25+F39</f>
        <v>1600.7763688499999</v>
      </c>
    </row>
    <row r="53" spans="1:6" x14ac:dyDescent="0.25">
      <c r="A53" s="7"/>
      <c r="B53" s="7"/>
      <c r="C53" s="7"/>
      <c r="D53" s="7"/>
      <c r="E53" s="7"/>
      <c r="F53" s="7"/>
    </row>
  </sheetData>
  <mergeCells count="12">
    <mergeCell ref="F12:F13"/>
    <mergeCell ref="A52:C52"/>
    <mergeCell ref="A1:E1"/>
    <mergeCell ref="A12:A13"/>
    <mergeCell ref="B12:B13"/>
    <mergeCell ref="C12:C13"/>
    <mergeCell ref="D12:D13"/>
    <mergeCell ref="E12:E13"/>
    <mergeCell ref="F3:J3"/>
    <mergeCell ref="F5:K5"/>
    <mergeCell ref="F6:K6"/>
    <mergeCell ref="F7:K7"/>
  </mergeCells>
  <pageMargins left="0" right="0" top="0" bottom="0" header="0" footer="0"/>
  <pageSetup paperSize="9" orientation="landscape" verticalDpi="200" r:id="rId1"/>
  <ignoredErrors>
    <ignoredError sqref="B3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362B-53A5-4B10-AEB6-96E861740C2B}">
  <dimension ref="A1:I46"/>
  <sheetViews>
    <sheetView tabSelected="1" topLeftCell="A16" zoomScale="90" zoomScaleNormal="90" workbookViewId="0">
      <selection activeCell="J17" sqref="J17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5703125" style="1" bestFit="1" customWidth="1"/>
    <col min="6" max="6" width="21.7109375" style="1" customWidth="1"/>
    <col min="7" max="7" width="13.28515625" style="1" hidden="1" customWidth="1"/>
    <col min="8" max="8" width="11.42578125" style="1" hidden="1" customWidth="1"/>
    <col min="9" max="9" width="14.28515625" style="1" hidden="1" customWidth="1"/>
    <col min="10" max="16384" width="11.42578125" style="1"/>
  </cols>
  <sheetData>
    <row r="1" spans="1:9" ht="18" x14ac:dyDescent="0.25">
      <c r="A1" s="9" t="s">
        <v>34</v>
      </c>
      <c r="B1" s="10"/>
      <c r="C1" s="10"/>
      <c r="D1" s="10"/>
      <c r="I1" s="10"/>
    </row>
    <row r="2" spans="1:9" ht="15" thickBot="1" x14ac:dyDescent="0.3">
      <c r="C2" s="11"/>
      <c r="D2" s="11"/>
      <c r="E2" s="11"/>
      <c r="I2" s="11"/>
    </row>
    <row r="3" spans="1:9" ht="24" customHeight="1" thickBot="1" x14ac:dyDescent="0.3">
      <c r="A3" s="12" t="s">
        <v>0</v>
      </c>
      <c r="B3" s="77">
        <f>'Bulletin non-cadre'!D10</f>
        <v>2005.2199999999998</v>
      </c>
      <c r="C3" s="13"/>
      <c r="D3" s="13"/>
      <c r="E3" s="13"/>
      <c r="I3" s="13"/>
    </row>
    <row r="4" spans="1:9" ht="18" customHeight="1" x14ac:dyDescent="0.25">
      <c r="A4" s="146"/>
      <c r="B4" s="148" t="s">
        <v>1</v>
      </c>
      <c r="C4" s="148" t="s">
        <v>46</v>
      </c>
      <c r="D4" s="148" t="s">
        <v>47</v>
      </c>
      <c r="E4" s="140" t="s">
        <v>48</v>
      </c>
      <c r="I4" s="150" t="s">
        <v>4</v>
      </c>
    </row>
    <row r="5" spans="1:9" ht="18" customHeight="1" x14ac:dyDescent="0.25">
      <c r="A5" s="147"/>
      <c r="B5" s="149"/>
      <c r="C5" s="149"/>
      <c r="D5" s="149"/>
      <c r="E5" s="141"/>
      <c r="I5" s="151"/>
    </row>
    <row r="6" spans="1:9" ht="18" customHeight="1" x14ac:dyDescent="0.25">
      <c r="A6" s="14" t="s">
        <v>16</v>
      </c>
      <c r="B6" s="15"/>
      <c r="C6" s="119"/>
      <c r="D6" s="119"/>
      <c r="E6" s="120"/>
      <c r="I6" s="33"/>
    </row>
    <row r="7" spans="1:9" ht="17.25" customHeight="1" x14ac:dyDescent="0.25">
      <c r="A7" s="2" t="s">
        <v>17</v>
      </c>
      <c r="B7" s="4">
        <f>$B$3</f>
        <v>2005.2199999999998</v>
      </c>
      <c r="C7" s="76">
        <f>'Bulletin non-cadre'!C14</f>
        <v>7.4999999999999997E-3</v>
      </c>
      <c r="D7" s="118">
        <f>B7*C7</f>
        <v>15.039149999999998</v>
      </c>
      <c r="E7" s="121">
        <f>'Bulletin non-cadre'!F14</f>
        <v>258.47285799999997</v>
      </c>
      <c r="I7" s="5">
        <v>0.12889999999999999</v>
      </c>
    </row>
    <row r="8" spans="1:9" ht="17.25" customHeight="1" x14ac:dyDescent="0.25">
      <c r="A8" s="2" t="s">
        <v>18</v>
      </c>
      <c r="B8" s="18">
        <f>'Bulletin non-cadre'!D4</f>
        <v>1700</v>
      </c>
      <c r="C8" s="76">
        <f>'Bulletin non-cadre'!C40</f>
        <v>1.4999999999999999E-2</v>
      </c>
      <c r="D8" s="118">
        <f t="shared" ref="D8:D9" si="0">B8*C8</f>
        <v>25.5</v>
      </c>
      <c r="E8" s="122">
        <f>'Bulletin non-cadre'!F40</f>
        <v>42.5</v>
      </c>
      <c r="I8" s="5">
        <f>'Bulletin non-cadre'!E40</f>
        <v>2.5000000000000001E-2</v>
      </c>
    </row>
    <row r="9" spans="1:9" ht="17.25" customHeight="1" x14ac:dyDescent="0.25">
      <c r="A9" s="2" t="s">
        <v>19</v>
      </c>
      <c r="B9" s="18">
        <f>B8</f>
        <v>1700</v>
      </c>
      <c r="C9" s="76">
        <f>'Bulletin non-cadre'!C39</f>
        <v>7.4999999999999997E-3</v>
      </c>
      <c r="D9" s="118">
        <f t="shared" si="0"/>
        <v>12.75</v>
      </c>
      <c r="E9" s="121">
        <f>'Bulletin non-cadre'!F39</f>
        <v>25.5</v>
      </c>
      <c r="I9" s="5">
        <v>1.9E-2</v>
      </c>
    </row>
    <row r="10" spans="1:9" ht="17.25" customHeight="1" x14ac:dyDescent="0.25">
      <c r="A10" s="2"/>
      <c r="B10" s="4"/>
      <c r="C10" s="76"/>
      <c r="D10" s="118"/>
      <c r="E10" s="121"/>
      <c r="I10" s="5"/>
    </row>
    <row r="11" spans="1:9" ht="17.25" customHeight="1" x14ac:dyDescent="0.25">
      <c r="A11" s="14" t="s">
        <v>20</v>
      </c>
      <c r="B11" s="18">
        <f>B3</f>
        <v>2005.2199999999998</v>
      </c>
      <c r="C11" s="123"/>
      <c r="D11" s="124"/>
      <c r="E11" s="121">
        <f>'Bulletin non-cadre'!F23</f>
        <v>60.15659999999999</v>
      </c>
      <c r="I11" s="5">
        <v>2.5000000000000001E-2</v>
      </c>
    </row>
    <row r="12" spans="1:9" ht="17.25" customHeight="1" x14ac:dyDescent="0.25">
      <c r="A12" s="14"/>
      <c r="B12" s="4"/>
      <c r="C12" s="123"/>
      <c r="D12" s="124"/>
      <c r="E12" s="121"/>
      <c r="I12" s="5"/>
    </row>
    <row r="13" spans="1:9" ht="17.25" customHeight="1" x14ac:dyDescent="0.25">
      <c r="A13" s="14" t="s">
        <v>6</v>
      </c>
      <c r="B13" s="4"/>
      <c r="C13" s="123"/>
      <c r="D13" s="124"/>
      <c r="E13" s="121"/>
      <c r="I13" s="5"/>
    </row>
    <row r="14" spans="1:9" ht="17.25" customHeight="1" x14ac:dyDescent="0.25">
      <c r="A14" s="2" t="s">
        <v>21</v>
      </c>
      <c r="B14" s="18">
        <f>$B$3</f>
        <v>2005.2199999999998</v>
      </c>
      <c r="C14" s="76">
        <f>'Bulletin non-cadre'!C15</f>
        <v>6.9000000000000006E-2</v>
      </c>
      <c r="D14" s="118">
        <f>B14*C14</f>
        <v>138.36017999999999</v>
      </c>
      <c r="E14" s="121">
        <f>'Bulletin non-cadre'!F15</f>
        <v>171.44630999999998</v>
      </c>
      <c r="I14" s="5">
        <v>8.5500000000000007E-2</v>
      </c>
    </row>
    <row r="15" spans="1:9" ht="17.25" customHeight="1" x14ac:dyDescent="0.25">
      <c r="A15" s="2" t="s">
        <v>22</v>
      </c>
      <c r="B15" s="18">
        <f t="shared" ref="B15:B16" si="1">$B$3</f>
        <v>2005.2199999999998</v>
      </c>
      <c r="C15" s="76">
        <f>'Bulletin non-cadre'!C16</f>
        <v>4.0000000000000001E-3</v>
      </c>
      <c r="D15" s="118">
        <f>B15*C15</f>
        <v>8.02088</v>
      </c>
      <c r="E15" s="121">
        <f>'Bulletin non-cadre'!F16</f>
        <v>38.099179999999997</v>
      </c>
      <c r="I15" s="5">
        <v>1.9E-2</v>
      </c>
    </row>
    <row r="16" spans="1:9" ht="17.25" customHeight="1" x14ac:dyDescent="0.25">
      <c r="A16" s="2" t="s">
        <v>49</v>
      </c>
      <c r="B16" s="18">
        <f t="shared" si="1"/>
        <v>2005.2199999999998</v>
      </c>
      <c r="C16" s="125">
        <f>'Bulletin non-cadre'!C35+'Bulletin non-cadre'!C37</f>
        <v>3.9E-2</v>
      </c>
      <c r="D16" s="118">
        <f>B16*C16</f>
        <v>78.203579999999988</v>
      </c>
      <c r="E16" s="121">
        <f>'Bulletin non-cadre'!F35+'Bulletin non-cadre'!F37</f>
        <v>117.30537</v>
      </c>
      <c r="I16" s="5">
        <f>4.65%+1.2%</f>
        <v>5.850000000000001E-2</v>
      </c>
    </row>
    <row r="17" spans="1:9" ht="17.25" customHeight="1" x14ac:dyDescent="0.25">
      <c r="A17" s="2" t="s">
        <v>50</v>
      </c>
      <c r="B17" s="18">
        <f>'Bulletin non-cadre'!B36</f>
        <v>0</v>
      </c>
      <c r="C17" s="125">
        <f>'Bulletin non-cadre'!C36+'Bulletin non-cadre'!C38</f>
        <v>0.09</v>
      </c>
      <c r="D17" s="118">
        <f>B17*C17</f>
        <v>0</v>
      </c>
      <c r="E17" s="121">
        <f>'Bulletin non-cadre'!F36+'Bulletin non-cadre'!F38</f>
        <v>0</v>
      </c>
      <c r="I17" s="5"/>
    </row>
    <row r="18" spans="1:9" ht="17.25" customHeight="1" x14ac:dyDescent="0.25">
      <c r="A18" s="2" t="s">
        <v>23</v>
      </c>
      <c r="B18" s="4"/>
      <c r="C18" s="125"/>
      <c r="D18" s="118"/>
      <c r="E18" s="121"/>
      <c r="I18" s="5"/>
    </row>
    <row r="19" spans="1:9" ht="17.25" customHeight="1" x14ac:dyDescent="0.25">
      <c r="A19" s="2"/>
      <c r="B19" s="4"/>
      <c r="C19" s="125"/>
      <c r="D19" s="118"/>
      <c r="E19" s="121"/>
      <c r="I19" s="5"/>
    </row>
    <row r="20" spans="1:9" ht="17.25" customHeight="1" x14ac:dyDescent="0.25">
      <c r="A20" s="21" t="s">
        <v>24</v>
      </c>
      <c r="B20" s="6">
        <f>B7</f>
        <v>2005.2199999999998</v>
      </c>
      <c r="C20" s="125"/>
      <c r="D20" s="118"/>
      <c r="E20" s="121">
        <f>'Bulletin non-cadre'!F18+'Bulletin non-cadre'!F19</f>
        <v>69.180089999999993</v>
      </c>
      <c r="I20" s="5">
        <v>3.4500000000000003E-2</v>
      </c>
    </row>
    <row r="21" spans="1:9" ht="17.25" customHeight="1" x14ac:dyDescent="0.25">
      <c r="A21" s="21" t="s">
        <v>25</v>
      </c>
      <c r="B21" s="4">
        <f t="shared" ref="B21:B22" si="2">$B$3</f>
        <v>2005.2199999999998</v>
      </c>
      <c r="C21" s="76">
        <f>'Bulletin non-cadre'!C32</f>
        <v>2.4E-2</v>
      </c>
      <c r="D21" s="118">
        <f t="shared" ref="D21" si="3">B21*C21</f>
        <v>48.125279999999997</v>
      </c>
      <c r="E21" s="121">
        <f>'Bulletin non-cadre'!F32+'Bulletin non-cadre'!F33</f>
        <v>84.219239999999999</v>
      </c>
      <c r="I21" s="5">
        <v>4.2000000000000003E-2</v>
      </c>
    </row>
    <row r="22" spans="1:9" ht="17.25" customHeight="1" x14ac:dyDescent="0.25">
      <c r="A22" s="21" t="s">
        <v>51</v>
      </c>
      <c r="B22" s="4">
        <f t="shared" si="2"/>
        <v>2005.2199999999998</v>
      </c>
      <c r="C22" s="125"/>
      <c r="D22" s="118"/>
      <c r="E22" s="136">
        <f>'Bulletin non-cadre'!F17+'Bulletin non-cadre'!F20+'Bulletin non-cadre'!F21+'Bulletin non-cadre'!F22+'Bulletin non-cadre'!F24+'Bulletin non-cadre'!F28+'Bulletin non-cadre'!F29+'Bulletin non-cadre'!F46+'Bulletin non-cadre'!F47</f>
        <v>67.722133200000002</v>
      </c>
      <c r="I22" s="5">
        <f>1%+0.1%+0.3%+0.01%+0.016%+0.68%+0.55%</f>
        <v>2.656E-2</v>
      </c>
    </row>
    <row r="23" spans="1:9" ht="17.25" customHeight="1" x14ac:dyDescent="0.25">
      <c r="A23" s="21" t="s">
        <v>26</v>
      </c>
      <c r="B23" s="6"/>
      <c r="C23" s="125"/>
      <c r="D23" s="118"/>
      <c r="E23" s="121"/>
      <c r="I23" s="5"/>
    </row>
    <row r="24" spans="1:9" ht="17.25" customHeight="1" x14ac:dyDescent="0.25">
      <c r="A24" s="14"/>
      <c r="B24" s="6"/>
      <c r="C24" s="125"/>
      <c r="D24" s="118"/>
      <c r="E24" s="121"/>
      <c r="I24" s="5"/>
    </row>
    <row r="25" spans="1:9" ht="17.25" customHeight="1" x14ac:dyDescent="0.25">
      <c r="A25" s="14"/>
      <c r="B25" s="6"/>
      <c r="C25" s="125"/>
      <c r="D25" s="118"/>
      <c r="E25" s="121"/>
      <c r="I25" s="5"/>
    </row>
    <row r="26" spans="1:9" ht="17.25" customHeight="1" x14ac:dyDescent="0.25">
      <c r="A26" s="2" t="s">
        <v>27</v>
      </c>
      <c r="B26" s="4">
        <f>(B3*0.9825)+E8+E9</f>
        <v>2038.1286499999999</v>
      </c>
      <c r="C26" s="76">
        <f>'Bulletin non-cadre'!C25+'Bulletin non-cadre'!C27</f>
        <v>2.9000000000000001E-2</v>
      </c>
      <c r="D26" s="118">
        <f t="shared" ref="D26:D27" si="4">B26*C26</f>
        <v>59.10573085</v>
      </c>
      <c r="E26" s="126"/>
      <c r="F26" s="23"/>
      <c r="I26" s="34"/>
    </row>
    <row r="27" spans="1:9" ht="17.25" customHeight="1" x14ac:dyDescent="0.25">
      <c r="A27" s="2" t="s">
        <v>28</v>
      </c>
      <c r="B27" s="4">
        <f>B26</f>
        <v>2038.1286499999999</v>
      </c>
      <c r="C27" s="76">
        <f>'Bulletin non-cadre'!C26</f>
        <v>5.0999999999999997E-2</v>
      </c>
      <c r="D27" s="118">
        <f t="shared" si="4"/>
        <v>103.94456114999998</v>
      </c>
      <c r="E27" s="126"/>
      <c r="I27" s="34"/>
    </row>
    <row r="28" spans="1:9" ht="17.25" customHeight="1" x14ac:dyDescent="0.25">
      <c r="A28" s="2"/>
      <c r="B28" s="4"/>
      <c r="C28" s="76"/>
      <c r="D28" s="118"/>
      <c r="E28" s="126"/>
      <c r="I28" s="34"/>
    </row>
    <row r="29" spans="1:9" ht="17.25" customHeight="1" x14ac:dyDescent="0.25">
      <c r="A29" s="21" t="s">
        <v>29</v>
      </c>
      <c r="B29" s="4"/>
      <c r="C29" s="127"/>
      <c r="D29" s="118"/>
      <c r="E29" s="128">
        <f>'Bulletin non-cadre'!F30</f>
        <v>-257.87129199999998</v>
      </c>
      <c r="I29" s="35"/>
    </row>
    <row r="30" spans="1:9" ht="17.25" customHeight="1" x14ac:dyDescent="0.25">
      <c r="A30" s="14"/>
      <c r="B30" s="15"/>
      <c r="C30" s="123"/>
      <c r="D30" s="123"/>
      <c r="E30" s="129"/>
      <c r="I30" s="34"/>
    </row>
    <row r="31" spans="1:9" ht="17.25" customHeight="1" x14ac:dyDescent="0.25">
      <c r="A31" s="2"/>
      <c r="B31" s="4"/>
      <c r="C31" s="76"/>
      <c r="D31" s="118"/>
      <c r="E31" s="130"/>
      <c r="I31" s="38"/>
    </row>
    <row r="32" spans="1:9" ht="17.25" customHeight="1" x14ac:dyDescent="0.25">
      <c r="A32" s="21" t="s">
        <v>30</v>
      </c>
      <c r="B32" s="25"/>
      <c r="C32" s="119"/>
      <c r="D32" s="131">
        <f>SUM(D7:D30)</f>
        <v>489.04936199999992</v>
      </c>
      <c r="E32" s="132">
        <f>SUM(E7:E31)</f>
        <v>676.73048919999997</v>
      </c>
      <c r="I32" s="39"/>
    </row>
    <row r="33" spans="1:9" ht="17.25" customHeight="1" thickBot="1" x14ac:dyDescent="0.3">
      <c r="A33" s="31"/>
      <c r="B33" s="27"/>
      <c r="C33" s="133"/>
      <c r="D33" s="134"/>
      <c r="E33" s="135"/>
      <c r="I33" s="41"/>
    </row>
    <row r="34" spans="1:9" ht="23.25" customHeight="1" x14ac:dyDescent="0.25">
      <c r="D34" s="158" t="s">
        <v>31</v>
      </c>
      <c r="E34" s="159"/>
    </row>
    <row r="35" spans="1:9" ht="24" customHeight="1" x14ac:dyDescent="0.25">
      <c r="A35" s="7"/>
      <c r="B35" s="7"/>
      <c r="C35" s="7"/>
      <c r="D35" s="160">
        <f>B3-D32</f>
        <v>1516.1706379999998</v>
      </c>
      <c r="E35" s="159"/>
      <c r="I35" s="7"/>
    </row>
    <row r="36" spans="1:9" ht="24" customHeight="1" x14ac:dyDescent="0.25">
      <c r="A36" s="7"/>
      <c r="B36" s="7"/>
      <c r="C36" s="7"/>
      <c r="D36" s="28" t="s">
        <v>32</v>
      </c>
      <c r="E36" s="28" t="s">
        <v>33</v>
      </c>
      <c r="I36" s="7"/>
    </row>
    <row r="37" spans="1:9" ht="24" customHeight="1" x14ac:dyDescent="0.25">
      <c r="A37" s="7"/>
      <c r="B37" s="7"/>
      <c r="C37" s="7"/>
      <c r="D37" s="29">
        <f>B3+E32</f>
        <v>2681.9504891999995</v>
      </c>
      <c r="E37" s="29">
        <f>-E29+(B3*1.8%)</f>
        <v>293.96525199999996</v>
      </c>
      <c r="I37" s="7"/>
    </row>
    <row r="38" spans="1:9" ht="24" customHeight="1" x14ac:dyDescent="0.25">
      <c r="A38" s="7"/>
      <c r="B38" s="7"/>
      <c r="C38" s="7"/>
      <c r="D38" s="8"/>
      <c r="E38" s="8"/>
      <c r="I38" s="7"/>
    </row>
    <row r="39" spans="1:9" ht="24" customHeight="1" thickBot="1" x14ac:dyDescent="0.3">
      <c r="A39" s="7"/>
      <c r="B39" s="7"/>
      <c r="C39" s="7"/>
      <c r="D39" s="8"/>
      <c r="E39" s="8"/>
      <c r="I39" s="7"/>
    </row>
    <row r="40" spans="1:9" ht="24" customHeight="1" thickBot="1" x14ac:dyDescent="0.3">
      <c r="A40" s="161" t="s">
        <v>120</v>
      </c>
      <c r="B40" s="143"/>
      <c r="C40" s="143"/>
      <c r="D40" s="42">
        <f>+'Bulletin non-cadre'!D52</f>
        <v>1600.7763688499999</v>
      </c>
      <c r="E40" s="7"/>
      <c r="I40" s="7"/>
    </row>
    <row r="41" spans="1:9" x14ac:dyDescent="0.25">
      <c r="A41" s="7"/>
      <c r="B41" s="7"/>
      <c r="C41" s="7"/>
      <c r="D41" s="7"/>
      <c r="E41" s="7"/>
      <c r="I41" s="7"/>
    </row>
    <row r="42" spans="1:9" x14ac:dyDescent="0.25">
      <c r="A42" s="7"/>
      <c r="B42" s="7"/>
      <c r="C42" s="7"/>
      <c r="D42" s="7"/>
      <c r="E42" s="7"/>
      <c r="I42" s="7"/>
    </row>
    <row r="43" spans="1:9" ht="16.5" customHeight="1" x14ac:dyDescent="0.25">
      <c r="A43" s="7"/>
      <c r="B43" s="7"/>
      <c r="C43" s="7"/>
      <c r="D43" s="7"/>
      <c r="E43" s="7"/>
      <c r="I43" s="7"/>
    </row>
    <row r="44" spans="1:9" x14ac:dyDescent="0.25">
      <c r="A44" s="7"/>
      <c r="B44" s="7"/>
      <c r="C44" s="7"/>
      <c r="D44" s="7"/>
      <c r="E44" s="7"/>
      <c r="I44" s="7"/>
    </row>
    <row r="45" spans="1:9" x14ac:dyDescent="0.25">
      <c r="A45" s="7"/>
      <c r="B45" s="7"/>
      <c r="C45" s="7"/>
      <c r="D45" s="7"/>
      <c r="E45" s="7"/>
      <c r="I45" s="7"/>
    </row>
    <row r="46" spans="1:9" x14ac:dyDescent="0.25">
      <c r="A46" s="7"/>
      <c r="B46" s="7"/>
      <c r="C46" s="7"/>
      <c r="D46" s="7"/>
      <c r="E46" s="7"/>
      <c r="I46" s="7"/>
    </row>
  </sheetData>
  <mergeCells count="9">
    <mergeCell ref="I4:I5"/>
    <mergeCell ref="D34:E34"/>
    <mergeCell ref="D35:E35"/>
    <mergeCell ref="A40:C40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DONNEES DE REFERENCE (2)</vt:lpstr>
      <vt:lpstr>DONNEES DE REFERENCE</vt:lpstr>
      <vt:lpstr>Bulletin non-cadre</vt:lpstr>
      <vt:lpstr> bulletin simplif non-cadre</vt:lpstr>
      <vt:lpstr>' bulletin simplif non-cadre'!_Toc409093540</vt:lpstr>
      <vt:lpstr>'Bulletin non-cadre'!_Toc409093540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ARKHOS</cp:lastModifiedBy>
  <dcterms:created xsi:type="dcterms:W3CDTF">2017-10-11T09:58:25Z</dcterms:created>
  <dcterms:modified xsi:type="dcterms:W3CDTF">2017-11-17T04:22:36Z</dcterms:modified>
</cp:coreProperties>
</file>