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in\Desktop\FOAD COMPTA\A Daniel\Vidéo 9 paies compléments et enregistrements\DOCUMENTS\"/>
    </mc:Choice>
  </mc:AlternateContent>
  <bookViews>
    <workbookView xWindow="600" yWindow="210" windowWidth="16515" windowHeight="5895" tabRatio="806" firstSheet="1" activeTab="5"/>
  </bookViews>
  <sheets>
    <sheet name="bulletin non-cadre" sheetId="9" r:id="rId1"/>
    <sheet name=" bulletin non-cadre exemple" sheetId="10" r:id="rId2"/>
    <sheet name=" bulletin cadre" sheetId="7" r:id="rId3"/>
    <sheet name="Déclarations" sheetId="8" r:id="rId4"/>
    <sheet name="Les écritures" sheetId="11" r:id="rId5"/>
    <sheet name="Vérifications" sheetId="14" r:id="rId6"/>
  </sheets>
  <externalReferences>
    <externalReference r:id="rId7"/>
    <externalReference r:id="rId8"/>
  </externalReferences>
  <definedNames>
    <definedName name="_Toc409093540" localSheetId="2">' bulletin cadre'!$A$1</definedName>
    <definedName name="_Toc409093540" localSheetId="1">' bulletin non-cadre exemple'!$A$1</definedName>
    <definedName name="_Toc409093540" localSheetId="0">'bulletin non-cadre'!$A$1</definedName>
  </definedNames>
  <calcPr calcId="171027"/>
</workbook>
</file>

<file path=xl/calcChain.xml><?xml version="1.0" encoding="utf-8"?>
<calcChain xmlns="http://schemas.openxmlformats.org/spreadsheetml/2006/main">
  <c r="K37" i="8" l="1"/>
  <c r="C39" i="8"/>
  <c r="K39" i="8"/>
  <c r="K38" i="8"/>
  <c r="E37" i="8"/>
  <c r="K41" i="8"/>
  <c r="F22" i="14"/>
  <c r="C8" i="8"/>
  <c r="B23" i="14"/>
  <c r="B22" i="14"/>
  <c r="B21" i="14"/>
  <c r="C6" i="14"/>
  <c r="B6" i="14"/>
  <c r="D6" i="14" l="1"/>
  <c r="D39" i="8"/>
  <c r="H5" i="10"/>
  <c r="F14" i="8" l="1"/>
  <c r="H4" i="10"/>
  <c r="H6" i="10" s="1"/>
  <c r="I6" i="10" s="1"/>
  <c r="J6" i="10" s="1"/>
  <c r="F8" i="8" l="1"/>
  <c r="J4" i="8"/>
  <c r="J5" i="8"/>
  <c r="J6" i="8"/>
  <c r="J8" i="8"/>
  <c r="J9" i="8"/>
  <c r="J10" i="8"/>
  <c r="J12" i="8"/>
  <c r="J13" i="8"/>
  <c r="J14" i="8"/>
  <c r="J16" i="8"/>
  <c r="J18" i="8"/>
  <c r="E14" i="8" l="1"/>
  <c r="D5" i="8"/>
  <c r="B25" i="10"/>
  <c r="B27" i="10" s="1"/>
  <c r="B24" i="10"/>
  <c r="F24" i="10" s="1"/>
  <c r="B22" i="10"/>
  <c r="F22" i="10" s="1"/>
  <c r="B21" i="10"/>
  <c r="F21" i="10" s="1"/>
  <c r="J9" i="10" s="1"/>
  <c r="B18" i="10"/>
  <c r="F18" i="10" s="1"/>
  <c r="B17" i="10"/>
  <c r="D17" i="10" s="1"/>
  <c r="B16" i="10"/>
  <c r="D16" i="10" s="1"/>
  <c r="B15" i="10"/>
  <c r="D15" i="10" s="1"/>
  <c r="E8" i="10"/>
  <c r="C8" i="10"/>
  <c r="E7" i="10"/>
  <c r="C7" i="10"/>
  <c r="E6" i="10"/>
  <c r="B6" i="10"/>
  <c r="B7" i="10" s="1"/>
  <c r="F27" i="10" l="1"/>
  <c r="D27" i="10"/>
  <c r="I14" i="10" s="1"/>
  <c r="D7" i="10"/>
  <c r="B8" i="10"/>
  <c r="F7" i="10"/>
  <c r="B33" i="10"/>
  <c r="D6" i="10"/>
  <c r="D24" i="10"/>
  <c r="I13" i="10" s="1"/>
  <c r="F6" i="10"/>
  <c r="D21" i="10"/>
  <c r="I9" i="10" s="1"/>
  <c r="K9" i="10" s="1"/>
  <c r="D25" i="10"/>
  <c r="F25" i="10"/>
  <c r="J13" i="10" s="1"/>
  <c r="B45" i="7"/>
  <c r="B46" i="7" s="1"/>
  <c r="F46" i="7" s="1"/>
  <c r="J18" i="7" s="1"/>
  <c r="F45" i="7" l="1"/>
  <c r="J17" i="7" s="1"/>
  <c r="K17" i="7" s="1"/>
  <c r="K18" i="7"/>
  <c r="K13" i="10"/>
  <c r="C22" i="14" s="1"/>
  <c r="D22" i="14" s="1"/>
  <c r="I15" i="10"/>
  <c r="B28" i="10"/>
  <c r="J14" i="10"/>
  <c r="B34" i="10"/>
  <c r="F34" i="10" s="1"/>
  <c r="J18" i="10" s="1"/>
  <c r="K18" i="10" s="1"/>
  <c r="F33" i="10"/>
  <c r="J17" i="10" s="1"/>
  <c r="B9" i="10"/>
  <c r="F8" i="10"/>
  <c r="D8" i="10"/>
  <c r="K19" i="7" l="1"/>
  <c r="J19" i="7"/>
  <c r="K17" i="10"/>
  <c r="K19" i="10" s="1"/>
  <c r="J19" i="10"/>
  <c r="D28" i="10"/>
  <c r="K14" i="10"/>
  <c r="C23" i="14" s="1"/>
  <c r="D23" i="14" s="1"/>
  <c r="B29" i="10"/>
  <c r="B30" i="10" s="1"/>
  <c r="D30" i="10" s="1"/>
  <c r="J15" i="10"/>
  <c r="K15" i="10" s="1"/>
  <c r="B10" i="10"/>
  <c r="F9" i="10"/>
  <c r="D29" i="10" l="1"/>
  <c r="I10" i="10" s="1"/>
  <c r="B11" i="10"/>
  <c r="F10" i="10"/>
  <c r="D37" i="10"/>
  <c r="B19" i="7"/>
  <c r="B18" i="7"/>
  <c r="F18" i="7" s="1"/>
  <c r="I23" i="10" l="1"/>
  <c r="B7" i="14"/>
  <c r="I11" i="10"/>
  <c r="B12" i="10"/>
  <c r="F11" i="10"/>
  <c r="D38" i="10"/>
  <c r="C3" i="11"/>
  <c r="C10" i="11" s="1"/>
  <c r="B8" i="14" l="1"/>
  <c r="I21" i="10"/>
  <c r="B13" i="10"/>
  <c r="F12" i="10"/>
  <c r="C27" i="8"/>
  <c r="C24" i="8"/>
  <c r="C7" i="8"/>
  <c r="F7" i="8" s="1"/>
  <c r="C4" i="8"/>
  <c r="C15" i="8" l="1"/>
  <c r="E15" i="8" s="1"/>
  <c r="F4" i="8"/>
  <c r="B14" i="10"/>
  <c r="F14" i="10" s="1"/>
  <c r="F13" i="10"/>
  <c r="C5" i="8"/>
  <c r="C10" i="8"/>
  <c r="C12" i="8"/>
  <c r="F12" i="8" s="1"/>
  <c r="E7" i="8"/>
  <c r="E4" i="8"/>
  <c r="J10" i="10" l="1"/>
  <c r="E10" i="8"/>
  <c r="F10" i="8"/>
  <c r="C6" i="8"/>
  <c r="F5" i="8"/>
  <c r="C16" i="8"/>
  <c r="F15" i="8"/>
  <c r="E12" i="8"/>
  <c r="C13" i="8"/>
  <c r="F37" i="10"/>
  <c r="E5" i="8"/>
  <c r="J23" i="10" l="1"/>
  <c r="K23" i="10" s="1"/>
  <c r="C7" i="14"/>
  <c r="E6" i="8"/>
  <c r="F6" i="8"/>
  <c r="F16" i="8"/>
  <c r="E16" i="8"/>
  <c r="E13" i="8"/>
  <c r="F13" i="8"/>
  <c r="J11" i="10"/>
  <c r="K10" i="10"/>
  <c r="E27" i="8"/>
  <c r="E24" i="8"/>
  <c r="D32" i="9"/>
  <c r="B24" i="9"/>
  <c r="B26" i="9" s="1"/>
  <c r="B23" i="9"/>
  <c r="D23" i="9" s="1"/>
  <c r="B21" i="9"/>
  <c r="F21" i="9" s="1"/>
  <c r="F20" i="9"/>
  <c r="B20" i="9"/>
  <c r="D20" i="9" s="1"/>
  <c r="F18" i="9"/>
  <c r="B17" i="9"/>
  <c r="F17" i="9" s="1"/>
  <c r="B16" i="9"/>
  <c r="D16" i="9" s="1"/>
  <c r="D15" i="9"/>
  <c r="B15" i="9"/>
  <c r="B14" i="9"/>
  <c r="D14" i="9" s="1"/>
  <c r="E8" i="9"/>
  <c r="C8" i="9"/>
  <c r="E7" i="9"/>
  <c r="C7" i="9"/>
  <c r="E6" i="9"/>
  <c r="B6" i="9"/>
  <c r="B7" i="9" s="1"/>
  <c r="C8" i="14" l="1"/>
  <c r="D8" i="14" s="1"/>
  <c r="D7" i="14"/>
  <c r="J21" i="10"/>
  <c r="K11" i="10"/>
  <c r="F23" i="9"/>
  <c r="F26" i="9"/>
  <c r="B27" i="9" s="1"/>
  <c r="D26" i="9"/>
  <c r="D7" i="9"/>
  <c r="F7" i="9"/>
  <c r="B8" i="9"/>
  <c r="D6" i="9"/>
  <c r="D24" i="9"/>
  <c r="F6" i="9"/>
  <c r="F24" i="9"/>
  <c r="K21" i="10" l="1"/>
  <c r="L11" i="7"/>
  <c r="C21" i="14"/>
  <c r="D21" i="14" s="1"/>
  <c r="D27" i="9"/>
  <c r="B28" i="9"/>
  <c r="B9" i="9"/>
  <c r="D8" i="9"/>
  <c r="F8" i="9"/>
  <c r="B29" i="9" l="1"/>
  <c r="D29" i="9" s="1"/>
  <c r="D28" i="9"/>
  <c r="D30" i="9" s="1"/>
  <c r="D31" i="9" s="1"/>
  <c r="F9" i="9"/>
  <c r="B10" i="9"/>
  <c r="B11" i="9" l="1"/>
  <c r="F10" i="9"/>
  <c r="B12" i="9" l="1"/>
  <c r="F11" i="9"/>
  <c r="B13" i="9" l="1"/>
  <c r="F13" i="9" s="1"/>
  <c r="F12" i="9"/>
  <c r="F30" i="9"/>
  <c r="D25" i="8" l="1"/>
  <c r="D23" i="8"/>
  <c r="B27" i="7" l="1"/>
  <c r="F27" i="7" s="1"/>
  <c r="B13" i="7"/>
  <c r="B12" i="7"/>
  <c r="B23" i="7"/>
  <c r="F23" i="7" s="1"/>
  <c r="B22" i="7"/>
  <c r="D22" i="7" s="1"/>
  <c r="I9" i="7" s="1"/>
  <c r="F19" i="7"/>
  <c r="B17" i="7"/>
  <c r="D17" i="7" s="1"/>
  <c r="B16" i="7"/>
  <c r="D16" i="7" s="1"/>
  <c r="B15" i="7"/>
  <c r="B6" i="7"/>
  <c r="D6" i="7" s="1"/>
  <c r="C9" i="8" l="1"/>
  <c r="E8" i="8"/>
  <c r="D15" i="7"/>
  <c r="B26" i="7"/>
  <c r="B34" i="7"/>
  <c r="B8" i="7"/>
  <c r="F8" i="7" s="1"/>
  <c r="B38" i="7"/>
  <c r="C38" i="8" s="1"/>
  <c r="F22" i="7"/>
  <c r="J9" i="7" s="1"/>
  <c r="C16" i="11" s="1"/>
  <c r="F6" i="7"/>
  <c r="D27" i="7"/>
  <c r="D7" i="7"/>
  <c r="F7" i="7"/>
  <c r="E9" i="8" l="1"/>
  <c r="F9" i="8"/>
  <c r="K9" i="7"/>
  <c r="F26" i="7"/>
  <c r="C25" i="8"/>
  <c r="F38" i="7"/>
  <c r="E38" i="8"/>
  <c r="B9" i="7"/>
  <c r="B10" i="7" s="1"/>
  <c r="B11" i="7" s="1"/>
  <c r="F11" i="7" s="1"/>
  <c r="D26" i="7"/>
  <c r="B28" i="7"/>
  <c r="B33" i="7" s="1"/>
  <c r="C23" i="8" s="1"/>
  <c r="C30" i="8" s="1"/>
  <c r="D8" i="7"/>
  <c r="F34" i="7"/>
  <c r="D34" i="7"/>
  <c r="B35" i="7"/>
  <c r="B39" i="7" s="1"/>
  <c r="E39" i="8" s="1"/>
  <c r="E41" i="8" l="1"/>
  <c r="C29" i="8"/>
  <c r="E29" i="8" s="1"/>
  <c r="E25" i="8"/>
  <c r="F33" i="7"/>
  <c r="F9" i="7"/>
  <c r="D33" i="7"/>
  <c r="D28" i="7"/>
  <c r="I13" i="7" s="1"/>
  <c r="F28" i="7"/>
  <c r="D39" i="7"/>
  <c r="I14" i="7" s="1"/>
  <c r="F39" i="7"/>
  <c r="F35" i="7"/>
  <c r="D35" i="7"/>
  <c r="F10" i="7"/>
  <c r="C31" i="11" l="1"/>
  <c r="B14" i="14"/>
  <c r="E23" i="14" s="1"/>
  <c r="F23" i="14" s="1"/>
  <c r="I15" i="7"/>
  <c r="B40" i="7"/>
  <c r="B41" i="7" s="1"/>
  <c r="J14" i="7"/>
  <c r="K14" i="7"/>
  <c r="J13" i="7"/>
  <c r="C18" i="11" s="1"/>
  <c r="D19" i="11" s="1"/>
  <c r="E23" i="8"/>
  <c r="E30" i="8"/>
  <c r="D40" i="7"/>
  <c r="F12" i="7"/>
  <c r="J15" i="7" l="1"/>
  <c r="C20" i="11"/>
  <c r="D21" i="11" s="1"/>
  <c r="C11" i="8"/>
  <c r="K15" i="7"/>
  <c r="D5" i="11"/>
  <c r="G5" i="11" s="1"/>
  <c r="K13" i="7"/>
  <c r="E32" i="8"/>
  <c r="D41" i="7"/>
  <c r="I10" i="7" s="1"/>
  <c r="B42" i="7"/>
  <c r="D42" i="7" s="1"/>
  <c r="B14" i="7"/>
  <c r="F14" i="7" s="1"/>
  <c r="F13" i="7"/>
  <c r="G32" i="8" l="1"/>
  <c r="B13" i="14"/>
  <c r="E22" i="14" s="1"/>
  <c r="I11" i="7"/>
  <c r="F11" i="8"/>
  <c r="F17" i="8" s="1"/>
  <c r="E11" i="8"/>
  <c r="E17" i="8" s="1"/>
  <c r="J10" i="7"/>
  <c r="F48" i="7"/>
  <c r="J23" i="7" s="1"/>
  <c r="C29" i="11"/>
  <c r="C30" i="11"/>
  <c r="C32" i="11" s="1"/>
  <c r="D48" i="7"/>
  <c r="I23" i="7" s="1"/>
  <c r="C27" i="11" l="1"/>
  <c r="B12" i="14"/>
  <c r="K23" i="7"/>
  <c r="J11" i="7"/>
  <c r="J21" i="7" s="1"/>
  <c r="C15" i="11"/>
  <c r="K10" i="7"/>
  <c r="K11" i="7"/>
  <c r="K21" i="7" s="1"/>
  <c r="D4" i="11"/>
  <c r="I21" i="7"/>
  <c r="D49" i="7"/>
  <c r="D9" i="11" s="1"/>
  <c r="D50" i="7"/>
  <c r="E21" i="14" l="1"/>
  <c r="F21" i="14" s="1"/>
  <c r="B15" i="14"/>
  <c r="F8" i="14" s="1"/>
  <c r="D10" i="11"/>
  <c r="C22" i="11"/>
  <c r="D17" i="11"/>
  <c r="G4" i="11" l="1"/>
  <c r="D22" i="11"/>
  <c r="C26" i="11"/>
</calcChain>
</file>

<file path=xl/sharedStrings.xml><?xml version="1.0" encoding="utf-8"?>
<sst xmlns="http://schemas.openxmlformats.org/spreadsheetml/2006/main" count="242" uniqueCount="156">
  <si>
    <t>Maladie</t>
  </si>
  <si>
    <t>Vieillesse</t>
  </si>
  <si>
    <t>Contribution de solidarité autonomie</t>
  </si>
  <si>
    <t>Accident du travail</t>
  </si>
  <si>
    <t>C.S.G. non déductible</t>
  </si>
  <si>
    <t>C.S.G. déductible</t>
  </si>
  <si>
    <t>CRDS non déductible</t>
  </si>
  <si>
    <t>Chômage 1</t>
  </si>
  <si>
    <t>RETRAITE COMPLEMENTAIRE</t>
  </si>
  <si>
    <t>Salaire brut</t>
  </si>
  <si>
    <t>Retenues sal</t>
  </si>
  <si>
    <t>Allocations familiales</t>
  </si>
  <si>
    <t>Allocations logement FNAL</t>
  </si>
  <si>
    <t>AGS</t>
  </si>
  <si>
    <t>AGFF TA</t>
  </si>
  <si>
    <t>Bases</t>
  </si>
  <si>
    <t>Cot patron.</t>
  </si>
  <si>
    <t xml:space="preserve">Versement transport </t>
  </si>
  <si>
    <t>Financement des organisat syndicales</t>
  </si>
  <si>
    <t>PÔLE EMPLOI</t>
  </si>
  <si>
    <t>NON CADRES</t>
  </si>
  <si>
    <t>Total de cotisations</t>
  </si>
  <si>
    <t>Bulletin d’un salarié non cadre</t>
  </si>
  <si>
    <t>Salarial</t>
  </si>
  <si>
    <t>Patronal</t>
  </si>
  <si>
    <t>Déclaration URSSAF</t>
  </si>
  <si>
    <t>Mutuelle</t>
  </si>
  <si>
    <t>CSG déductible sur mutuelle sur mutuelle</t>
  </si>
  <si>
    <t>CSG non-déductible sur mutuelle sur mutuelle</t>
  </si>
  <si>
    <t>CRDS sur mutuelle</t>
  </si>
  <si>
    <t>Bulletin d’un salarié  cadre</t>
  </si>
  <si>
    <t>RETRAITE COMPLEMENTAIRE CADRES et DIVERS</t>
  </si>
  <si>
    <t>Net à payer = 5200-1175,70</t>
  </si>
  <si>
    <t>Net imposable = 5200-1175,70+0,69+3,30+25,55+122,62+32</t>
  </si>
  <si>
    <t>BASES</t>
  </si>
  <si>
    <t>Taux</t>
  </si>
  <si>
    <t>Montant</t>
  </si>
  <si>
    <t>Allègement sur cotisations</t>
  </si>
  <si>
    <t>Total à payer</t>
  </si>
  <si>
    <t>Cadres</t>
  </si>
  <si>
    <t>Non-cadres</t>
  </si>
  <si>
    <r>
      <t xml:space="preserve">Allègement FILLON = </t>
    </r>
    <r>
      <rPr>
        <b/>
        <sz val="10"/>
        <color rgb="FFFF0000"/>
        <rFont val="Arial"/>
        <family val="2"/>
      </rPr>
      <t>0,2802/0,6 * ((1,6 * 9,67 *151,6666 / 1900)-1)</t>
    </r>
  </si>
  <si>
    <t>Prévoyance</t>
  </si>
  <si>
    <t>C.S.G. non déductible sur prevoyance et mutuelle</t>
  </si>
  <si>
    <t>C.S.G. déductible sur prevoyance et mutuelle</t>
  </si>
  <si>
    <t>CRDS non déductible sur prevoyance et mutuelle</t>
  </si>
  <si>
    <r>
      <t>Net à payer : 1900</t>
    </r>
    <r>
      <rPr>
        <b/>
        <sz val="10"/>
        <color rgb="FFFF0000"/>
        <rFont val="Arial"/>
        <family val="2"/>
      </rPr>
      <t>-466,99</t>
    </r>
  </si>
  <si>
    <r>
      <t>Net imposable =</t>
    </r>
    <r>
      <rPr>
        <b/>
        <sz val="12"/>
        <color rgb="FFFF0000"/>
        <rFont val="Arial"/>
        <family val="2"/>
      </rPr>
      <t xml:space="preserve"> 1900-466,99+0,42+2,01+44,80+9,33+60</t>
    </r>
  </si>
  <si>
    <r>
      <t xml:space="preserve">Accident du travail : Exemple </t>
    </r>
    <r>
      <rPr>
        <sz val="12"/>
        <color rgb="FFFF0000"/>
        <rFont val="Candara"/>
        <family val="2"/>
      </rPr>
      <t>BRUT</t>
    </r>
  </si>
  <si>
    <r>
      <t xml:space="preserve">Allocations familiales </t>
    </r>
    <r>
      <rPr>
        <sz val="12"/>
        <color rgb="FFFF0000"/>
        <rFont val="Candara"/>
        <family val="2"/>
      </rPr>
      <t>BRUT</t>
    </r>
  </si>
  <si>
    <r>
      <t xml:space="preserve">Allocations familiales  </t>
    </r>
    <r>
      <rPr>
        <sz val="12"/>
        <color rgb="FFFF0000"/>
        <rFont val="Candara"/>
        <family val="2"/>
      </rPr>
      <t>BRUT</t>
    </r>
    <r>
      <rPr>
        <sz val="12"/>
        <color rgb="FF000000"/>
        <rFont val="Candara"/>
        <family val="2"/>
      </rPr>
      <t xml:space="preserve"> complément &gt;1,6 SMIC OU 3,5 SMIC</t>
    </r>
  </si>
  <si>
    <r>
      <t xml:space="preserve">Vieillesse </t>
    </r>
    <r>
      <rPr>
        <sz val="12"/>
        <color rgb="FFFF0000"/>
        <rFont val="Candara"/>
        <family val="2"/>
      </rPr>
      <t>TA</t>
    </r>
    <r>
      <rPr>
        <sz val="12"/>
        <color rgb="FF000000"/>
        <rFont val="Candara"/>
        <family val="2"/>
      </rPr>
      <t xml:space="preserve"> : 6,90%+8,55%</t>
    </r>
  </si>
  <si>
    <r>
      <t xml:space="preserve">FNAL </t>
    </r>
    <r>
      <rPr>
        <sz val="12"/>
        <color rgb="FFFF0000"/>
        <rFont val="Candara"/>
        <family val="2"/>
      </rPr>
      <t xml:space="preserve">TA </t>
    </r>
    <r>
      <rPr>
        <sz val="12"/>
        <color rgb="FF000000"/>
        <rFont val="Candara"/>
        <family val="2"/>
      </rPr>
      <t>0,10%</t>
    </r>
  </si>
  <si>
    <r>
      <t xml:space="preserve">Taxes transports </t>
    </r>
    <r>
      <rPr>
        <sz val="12"/>
        <color rgb="FFFF0000"/>
        <rFont val="Candara"/>
        <family val="2"/>
      </rPr>
      <t>BRUT</t>
    </r>
    <r>
      <rPr>
        <sz val="12"/>
        <color rgb="FF000000"/>
        <rFont val="Candara"/>
        <family val="2"/>
      </rPr>
      <t xml:space="preserve"> : Exemple</t>
    </r>
  </si>
  <si>
    <r>
      <t xml:space="preserve">CSG : 2,40%+0,50%+5,10% </t>
    </r>
    <r>
      <rPr>
        <sz val="12"/>
        <color rgb="FFFF0000"/>
        <rFont val="Candara"/>
        <family val="2"/>
      </rPr>
      <t>98,25% du brut + patronales prévoyances et mutuelles</t>
    </r>
  </si>
  <si>
    <r>
      <t xml:space="preserve">Financement des organisations syndicales </t>
    </r>
    <r>
      <rPr>
        <sz val="12"/>
        <color rgb="FFFF0000"/>
        <rFont val="Candara"/>
        <family val="2"/>
      </rPr>
      <t>BRUT</t>
    </r>
  </si>
  <si>
    <r>
      <t xml:space="preserve">Chomage : 2,40% + 4,00% </t>
    </r>
    <r>
      <rPr>
        <sz val="12"/>
        <color rgb="FFFF0000"/>
        <rFont val="Candara"/>
        <family val="2"/>
      </rPr>
      <t>TA+TB</t>
    </r>
  </si>
  <si>
    <r>
      <t xml:space="preserve">Assurance garantie des salaires </t>
    </r>
    <r>
      <rPr>
        <sz val="12"/>
        <color rgb="FFFF0000"/>
        <rFont val="Candara"/>
        <family val="2"/>
      </rPr>
      <t>TA+TB</t>
    </r>
  </si>
  <si>
    <r>
      <t xml:space="preserve">Sur </t>
    </r>
    <r>
      <rPr>
        <sz val="12"/>
        <color rgb="FFFF0000"/>
        <rFont val="Candara"/>
        <family val="2"/>
      </rPr>
      <t>TB</t>
    </r>
    <r>
      <rPr>
        <sz val="12"/>
        <color theme="1"/>
        <rFont val="Candara"/>
        <family val="2"/>
      </rPr>
      <t xml:space="preserve">  : 7,80%+12,75%+0,90%+1,30%</t>
    </r>
  </si>
  <si>
    <r>
      <t xml:space="preserve">Sur </t>
    </r>
    <r>
      <rPr>
        <sz val="12"/>
        <color rgb="FFFF0000"/>
        <rFont val="Candara"/>
        <family val="2"/>
      </rPr>
      <t>Brut</t>
    </r>
    <r>
      <rPr>
        <sz val="12"/>
        <color theme="1"/>
        <rFont val="Candara"/>
        <family val="2"/>
      </rPr>
      <t xml:space="preserve"> CET : 0,13%+0,22%</t>
    </r>
  </si>
  <si>
    <r>
      <t xml:space="preserve">Sur </t>
    </r>
    <r>
      <rPr>
        <sz val="12"/>
        <color rgb="FFFF0000"/>
        <rFont val="Candara"/>
        <family val="2"/>
      </rPr>
      <t>TA</t>
    </r>
    <r>
      <rPr>
        <sz val="12"/>
        <color theme="1"/>
        <rFont val="Candara"/>
        <family val="2"/>
      </rPr>
      <t xml:space="preserve"> : 3,10%+4,65%+0,80%+1,20%</t>
    </r>
  </si>
  <si>
    <r>
      <t xml:space="preserve">APEC </t>
    </r>
    <r>
      <rPr>
        <sz val="12"/>
        <color rgb="FFFF0000"/>
        <rFont val="Candara"/>
        <family val="2"/>
      </rPr>
      <t>TA</t>
    </r>
    <r>
      <rPr>
        <sz val="12"/>
        <color theme="1"/>
        <rFont val="Candara"/>
        <family val="2"/>
      </rPr>
      <t xml:space="preserve"> 0,024%+0,036%</t>
    </r>
  </si>
  <si>
    <r>
      <t xml:space="preserve">APEC </t>
    </r>
    <r>
      <rPr>
        <sz val="12"/>
        <color rgb="FFFF0000"/>
        <rFont val="Candara"/>
        <family val="2"/>
      </rPr>
      <t>TB</t>
    </r>
  </si>
  <si>
    <t>Prévoyance sur TA</t>
  </si>
  <si>
    <t>Prévoyance sur brut</t>
  </si>
  <si>
    <t>Déclaration RETRAITE COMPLEMENTAIRE</t>
  </si>
  <si>
    <t>Déclaration PREVOYANCE ET MUTUELLE</t>
  </si>
  <si>
    <t>Comptes comptables</t>
  </si>
  <si>
    <t>DEBIT</t>
  </si>
  <si>
    <t>CREDIT</t>
  </si>
  <si>
    <t>Comptes</t>
  </si>
  <si>
    <t>Rémunérations du personnel</t>
  </si>
  <si>
    <t>URSSAF</t>
  </si>
  <si>
    <t>Autres organismes sociaux</t>
  </si>
  <si>
    <t>Avances et acomptes</t>
  </si>
  <si>
    <t>Déplacements, missions et réceptions</t>
  </si>
  <si>
    <t>Personnel oppositions</t>
  </si>
  <si>
    <t>Rémunération due</t>
  </si>
  <si>
    <t>Journal des opérations diverses</t>
  </si>
  <si>
    <t>Enregistrement des bulletins, parts salariales</t>
  </si>
  <si>
    <t>Cotisations sécurité sociale</t>
  </si>
  <si>
    <t>Cotisations chomage</t>
  </si>
  <si>
    <t>Cotisaions mutuelles</t>
  </si>
  <si>
    <t>Enregistrement des bulletins, parts patronales</t>
  </si>
  <si>
    <t>Cotisations retraite</t>
  </si>
  <si>
    <t>Total credit compte 431</t>
  </si>
  <si>
    <t>Total credit compte 437</t>
  </si>
  <si>
    <t>Déclaration retraite</t>
  </si>
  <si>
    <t>Déclaration mutuelle et prevoyance</t>
  </si>
  <si>
    <t>Total déclarations</t>
  </si>
  <si>
    <t>CONTRÔLE</t>
  </si>
  <si>
    <t>Contribution au dialogue social</t>
  </si>
  <si>
    <t>Pénibilité cotisation universelle</t>
  </si>
  <si>
    <r>
      <t xml:space="preserve">Maladie </t>
    </r>
    <r>
      <rPr>
        <sz val="9"/>
        <color rgb="FFFF0000"/>
        <rFont val="Arial"/>
        <family val="2"/>
      </rPr>
      <t>BRUT</t>
    </r>
  </si>
  <si>
    <r>
      <t xml:space="preserve">Vieillesse </t>
    </r>
    <r>
      <rPr>
        <sz val="9"/>
        <color rgb="FFFF0000"/>
        <rFont val="Arial"/>
        <family val="2"/>
      </rPr>
      <t>TA</t>
    </r>
  </si>
  <si>
    <r>
      <t xml:space="preserve">Vieillesse </t>
    </r>
    <r>
      <rPr>
        <sz val="9"/>
        <color rgb="FFFF0000"/>
        <rFont val="Arial"/>
        <family val="2"/>
      </rPr>
      <t>BRUT</t>
    </r>
  </si>
  <si>
    <r>
      <t xml:space="preserve">Versement transport </t>
    </r>
    <r>
      <rPr>
        <sz val="9"/>
        <color rgb="FFFF0000"/>
        <rFont val="Arial"/>
        <family val="2"/>
      </rPr>
      <t>BRUT</t>
    </r>
  </si>
  <si>
    <r>
      <t xml:space="preserve">Allocations familiales </t>
    </r>
    <r>
      <rPr>
        <sz val="9"/>
        <color rgb="FFFF0000"/>
        <rFont val="Arial"/>
        <family val="2"/>
      </rPr>
      <t>BRUT</t>
    </r>
  </si>
  <si>
    <r>
      <t xml:space="preserve">Allocations logement FNAL </t>
    </r>
    <r>
      <rPr>
        <sz val="9"/>
        <color rgb="FFFF0000"/>
        <rFont val="Arial"/>
        <family val="2"/>
      </rPr>
      <t>TA</t>
    </r>
  </si>
  <si>
    <r>
      <t xml:space="preserve">Contribution de solidarité autonomie </t>
    </r>
    <r>
      <rPr>
        <sz val="9"/>
        <color rgb="FFFF0000"/>
        <rFont val="Arial"/>
        <family val="2"/>
      </rPr>
      <t>BRUT</t>
    </r>
  </si>
  <si>
    <r>
      <t xml:space="preserve">Accident du travail </t>
    </r>
    <r>
      <rPr>
        <sz val="9"/>
        <color rgb="FFFF0000"/>
        <rFont val="Arial"/>
        <family val="2"/>
      </rPr>
      <t>BRUT</t>
    </r>
  </si>
  <si>
    <r>
      <t xml:space="preserve">Chômage 1 </t>
    </r>
    <r>
      <rPr>
        <sz val="9"/>
        <color rgb="FFFF0000"/>
        <rFont val="Arial"/>
        <family val="2"/>
      </rPr>
      <t>TAB</t>
    </r>
  </si>
  <si>
    <r>
      <t xml:space="preserve">AGS </t>
    </r>
    <r>
      <rPr>
        <sz val="9"/>
        <color rgb="FFFF0000"/>
        <rFont val="Arial"/>
        <family val="2"/>
      </rPr>
      <t>TAB</t>
    </r>
  </si>
  <si>
    <r>
      <t xml:space="preserve">Retraite </t>
    </r>
    <r>
      <rPr>
        <sz val="9"/>
        <color rgb="FFFF0000"/>
        <rFont val="Arial"/>
        <family val="2"/>
      </rPr>
      <t>TA</t>
    </r>
  </si>
  <si>
    <r>
      <t xml:space="preserve">AGFF </t>
    </r>
    <r>
      <rPr>
        <sz val="9"/>
        <color rgb="FFFF0000"/>
        <rFont val="Arial"/>
        <family val="2"/>
      </rPr>
      <t>TA</t>
    </r>
  </si>
  <si>
    <r>
      <t xml:space="preserve">AGFF </t>
    </r>
    <r>
      <rPr>
        <sz val="9"/>
        <color rgb="FFFF0000"/>
        <rFont val="Arial"/>
        <family val="2"/>
      </rPr>
      <t>TB</t>
    </r>
  </si>
  <si>
    <r>
      <t xml:space="preserve">Retraite complémentaire </t>
    </r>
    <r>
      <rPr>
        <sz val="9"/>
        <color rgb="FFFF0000"/>
        <rFont val="Arial"/>
        <family val="2"/>
      </rPr>
      <t>TB</t>
    </r>
  </si>
  <si>
    <r>
      <t xml:space="preserve">Contribution exceptionnelle temporaire </t>
    </r>
    <r>
      <rPr>
        <sz val="9"/>
        <color rgb="FFFF0000"/>
        <rFont val="Arial"/>
        <family val="2"/>
      </rPr>
      <t>TABC</t>
    </r>
  </si>
  <si>
    <r>
      <t xml:space="preserve">APEC sur </t>
    </r>
    <r>
      <rPr>
        <sz val="9"/>
        <color rgb="FFFF0000"/>
        <rFont val="Arial"/>
        <family val="2"/>
      </rPr>
      <t>TAB</t>
    </r>
  </si>
  <si>
    <r>
      <t xml:space="preserve">Prévoyance décés invalidité </t>
    </r>
    <r>
      <rPr>
        <sz val="9"/>
        <color rgb="FFFF0000"/>
        <rFont val="Arial"/>
        <family val="2"/>
      </rPr>
      <t>TA</t>
    </r>
  </si>
  <si>
    <r>
      <t xml:space="preserve">Autres prévoyance sur </t>
    </r>
    <r>
      <rPr>
        <sz val="9"/>
        <color rgb="FFFF0000"/>
        <rFont val="Arial"/>
        <family val="2"/>
      </rPr>
      <t>brut</t>
    </r>
  </si>
  <si>
    <t>Retraite</t>
  </si>
  <si>
    <t>Taxes diverses sur salaires</t>
  </si>
  <si>
    <t>Taxe d'apprentissage</t>
  </si>
  <si>
    <t>Formation continue</t>
  </si>
  <si>
    <t>RETRAITE COMPLEMENTAIRE ET PREVOYANCES</t>
  </si>
  <si>
    <t>DIVERS</t>
  </si>
  <si>
    <t>Formation professionnelle</t>
  </si>
  <si>
    <r>
      <t xml:space="preserve">Net à payer : </t>
    </r>
    <r>
      <rPr>
        <b/>
        <sz val="10"/>
        <color rgb="FFFF0000"/>
        <rFont val="Arial"/>
        <family val="2"/>
      </rPr>
      <t>2250-536,16</t>
    </r>
  </si>
  <si>
    <r>
      <t xml:space="preserve">Sur </t>
    </r>
    <r>
      <rPr>
        <sz val="12"/>
        <color rgb="FFFF0000"/>
        <rFont val="Candara"/>
        <family val="2"/>
      </rPr>
      <t>BRUT</t>
    </r>
    <r>
      <rPr>
        <sz val="12"/>
        <color rgb="FF000000"/>
        <rFont val="Candara"/>
        <family val="2"/>
      </rPr>
      <t xml:space="preserve"> : 0,75%+12,89%+0,40%+1,90%+0,30%</t>
    </r>
  </si>
  <si>
    <t>Cotisation générale pénibilité</t>
  </si>
  <si>
    <t>Chomage</t>
  </si>
  <si>
    <t>Sécurité sociale</t>
  </si>
  <si>
    <t>Totaux</t>
  </si>
  <si>
    <t>salariales</t>
  </si>
  <si>
    <t>Patronales</t>
  </si>
  <si>
    <t>Totaux URSSAF</t>
  </si>
  <si>
    <t>Mutuelle prevoyance</t>
  </si>
  <si>
    <t>Totaux Autres</t>
  </si>
  <si>
    <t>Taxe apprentissage</t>
  </si>
  <si>
    <t>Formation</t>
  </si>
  <si>
    <t>Totaux taxes</t>
  </si>
  <si>
    <t>TOTAUX GENERAUX</t>
  </si>
  <si>
    <t>Total salarial sur bulletin</t>
  </si>
  <si>
    <t>NC</t>
  </si>
  <si>
    <t>C</t>
  </si>
  <si>
    <t>TOTAUX</t>
  </si>
  <si>
    <r>
      <t xml:space="preserve">Allègement FILLON = </t>
    </r>
    <r>
      <rPr>
        <b/>
        <sz val="10"/>
        <color rgb="FFFF0000"/>
        <rFont val="Arial"/>
        <family val="2"/>
      </rPr>
      <t>0,2809/0,6 * ((1,6 * 9,76 *151,6666 / 1900-1)</t>
    </r>
  </si>
  <si>
    <t>Vérification générale</t>
  </si>
  <si>
    <t>Totalisation des cotisations sur les bulletins</t>
  </si>
  <si>
    <t>patronales
sans les taxes</t>
  </si>
  <si>
    <t>totales</t>
  </si>
  <si>
    <t>Cadre</t>
  </si>
  <si>
    <t>Non-cadre</t>
  </si>
  <si>
    <t>Totalisation des déclarations</t>
  </si>
  <si>
    <t>Retraite complémentaire et assimilée</t>
  </si>
  <si>
    <t>Prévoyance et mutuelle</t>
  </si>
  <si>
    <t>Vérification par déclaration</t>
  </si>
  <si>
    <t>Non cadre</t>
  </si>
  <si>
    <t>Totales</t>
  </si>
  <si>
    <t>Déclarations</t>
  </si>
  <si>
    <t>URSSAF / BULLETIN</t>
  </si>
  <si>
    <t>RETRAITE COMPL / BULLETIN</t>
  </si>
  <si>
    <t>PREVOYANCE ET MUTUELLE / BULLETIN</t>
  </si>
  <si>
    <t>ecart</t>
  </si>
  <si>
    <r>
      <t xml:space="preserve">Allocations familiales complément si&gt;3,5 SMIC </t>
    </r>
    <r>
      <rPr>
        <sz val="9"/>
        <color rgb="FFFF0000"/>
        <rFont val="Arial"/>
        <family val="2"/>
      </rPr>
      <t>BRUT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</si>
</sst>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  <numFmt numFmtId="165" formatCode="0.0000"/>
    <numFmt numFmtId="166" formatCode="_-* #,##0\ &quot;€&quot;_-;\-* #,##0\ &quot;€&quot;_-;_-* &quot;-&quot;??\ &quot;€&quot;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FF0000"/>
      <name val="Verdana"/>
      <family val="2"/>
    </font>
    <font>
      <sz val="9"/>
      <color theme="1"/>
      <name val="Verdana"/>
      <family val="2"/>
    </font>
    <font>
      <sz val="12"/>
      <color theme="1"/>
      <name val="Calibri"/>
      <family val="2"/>
      <scheme val="minor"/>
    </font>
    <font>
      <b/>
      <sz val="9"/>
      <color theme="1"/>
      <name val="Verdana"/>
      <family val="2"/>
    </font>
    <font>
      <sz val="14"/>
      <color rgb="FF000000"/>
      <name val="Candara"/>
      <family val="2"/>
    </font>
    <font>
      <b/>
      <sz val="14"/>
      <color rgb="FF000000"/>
      <name val="Candara"/>
      <family val="2"/>
    </font>
    <font>
      <sz val="12"/>
      <color rgb="FF000000"/>
      <name val="Candara"/>
      <family val="2"/>
    </font>
    <font>
      <b/>
      <sz val="12"/>
      <color theme="1"/>
      <name val="Candara"/>
      <family val="2"/>
    </font>
    <font>
      <sz val="12"/>
      <color theme="1"/>
      <name val="Candara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9"/>
      <color theme="1"/>
      <name val="Arial"/>
      <family val="2"/>
    </font>
    <font>
      <sz val="12"/>
      <color rgb="FFFF0000"/>
      <name val="Candara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b/>
      <sz val="14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1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22" xfId="0" applyFont="1" applyBorder="1" applyAlignment="1">
      <alignment horizontal="left" vertical="center" wrapText="1" indent="2" readingOrder="1"/>
    </xf>
    <xf numFmtId="0" fontId="8" fillId="0" borderId="23" xfId="0" applyFont="1" applyBorder="1" applyAlignment="1">
      <alignment horizontal="center" vertical="center" wrapText="1" readingOrder="1"/>
    </xf>
    <xf numFmtId="0" fontId="8" fillId="0" borderId="24" xfId="0" applyFont="1" applyBorder="1" applyAlignment="1">
      <alignment horizontal="center" vertical="center" wrapText="1" readingOrder="1"/>
    </xf>
    <xf numFmtId="0" fontId="9" fillId="0" borderId="26" xfId="0" applyFont="1" applyBorder="1" applyAlignment="1">
      <alignment horizontal="left" vertical="center" wrapText="1" indent="2" readingOrder="1"/>
    </xf>
    <xf numFmtId="10" fontId="9" fillId="0" borderId="26" xfId="0" applyNumberFormat="1" applyFont="1" applyBorder="1" applyAlignment="1">
      <alignment horizontal="right" vertical="center" wrapText="1" indent="2" readingOrder="1"/>
    </xf>
    <xf numFmtId="0" fontId="9" fillId="0" borderId="25" xfId="0" applyFont="1" applyBorder="1" applyAlignment="1">
      <alignment horizontal="justify" vertical="center" wrapText="1" readingOrder="1"/>
    </xf>
    <xf numFmtId="0" fontId="9" fillId="0" borderId="28" xfId="0" applyFont="1" applyBorder="1" applyAlignment="1">
      <alignment horizontal="left" vertical="center" wrapText="1" indent="2" readingOrder="1"/>
    </xf>
    <xf numFmtId="0" fontId="9" fillId="0" borderId="29" xfId="0" applyFont="1" applyBorder="1" applyAlignment="1">
      <alignment horizontal="left" vertical="center" wrapText="1" indent="2" readingOrder="1"/>
    </xf>
    <xf numFmtId="0" fontId="9" fillId="0" borderId="25" xfId="0" applyFont="1" applyBorder="1" applyAlignment="1">
      <alignment vertical="center" wrapText="1" readingOrder="1"/>
    </xf>
    <xf numFmtId="0" fontId="10" fillId="0" borderId="1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justify" vertical="center" wrapText="1"/>
    </xf>
    <xf numFmtId="0" fontId="11" fillId="0" borderId="20" xfId="0" applyFont="1" applyBorder="1" applyAlignment="1">
      <alignment vertical="center"/>
    </xf>
    <xf numFmtId="10" fontId="11" fillId="0" borderId="20" xfId="0" applyNumberFormat="1" applyFont="1" applyBorder="1" applyAlignment="1">
      <alignment horizontal="right" vertical="center" wrapText="1"/>
    </xf>
    <xf numFmtId="0" fontId="11" fillId="0" borderId="16" xfId="0" applyFont="1" applyBorder="1" applyAlignment="1">
      <alignment vertical="center"/>
    </xf>
    <xf numFmtId="0" fontId="10" fillId="0" borderId="15" xfId="0" applyFont="1" applyBorder="1" applyAlignment="1">
      <alignment horizontal="justify" vertical="center" wrapText="1"/>
    </xf>
    <xf numFmtId="10" fontId="11" fillId="0" borderId="20" xfId="6" applyNumberFormat="1" applyFont="1" applyBorder="1" applyAlignment="1">
      <alignment horizontal="right" vertical="center" wrapText="1"/>
    </xf>
    <xf numFmtId="0" fontId="11" fillId="0" borderId="15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6" fontId="9" fillId="0" borderId="27" xfId="0" applyNumberFormat="1" applyFont="1" applyBorder="1" applyAlignment="1">
      <alignment horizontal="right" vertical="center" wrapText="1" indent="2" readingOrder="1"/>
    </xf>
    <xf numFmtId="164" fontId="9" fillId="0" borderId="26" xfId="0" applyNumberFormat="1" applyFont="1" applyBorder="1" applyAlignment="1">
      <alignment horizontal="right" vertical="center" wrapText="1" indent="2" readingOrder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4" xfId="0" applyFont="1" applyFill="1" applyBorder="1" applyAlignment="1">
      <alignment horizontal="left" vertical="center"/>
    </xf>
    <xf numFmtId="8" fontId="17" fillId="0" borderId="5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6" fillId="0" borderId="25" xfId="0" applyFont="1" applyFill="1" applyBorder="1" applyAlignment="1">
      <alignment horizontal="left" vertical="center"/>
    </xf>
    <xf numFmtId="8" fontId="16" fillId="0" borderId="26" xfId="0" applyNumberFormat="1" applyFont="1" applyFill="1" applyBorder="1" applyAlignment="1">
      <alignment horizontal="right" vertical="center"/>
    </xf>
    <xf numFmtId="10" fontId="16" fillId="0" borderId="26" xfId="0" applyNumberFormat="1" applyFont="1" applyFill="1" applyBorder="1" applyAlignment="1">
      <alignment horizontal="center" vertical="center"/>
    </xf>
    <xf numFmtId="10" fontId="16" fillId="2" borderId="26" xfId="0" applyNumberFormat="1" applyFont="1" applyFill="1" applyBorder="1" applyAlignment="1">
      <alignment horizontal="center" vertical="center"/>
    </xf>
    <xf numFmtId="8" fontId="18" fillId="2" borderId="27" xfId="0" applyNumberFormat="1" applyFont="1" applyFill="1" applyBorder="1" applyAlignment="1">
      <alignment horizontal="right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right" vertical="center"/>
    </xf>
    <xf numFmtId="10" fontId="16" fillId="2" borderId="26" xfId="0" applyNumberFormat="1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10" fontId="17" fillId="0" borderId="26" xfId="0" applyNumberFormat="1" applyFont="1" applyFill="1" applyBorder="1" applyAlignment="1">
      <alignment horizontal="center" vertical="center"/>
    </xf>
    <xf numFmtId="164" fontId="16" fillId="2" borderId="26" xfId="4" applyNumberFormat="1" applyFont="1" applyFill="1" applyBorder="1" applyAlignment="1">
      <alignment horizontal="center" vertical="center"/>
    </xf>
    <xf numFmtId="165" fontId="14" fillId="0" borderId="0" xfId="0" applyNumberFormat="1" applyFont="1" applyAlignment="1">
      <alignment vertical="center"/>
    </xf>
    <xf numFmtId="8" fontId="21" fillId="2" borderId="27" xfId="0" applyNumberFormat="1" applyFont="1" applyFill="1" applyBorder="1" applyAlignment="1">
      <alignment horizontal="right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8" fontId="20" fillId="0" borderId="0" xfId="0" applyNumberFormat="1" applyFont="1" applyAlignment="1">
      <alignment vertical="center"/>
    </xf>
    <xf numFmtId="0" fontId="18" fillId="0" borderId="25" xfId="0" applyFont="1" applyFill="1" applyBorder="1" applyAlignment="1">
      <alignment horizontal="left" vertical="center"/>
    </xf>
    <xf numFmtId="8" fontId="18" fillId="0" borderId="26" xfId="0" applyNumberFormat="1" applyFont="1" applyFill="1" applyBorder="1" applyAlignment="1">
      <alignment horizontal="right" vertical="center"/>
    </xf>
    <xf numFmtId="10" fontId="18" fillId="0" borderId="26" xfId="0" applyNumberFormat="1" applyFont="1" applyFill="1" applyBorder="1" applyAlignment="1">
      <alignment horizontal="center" vertical="center"/>
    </xf>
    <xf numFmtId="10" fontId="18" fillId="2" borderId="26" xfId="0" applyNumberFormat="1" applyFont="1" applyFill="1" applyBorder="1" applyAlignment="1">
      <alignment horizontal="center" vertical="center"/>
    </xf>
    <xf numFmtId="8" fontId="18" fillId="0" borderId="27" xfId="0" applyNumberFormat="1" applyFont="1" applyFill="1" applyBorder="1" applyAlignment="1">
      <alignment horizontal="right" vertical="center"/>
    </xf>
    <xf numFmtId="44" fontId="16" fillId="2" borderId="27" xfId="1" applyFont="1" applyFill="1" applyBorder="1" applyAlignment="1">
      <alignment horizontal="right" vertical="center"/>
    </xf>
    <xf numFmtId="10" fontId="16" fillId="2" borderId="26" xfId="0" applyNumberFormat="1" applyFont="1" applyFill="1" applyBorder="1" applyAlignment="1">
      <alignment horizontal="right" vertical="center"/>
    </xf>
    <xf numFmtId="0" fontId="17" fillId="0" borderId="25" xfId="0" applyFont="1" applyFill="1" applyBorder="1" applyAlignment="1">
      <alignment horizontal="left" vertical="center"/>
    </xf>
    <xf numFmtId="0" fontId="17" fillId="0" borderId="26" xfId="0" applyFont="1" applyFill="1" applyBorder="1" applyAlignment="1">
      <alignment horizontal="right" vertical="center"/>
    </xf>
    <xf numFmtId="8" fontId="17" fillId="0" borderId="26" xfId="0" applyNumberFormat="1" applyFont="1" applyFill="1" applyBorder="1" applyAlignment="1">
      <alignment horizontal="right" vertical="center"/>
    </xf>
    <xf numFmtId="0" fontId="16" fillId="2" borderId="26" xfId="0" applyFont="1" applyFill="1" applyBorder="1" applyAlignment="1">
      <alignment horizontal="right" vertical="center"/>
    </xf>
    <xf numFmtId="8" fontId="17" fillId="0" borderId="27" xfId="0" applyNumberFormat="1" applyFont="1" applyFill="1" applyBorder="1" applyAlignment="1">
      <alignment horizontal="right" vertical="center"/>
    </xf>
    <xf numFmtId="0" fontId="17" fillId="0" borderId="28" xfId="0" applyFont="1" applyFill="1" applyBorder="1" applyAlignment="1">
      <alignment horizontal="left" vertical="center"/>
    </xf>
    <xf numFmtId="0" fontId="17" fillId="0" borderId="29" xfId="0" applyFont="1" applyFill="1" applyBorder="1" applyAlignment="1">
      <alignment horizontal="right" vertical="center"/>
    </xf>
    <xf numFmtId="0" fontId="17" fillId="0" borderId="29" xfId="0" applyFont="1" applyFill="1" applyBorder="1" applyAlignment="1">
      <alignment horizontal="center" vertical="center"/>
    </xf>
    <xf numFmtId="8" fontId="17" fillId="0" borderId="29" xfId="0" applyNumberFormat="1" applyFont="1" applyFill="1" applyBorder="1" applyAlignment="1">
      <alignment horizontal="right" vertical="center"/>
    </xf>
    <xf numFmtId="0" fontId="17" fillId="2" borderId="29" xfId="0" applyFont="1" applyFill="1" applyBorder="1" applyAlignment="1">
      <alignment horizontal="right" vertical="center"/>
    </xf>
    <xf numFmtId="0" fontId="17" fillId="2" borderId="30" xfId="0" applyFont="1" applyFill="1" applyBorder="1" applyAlignment="1">
      <alignment horizontal="right" vertical="center"/>
    </xf>
    <xf numFmtId="44" fontId="25" fillId="0" borderId="2" xfId="1" applyFont="1" applyBorder="1" applyAlignment="1">
      <alignment vertical="center"/>
    </xf>
    <xf numFmtId="0" fontId="25" fillId="0" borderId="0" xfId="0" applyFont="1" applyAlignment="1">
      <alignment horizontal="justify" vertical="center"/>
    </xf>
    <xf numFmtId="8" fontId="25" fillId="0" borderId="0" xfId="0" applyNumberFormat="1" applyFont="1" applyAlignment="1">
      <alignment horizontal="justify" vertical="center"/>
    </xf>
    <xf numFmtId="0" fontId="10" fillId="0" borderId="17" xfId="0" applyFont="1" applyBorder="1" applyAlignment="1">
      <alignment horizontal="justify" vertical="center" wrapText="1"/>
    </xf>
    <xf numFmtId="10" fontId="11" fillId="0" borderId="21" xfId="0" applyNumberFormat="1" applyFont="1" applyBorder="1" applyAlignment="1">
      <alignment horizontal="right" vertical="center" wrapText="1"/>
    </xf>
    <xf numFmtId="0" fontId="27" fillId="0" borderId="0" xfId="0" applyFont="1" applyAlignment="1">
      <alignment vertical="center"/>
    </xf>
    <xf numFmtId="6" fontId="9" fillId="0" borderId="30" xfId="0" applyNumberFormat="1" applyFont="1" applyBorder="1" applyAlignment="1">
      <alignment horizontal="left" vertical="center" wrapText="1" indent="2" readingOrder="1"/>
    </xf>
    <xf numFmtId="8" fontId="11" fillId="0" borderId="20" xfId="0" applyNumberFormat="1" applyFont="1" applyBorder="1" applyAlignment="1">
      <alignment vertical="center"/>
    </xf>
    <xf numFmtId="8" fontId="11" fillId="0" borderId="16" xfId="0" applyNumberFormat="1" applyFont="1" applyBorder="1" applyAlignment="1">
      <alignment vertical="center"/>
    </xf>
    <xf numFmtId="8" fontId="10" fillId="0" borderId="18" xfId="0" applyNumberFormat="1" applyFont="1" applyBorder="1" applyAlignment="1">
      <alignment vertical="center"/>
    </xf>
    <xf numFmtId="44" fontId="10" fillId="0" borderId="18" xfId="0" applyNumberFormat="1" applyFont="1" applyBorder="1" applyAlignment="1">
      <alignment vertical="center"/>
    </xf>
    <xf numFmtId="10" fontId="0" fillId="0" borderId="0" xfId="6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8" fontId="6" fillId="0" borderId="0" xfId="0" applyNumberFormat="1" applyFont="1" applyAlignment="1">
      <alignment vertical="center"/>
    </xf>
    <xf numFmtId="8" fontId="9" fillId="0" borderId="26" xfId="0" applyNumberFormat="1" applyFont="1" applyBorder="1" applyAlignment="1">
      <alignment horizontal="right" vertical="center" wrapText="1" indent="2" readingOrder="1"/>
    </xf>
    <xf numFmtId="0" fontId="9" fillId="0" borderId="26" xfId="0" applyFont="1" applyBorder="1" applyAlignment="1">
      <alignment horizontal="right" vertical="center" wrapText="1" indent="2" readingOrder="1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 wrapText="1" readingOrder="1"/>
    </xf>
    <xf numFmtId="0" fontId="31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horizontal="left" vertical="center" wrapText="1" readingOrder="1"/>
    </xf>
    <xf numFmtId="8" fontId="31" fillId="0" borderId="3" xfId="0" applyNumberFormat="1" applyFont="1" applyBorder="1" applyAlignment="1">
      <alignment horizontal="right" vertical="center" wrapText="1"/>
    </xf>
    <xf numFmtId="0" fontId="31" fillId="0" borderId="3" xfId="0" applyFont="1" applyBorder="1" applyAlignment="1">
      <alignment horizontal="right" vertical="center" wrapText="1"/>
    </xf>
    <xf numFmtId="8" fontId="29" fillId="0" borderId="0" xfId="0" applyNumberFormat="1" applyFont="1" applyAlignment="1">
      <alignment vertical="center"/>
    </xf>
    <xf numFmtId="0" fontId="7" fillId="0" borderId="3" xfId="0" applyFont="1" applyBorder="1" applyAlignment="1">
      <alignment horizontal="right" vertical="center" wrapText="1" readingOrder="1"/>
    </xf>
    <xf numFmtId="0" fontId="32" fillId="0" borderId="0" xfId="0" applyFont="1" applyAlignment="1">
      <alignment vertical="center"/>
    </xf>
    <xf numFmtId="44" fontId="29" fillId="0" borderId="0" xfId="0" applyNumberFormat="1" applyFont="1" applyAlignment="1">
      <alignment vertical="center"/>
    </xf>
    <xf numFmtId="0" fontId="30" fillId="0" borderId="13" xfId="0" applyFont="1" applyBorder="1" applyAlignment="1">
      <alignment vertical="center"/>
    </xf>
    <xf numFmtId="8" fontId="30" fillId="0" borderId="14" xfId="0" applyNumberFormat="1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8" fontId="30" fillId="0" borderId="16" xfId="0" applyNumberFormat="1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44" fontId="30" fillId="0" borderId="16" xfId="0" applyNumberFormat="1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8" fontId="30" fillId="0" borderId="18" xfId="0" applyNumberFormat="1" applyFont="1" applyBorder="1" applyAlignment="1">
      <alignment vertical="center"/>
    </xf>
    <xf numFmtId="44" fontId="31" fillId="0" borderId="3" xfId="0" applyNumberFormat="1" applyFont="1" applyBorder="1" applyAlignment="1">
      <alignment horizontal="right" vertical="center" wrapText="1"/>
    </xf>
    <xf numFmtId="0" fontId="17" fillId="0" borderId="26" xfId="0" applyFont="1" applyFill="1" applyBorder="1" applyAlignment="1">
      <alignment horizontal="center" vertical="center"/>
    </xf>
    <xf numFmtId="164" fontId="16" fillId="2" borderId="26" xfId="0" applyNumberFormat="1" applyFont="1" applyFill="1" applyBorder="1" applyAlignment="1">
      <alignment horizontal="center" vertical="center"/>
    </xf>
    <xf numFmtId="44" fontId="35" fillId="0" borderId="6" xfId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36" fillId="0" borderId="0" xfId="0" applyFont="1" applyAlignment="1">
      <alignment horizontal="justify" vertical="center"/>
    </xf>
    <xf numFmtId="0" fontId="36" fillId="0" borderId="0" xfId="0" applyFont="1"/>
    <xf numFmtId="0" fontId="17" fillId="0" borderId="9" xfId="0" applyFont="1" applyFill="1" applyBorder="1" applyAlignment="1">
      <alignment horizontal="left" vertical="center"/>
    </xf>
    <xf numFmtId="8" fontId="17" fillId="0" borderId="9" xfId="0" applyNumberFormat="1" applyFont="1" applyFill="1" applyBorder="1" applyAlignment="1">
      <alignment horizontal="right" vertical="center"/>
    </xf>
    <xf numFmtId="0" fontId="14" fillId="0" borderId="9" xfId="0" applyFont="1" applyFill="1" applyBorder="1"/>
    <xf numFmtId="0" fontId="16" fillId="0" borderId="10" xfId="0" applyFont="1" applyFill="1" applyBorder="1" applyAlignment="1">
      <alignment horizontal="left" vertical="center"/>
    </xf>
    <xf numFmtId="8" fontId="16" fillId="0" borderId="10" xfId="0" applyNumberFormat="1" applyFont="1" applyFill="1" applyBorder="1" applyAlignment="1">
      <alignment horizontal="right" vertical="center"/>
    </xf>
    <xf numFmtId="10" fontId="16" fillId="0" borderId="10" xfId="0" applyNumberFormat="1" applyFont="1" applyFill="1" applyBorder="1" applyAlignment="1">
      <alignment horizontal="center" vertical="center"/>
    </xf>
    <xf numFmtId="10" fontId="16" fillId="2" borderId="10" xfId="0" applyNumberFormat="1" applyFont="1" applyFill="1" applyBorder="1" applyAlignment="1">
      <alignment horizontal="center" vertical="center"/>
    </xf>
    <xf numFmtId="8" fontId="18" fillId="2" borderId="10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right" vertical="center"/>
    </xf>
    <xf numFmtId="10" fontId="16" fillId="2" borderId="10" xfId="0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left" vertical="center"/>
    </xf>
    <xf numFmtId="8" fontId="19" fillId="0" borderId="10" xfId="0" applyNumberFormat="1" applyFont="1" applyFill="1" applyBorder="1" applyAlignment="1">
      <alignment horizontal="right" vertical="center"/>
    </xf>
    <xf numFmtId="10" fontId="19" fillId="0" borderId="10" xfId="0" applyNumberFormat="1" applyFont="1" applyFill="1" applyBorder="1" applyAlignment="1">
      <alignment horizontal="center" vertical="center"/>
    </xf>
    <xf numFmtId="164" fontId="19" fillId="2" borderId="10" xfId="4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8" fontId="25" fillId="0" borderId="0" xfId="0" applyNumberFormat="1" applyFont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0" fontId="19" fillId="2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2" borderId="10" xfId="0" applyFont="1" applyFill="1" applyBorder="1" applyAlignment="1">
      <alignment horizontal="right" vertical="center"/>
    </xf>
    <xf numFmtId="44" fontId="16" fillId="0" borderId="10" xfId="1" applyFont="1" applyFill="1" applyBorder="1" applyAlignment="1">
      <alignment horizontal="right" vertical="center"/>
    </xf>
    <xf numFmtId="10" fontId="16" fillId="2" borderId="10" xfId="0" applyNumberFormat="1" applyFont="1" applyFill="1" applyBorder="1" applyAlignment="1">
      <alignment horizontal="right" vertical="center"/>
    </xf>
    <xf numFmtId="44" fontId="16" fillId="2" borderId="10" xfId="1" applyFont="1" applyFill="1" applyBorder="1" applyAlignment="1">
      <alignment horizontal="right" vertical="center"/>
    </xf>
    <xf numFmtId="164" fontId="16" fillId="0" borderId="10" xfId="0" applyNumberFormat="1" applyFont="1" applyFill="1" applyBorder="1" applyAlignment="1">
      <alignment horizontal="center" vertical="center"/>
    </xf>
    <xf numFmtId="164" fontId="16" fillId="2" borderId="10" xfId="0" applyNumberFormat="1" applyFont="1" applyFill="1" applyBorder="1" applyAlignment="1">
      <alignment horizontal="right" vertical="center"/>
    </xf>
    <xf numFmtId="10" fontId="16" fillId="2" borderId="10" xfId="1" applyNumberFormat="1" applyFont="1" applyFill="1" applyBorder="1" applyAlignment="1">
      <alignment horizontal="right" vertical="center"/>
    </xf>
    <xf numFmtId="44" fontId="25" fillId="0" borderId="0" xfId="0" applyNumberFormat="1" applyFont="1" applyAlignment="1">
      <alignment vertical="center"/>
    </xf>
    <xf numFmtId="44" fontId="16" fillId="0" borderId="10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right" vertical="center"/>
    </xf>
    <xf numFmtId="44" fontId="19" fillId="0" borderId="0" xfId="0" applyNumberFormat="1" applyFont="1" applyAlignment="1">
      <alignment vertical="center"/>
    </xf>
    <xf numFmtId="8" fontId="17" fillId="0" borderId="10" xfId="0" applyNumberFormat="1" applyFont="1" applyFill="1" applyBorder="1" applyAlignment="1">
      <alignment horizontal="right" vertical="center"/>
    </xf>
    <xf numFmtId="0" fontId="16" fillId="2" borderId="12" xfId="0" applyFont="1" applyFill="1" applyBorder="1" applyAlignment="1">
      <alignment horizontal="right" vertical="center"/>
    </xf>
    <xf numFmtId="8" fontId="14" fillId="0" borderId="0" xfId="0" applyNumberFormat="1" applyFont="1" applyAlignment="1">
      <alignment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center" vertical="center"/>
    </xf>
    <xf numFmtId="8" fontId="17" fillId="0" borderId="1" xfId="0" applyNumberFormat="1" applyFont="1" applyFill="1" applyBorder="1" applyAlignment="1">
      <alignment horizontal="right" vertical="center"/>
    </xf>
    <xf numFmtId="0" fontId="17" fillId="2" borderId="11" xfId="0" applyFont="1" applyFill="1" applyBorder="1" applyAlignment="1">
      <alignment horizontal="right" vertical="center"/>
    </xf>
    <xf numFmtId="0" fontId="14" fillId="0" borderId="0" xfId="0" applyFont="1"/>
    <xf numFmtId="0" fontId="21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44" fontId="16" fillId="2" borderId="10" xfId="0" applyNumberFormat="1" applyFont="1" applyFill="1" applyBorder="1" applyAlignment="1">
      <alignment horizontal="right" vertical="center"/>
    </xf>
    <xf numFmtId="164" fontId="14" fillId="0" borderId="0" xfId="0" applyNumberFormat="1" applyFont="1" applyAlignment="1">
      <alignment horizontal="center" vertical="center"/>
    </xf>
    <xf numFmtId="166" fontId="9" fillId="0" borderId="27" xfId="1" applyNumberFormat="1" applyFont="1" applyBorder="1" applyAlignment="1">
      <alignment horizontal="left" vertical="center" wrapText="1" indent="2" readingOrder="1"/>
    </xf>
    <xf numFmtId="8" fontId="0" fillId="0" borderId="0" xfId="0" applyNumberFormat="1" applyAlignment="1">
      <alignment vertical="center"/>
    </xf>
    <xf numFmtId="43" fontId="0" fillId="0" borderId="0" xfId="7" applyFont="1" applyAlignment="1">
      <alignment vertical="center"/>
    </xf>
    <xf numFmtId="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0" applyNumberFormat="1" applyAlignment="1">
      <alignment vertical="center"/>
    </xf>
    <xf numFmtId="43" fontId="28" fillId="0" borderId="0" xfId="0" applyNumberFormat="1" applyFont="1" applyAlignment="1">
      <alignment vertical="center"/>
    </xf>
    <xf numFmtId="44" fontId="0" fillId="0" borderId="0" xfId="0" applyNumberFormat="1" applyAlignment="1">
      <alignment vertical="center"/>
    </xf>
    <xf numFmtId="7" fontId="0" fillId="0" borderId="0" xfId="0" applyNumberFormat="1" applyAlignment="1">
      <alignment vertical="center"/>
    </xf>
    <xf numFmtId="8" fontId="9" fillId="0" borderId="30" xfId="0" applyNumberFormat="1" applyFont="1" applyBorder="1" applyAlignment="1">
      <alignment horizontal="left" vertical="center" wrapText="1" indent="2" readingOrder="1"/>
    </xf>
    <xf numFmtId="0" fontId="7" fillId="0" borderId="0" xfId="0" applyFont="1" applyBorder="1" applyAlignment="1">
      <alignment horizontal="center" vertical="center" wrapText="1" readingOrder="1"/>
    </xf>
    <xf numFmtId="0" fontId="29" fillId="0" borderId="4" xfId="0" applyFont="1" applyBorder="1" applyAlignment="1">
      <alignment vertical="center"/>
    </xf>
    <xf numFmtId="0" fontId="30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 wrapText="1" readingOrder="1"/>
    </xf>
    <xf numFmtId="0" fontId="31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left" vertical="center" wrapText="1" readingOrder="1"/>
    </xf>
    <xf numFmtId="8" fontId="31" fillId="0" borderId="4" xfId="0" applyNumberFormat="1" applyFont="1" applyBorder="1" applyAlignment="1">
      <alignment horizontal="right" vertical="center" wrapText="1"/>
    </xf>
    <xf numFmtId="0" fontId="31" fillId="0" borderId="4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 readingOrder="1"/>
    </xf>
    <xf numFmtId="0" fontId="32" fillId="0" borderId="4" xfId="0" applyFont="1" applyBorder="1" applyAlignment="1">
      <alignment vertical="center"/>
    </xf>
    <xf numFmtId="8" fontId="29" fillId="0" borderId="4" xfId="0" applyNumberFormat="1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23" fillId="0" borderId="7" xfId="0" applyFont="1" applyBorder="1" applyAlignment="1">
      <alignment horizontal="justify" vertical="center"/>
    </xf>
    <xf numFmtId="0" fontId="5" fillId="0" borderId="8" xfId="0" applyFont="1" applyBorder="1" applyAlignment="1">
      <alignment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6" fillId="0" borderId="22" xfId="0" applyFont="1" applyFill="1" applyBorder="1" applyAlignment="1">
      <alignment horizontal="justify" vertical="center"/>
    </xf>
    <xf numFmtId="0" fontId="16" fillId="0" borderId="25" xfId="0" applyFont="1" applyFill="1" applyBorder="1" applyAlignment="1">
      <alignment horizontal="justify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/>
    <xf numFmtId="0" fontId="16" fillId="0" borderId="10" xfId="0" applyFont="1" applyFill="1" applyBorder="1" applyAlignment="1">
      <alignment horizontal="justify" vertical="center"/>
    </xf>
    <xf numFmtId="0" fontId="17" fillId="0" borderId="10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8" fontId="0" fillId="0" borderId="20" xfId="0" applyNumberFormat="1" applyBorder="1" applyAlignment="1">
      <alignment vertical="center"/>
    </xf>
    <xf numFmtId="8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8" fontId="0" fillId="0" borderId="21" xfId="0" applyNumberFormat="1" applyBorder="1" applyAlignment="1">
      <alignment vertical="center"/>
    </xf>
    <xf numFmtId="8" fontId="0" fillId="0" borderId="18" xfId="0" applyNumberFormat="1" applyBorder="1" applyAlignment="1">
      <alignment vertical="center"/>
    </xf>
    <xf numFmtId="44" fontId="11" fillId="0" borderId="16" xfId="0" applyNumberFormat="1" applyFont="1" applyBorder="1" applyAlignment="1">
      <alignment vertical="center"/>
    </xf>
    <xf numFmtId="6" fontId="0" fillId="0" borderId="14" xfId="0" applyNumberFormat="1" applyBorder="1" applyAlignment="1">
      <alignment vertical="center"/>
    </xf>
    <xf numFmtId="44" fontId="0" fillId="0" borderId="16" xfId="0" applyNumberFormat="1" applyBorder="1" applyAlignment="1">
      <alignment vertical="center"/>
    </xf>
    <xf numFmtId="0" fontId="28" fillId="0" borderId="13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6" fontId="0" fillId="0" borderId="20" xfId="0" applyNumberFormat="1" applyBorder="1" applyAlignment="1">
      <alignment vertical="center"/>
    </xf>
    <xf numFmtId="6" fontId="0" fillId="0" borderId="21" xfId="0" applyNumberForma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25" fillId="0" borderId="1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8" fontId="14" fillId="0" borderId="20" xfId="0" applyNumberFormat="1" applyFont="1" applyBorder="1" applyAlignment="1">
      <alignment vertical="center"/>
    </xf>
    <xf numFmtId="8" fontId="14" fillId="0" borderId="16" xfId="0" applyNumberFormat="1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44" fontId="14" fillId="0" borderId="20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8" fontId="6" fillId="0" borderId="15" xfId="0" applyNumberFormat="1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44" fontId="14" fillId="0" borderId="16" xfId="0" applyNumberFormat="1" applyFont="1" applyBorder="1" applyAlignment="1">
      <alignment vertical="center"/>
    </xf>
    <xf numFmtId="0" fontId="28" fillId="0" borderId="20" xfId="0" applyFont="1" applyBorder="1" applyAlignment="1">
      <alignment horizontal="center" vertical="center"/>
    </xf>
    <xf numFmtId="8" fontId="6" fillId="0" borderId="20" xfId="0" applyNumberFormat="1" applyFont="1" applyBorder="1" applyAlignment="1">
      <alignment horizontal="center" vertical="center"/>
    </xf>
    <xf numFmtId="8" fontId="6" fillId="0" borderId="16" xfId="0" applyNumberFormat="1" applyFont="1" applyBorder="1" applyAlignment="1">
      <alignment horizontal="center" vertical="center"/>
    </xf>
    <xf numFmtId="8" fontId="6" fillId="0" borderId="17" xfId="0" applyNumberFormat="1" applyFont="1" applyBorder="1" applyAlignment="1">
      <alignment vertical="center"/>
    </xf>
    <xf numFmtId="8" fontId="6" fillId="0" borderId="21" xfId="0" applyNumberFormat="1" applyFont="1" applyBorder="1" applyAlignment="1">
      <alignment horizontal="center" vertical="center"/>
    </xf>
    <xf numFmtId="8" fontId="6" fillId="0" borderId="18" xfId="0" applyNumberFormat="1" applyFont="1" applyBorder="1" applyAlignment="1">
      <alignment horizontal="center" vertical="center"/>
    </xf>
  </cellXfs>
  <cellStyles count="8">
    <cellStyle name="Euro" xfId="2"/>
    <cellStyle name="Milliers" xfId="7" builtinId="3"/>
    <cellStyle name="Milliers 2" xfId="5"/>
    <cellStyle name="Monétaire" xfId="1" builtinId="4"/>
    <cellStyle name="Monétaire 2" xfId="3"/>
    <cellStyle name="Normal" xfId="0" builtinId="0"/>
    <cellStyle name="Pourcentage" xfId="6" builtinId="5"/>
    <cellStyle name="Pourcentag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1555750</xdr:colOff>
      <xdr:row>13</xdr:row>
      <xdr:rowOff>95250</xdr:rowOff>
    </xdr:from>
    <xdr:to>
      <xdr:col>0</xdr:col>
      <xdr:colOff>2730500</xdr:colOff>
      <xdr:row>15</xdr:row>
      <xdr:rowOff>148166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55750" y="3028950"/>
          <a:ext cx="1174750" cy="4910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>
              <a:solidFill>
                <a:srgbClr val="FF0000"/>
              </a:solidFill>
            </a:rPr>
            <a:t>1900*98,25%= 1866,75</a:t>
          </a:r>
        </a:p>
      </xdr:txBody>
    </xdr:sp>
    <xdr:clientData/>
  </xdr:twoCellAnchor>
  <xdr:twoCellAnchor>
    <xdr:from>
      <xdr:col>0</xdr:col>
      <xdr:colOff>2719917</xdr:colOff>
      <xdr:row>26</xdr:row>
      <xdr:rowOff>52917</xdr:rowOff>
    </xdr:from>
    <xdr:to>
      <xdr:col>1</xdr:col>
      <xdr:colOff>476250</xdr:colOff>
      <xdr:row>28</xdr:row>
      <xdr:rowOff>42333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719917" y="5834592"/>
          <a:ext cx="842433" cy="4275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1">
              <a:solidFill>
                <a:srgbClr val="FF0000"/>
              </a:solidFill>
            </a:rPr>
            <a:t>60+23,75 =83,75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1555750</xdr:colOff>
      <xdr:row>14</xdr:row>
      <xdr:rowOff>95250</xdr:rowOff>
    </xdr:from>
    <xdr:to>
      <xdr:col>0</xdr:col>
      <xdr:colOff>2730500</xdr:colOff>
      <xdr:row>16</xdr:row>
      <xdr:rowOff>148166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3EF792F5-24F9-4225-88A2-D9C7A3FB041C}"/>
            </a:ext>
          </a:extLst>
        </xdr:cNvPr>
        <xdr:cNvSpPr txBox="1"/>
      </xdr:nvSpPr>
      <xdr:spPr>
        <a:xfrm>
          <a:off x="1555750" y="3248025"/>
          <a:ext cx="1174750" cy="4910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>
              <a:solidFill>
                <a:srgbClr val="FF0000"/>
              </a:solidFill>
            </a:rPr>
            <a:t>1850*98,25%= 1817,63</a:t>
          </a:r>
        </a:p>
      </xdr:txBody>
    </xdr:sp>
    <xdr:clientData/>
  </xdr:twoCellAnchor>
  <xdr:twoCellAnchor>
    <xdr:from>
      <xdr:col>0</xdr:col>
      <xdr:colOff>2581275</xdr:colOff>
      <xdr:row>27</xdr:row>
      <xdr:rowOff>66676</xdr:rowOff>
    </xdr:from>
    <xdr:to>
      <xdr:col>1</xdr:col>
      <xdr:colOff>552450</xdr:colOff>
      <xdr:row>29</xdr:row>
      <xdr:rowOff>85726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24AB8123-1781-4EAF-9710-D38AECC81B75}"/>
            </a:ext>
          </a:extLst>
        </xdr:cNvPr>
        <xdr:cNvSpPr txBox="1"/>
      </xdr:nvSpPr>
      <xdr:spPr>
        <a:xfrm>
          <a:off x="2581275" y="6067426"/>
          <a:ext cx="105727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1">
              <a:solidFill>
                <a:srgbClr val="FF0000"/>
              </a:solidFill>
            </a:rPr>
            <a:t>65 +17,58=82,58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ain\Desktop\FOAD%20COMPTA\CYCLE%201%20INITIATION\vid&#233;o%208%20La%20paie%20et%20les%20charges%20sociales\VIDEO%208%20Le%20salaire%20et%20les%20charges%20socia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ain\Desktop\FOAD%20COMPTA\a%20VERSION%20ARKHOS\Module%201%20Intitiation\Vid&#233;o%208%20Salaires%20et%20charges%20sociales\DOCUMENTS\VIDEO%208%20Le%20salaire%20et%20les%20charges%20sociales%20EXEMPL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 12 Grille de cotisations"/>
      <sheetName val=" bulletin non-cadre"/>
      <sheetName val=" enonce application"/>
      <sheetName val="corrigé application"/>
      <sheetName val=" bulletin non-cadre exemple"/>
      <sheetName val="corrigé application (2)"/>
      <sheetName val="Feuil2"/>
    </sheetNames>
    <sheetDataSet>
      <sheetData sheetId="0">
        <row r="9">
          <cell r="D9">
            <v>0.12839999999999999</v>
          </cell>
        </row>
        <row r="10">
          <cell r="C10">
            <v>3.5000000000000001E-3</v>
          </cell>
          <cell r="D10">
            <v>1.8499999999999999E-2</v>
          </cell>
        </row>
        <row r="21">
          <cell r="C21">
            <v>6.9000000000000006E-2</v>
          </cell>
          <cell r="D21">
            <v>8.5500000000000007E-2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 12 Grille de cotisations"/>
      <sheetName val=" bulletin non-cadre"/>
      <sheetName val=" bulletin simplif non-cadre"/>
    </sheetNames>
    <sheetDataSet>
      <sheetData sheetId="0">
        <row r="9">
          <cell r="D9">
            <v>0.12889999999999999</v>
          </cell>
        </row>
        <row r="10">
          <cell r="C10">
            <v>4.0000000000000001E-3</v>
          </cell>
          <cell r="D10">
            <v>1.9E-2</v>
          </cell>
        </row>
        <row r="22">
          <cell r="C22">
            <v>6.9000000000000006E-2</v>
          </cell>
          <cell r="D22">
            <v>8.5500000000000007E-2</v>
          </cell>
        </row>
      </sheetData>
      <sheetData sheetId="1">
        <row r="39">
          <cell r="D39">
            <v>1819.8308750000001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="90" zoomScaleNormal="90" workbookViewId="0">
      <selection activeCell="D31" sqref="D31"/>
    </sheetView>
  </sheetViews>
  <sheetFormatPr baseColWidth="10" defaultRowHeight="12" x14ac:dyDescent="0.25"/>
  <cols>
    <col min="1" max="1" width="46.28515625" style="26" customWidth="1"/>
    <col min="2" max="2" width="16" style="26" customWidth="1"/>
    <col min="3" max="3" width="14.140625" style="26" customWidth="1"/>
    <col min="4" max="4" width="14.7109375" style="26" customWidth="1"/>
    <col min="5" max="5" width="14.28515625" style="26" bestFit="1" customWidth="1"/>
    <col min="6" max="6" width="13.85546875" style="26" bestFit="1" customWidth="1"/>
    <col min="7" max="7" width="21.7109375" style="26" bestFit="1" customWidth="1"/>
    <col min="8" max="8" width="13.28515625" style="26" bestFit="1" customWidth="1"/>
    <col min="9" max="9" width="15.28515625" style="26" bestFit="1" customWidth="1"/>
    <col min="10" max="16384" width="11.42578125" style="26"/>
  </cols>
  <sheetData>
    <row r="1" spans="1:7" ht="18" x14ac:dyDescent="0.25">
      <c r="A1" s="194" t="s">
        <v>22</v>
      </c>
      <c r="B1" s="195"/>
      <c r="C1" s="195"/>
      <c r="D1" s="195"/>
      <c r="E1" s="195"/>
    </row>
    <row r="2" spans="1:7" ht="15" thickBot="1" x14ac:dyDescent="0.3">
      <c r="C2" s="27"/>
      <c r="D2" s="27"/>
      <c r="E2" s="27"/>
      <c r="F2" s="27"/>
    </row>
    <row r="3" spans="1:7" ht="24" customHeight="1" thickBot="1" x14ac:dyDescent="0.3">
      <c r="A3" s="28" t="s">
        <v>9</v>
      </c>
      <c r="B3" s="29">
        <v>1900</v>
      </c>
      <c r="C3" s="30"/>
      <c r="D3" s="30"/>
      <c r="E3" s="30"/>
      <c r="F3" s="30"/>
    </row>
    <row r="4" spans="1:7" ht="18" customHeight="1" x14ac:dyDescent="0.25">
      <c r="A4" s="196"/>
      <c r="B4" s="198" t="s">
        <v>15</v>
      </c>
      <c r="C4" s="198" t="s">
        <v>23</v>
      </c>
      <c r="D4" s="198" t="s">
        <v>10</v>
      </c>
      <c r="E4" s="200" t="s">
        <v>24</v>
      </c>
      <c r="F4" s="190" t="s">
        <v>16</v>
      </c>
    </row>
    <row r="5" spans="1:7" ht="18" customHeight="1" x14ac:dyDescent="0.25">
      <c r="A5" s="197"/>
      <c r="B5" s="199"/>
      <c r="C5" s="199"/>
      <c r="D5" s="199"/>
      <c r="E5" s="201"/>
      <c r="F5" s="191"/>
    </row>
    <row r="6" spans="1:7" ht="17.25" customHeight="1" x14ac:dyDescent="0.25">
      <c r="A6" s="31" t="s">
        <v>0</v>
      </c>
      <c r="B6" s="32">
        <f>$B$3</f>
        <v>1900</v>
      </c>
      <c r="C6" s="33">
        <v>7.4999999999999997E-3</v>
      </c>
      <c r="D6" s="32">
        <f>B6*C6</f>
        <v>14.25</v>
      </c>
      <c r="E6" s="34">
        <f>'[1]v 12 Grille de cotisations'!D9</f>
        <v>0.12839999999999999</v>
      </c>
      <c r="F6" s="35">
        <f>B6*E6</f>
        <v>243.95999999999998</v>
      </c>
    </row>
    <row r="7" spans="1:7" ht="17.25" customHeight="1" x14ac:dyDescent="0.25">
      <c r="A7" s="31" t="s">
        <v>1</v>
      </c>
      <c r="B7" s="32">
        <f t="shared" ref="B7:B13" si="0">B6</f>
        <v>1900</v>
      </c>
      <c r="C7" s="33">
        <f>'[1]v 12 Grille de cotisations'!C21</f>
        <v>6.9000000000000006E-2</v>
      </c>
      <c r="D7" s="32">
        <f>B7*C7</f>
        <v>131.10000000000002</v>
      </c>
      <c r="E7" s="34">
        <f>'[1]v 12 Grille de cotisations'!D21</f>
        <v>8.5500000000000007E-2</v>
      </c>
      <c r="F7" s="35">
        <f t="shared" ref="F7:F13" si="1">B7*E7</f>
        <v>162.45000000000002</v>
      </c>
    </row>
    <row r="8" spans="1:7" ht="17.25" customHeight="1" x14ac:dyDescent="0.25">
      <c r="A8" s="31" t="s">
        <v>1</v>
      </c>
      <c r="B8" s="32">
        <f t="shared" si="0"/>
        <v>1900</v>
      </c>
      <c r="C8" s="33">
        <f>'[1]v 12 Grille de cotisations'!C10</f>
        <v>3.5000000000000001E-3</v>
      </c>
      <c r="D8" s="32">
        <f>B8*C8</f>
        <v>6.65</v>
      </c>
      <c r="E8" s="34">
        <f>'[1]v 12 Grille de cotisations'!D10</f>
        <v>1.8499999999999999E-2</v>
      </c>
      <c r="F8" s="35">
        <f t="shared" si="1"/>
        <v>35.15</v>
      </c>
    </row>
    <row r="9" spans="1:7" ht="17.25" customHeight="1" x14ac:dyDescent="0.25">
      <c r="A9" s="31" t="s">
        <v>17</v>
      </c>
      <c r="B9" s="32">
        <f t="shared" si="0"/>
        <v>1900</v>
      </c>
      <c r="C9" s="36"/>
      <c r="D9" s="37"/>
      <c r="E9" s="38">
        <v>1.0500000000000001E-2</v>
      </c>
      <c r="F9" s="35">
        <f t="shared" si="1"/>
        <v>19.950000000000003</v>
      </c>
    </row>
    <row r="10" spans="1:7" ht="17.25" customHeight="1" x14ac:dyDescent="0.25">
      <c r="A10" s="31" t="s">
        <v>11</v>
      </c>
      <c r="B10" s="32">
        <f t="shared" si="0"/>
        <v>1900</v>
      </c>
      <c r="C10" s="36"/>
      <c r="D10" s="37"/>
      <c r="E10" s="34">
        <v>3.4500000000000003E-2</v>
      </c>
      <c r="F10" s="35">
        <f t="shared" si="1"/>
        <v>65.550000000000011</v>
      </c>
    </row>
    <row r="11" spans="1:7" ht="17.25" customHeight="1" x14ac:dyDescent="0.25">
      <c r="A11" s="31" t="s">
        <v>12</v>
      </c>
      <c r="B11" s="32">
        <f t="shared" si="0"/>
        <v>1900</v>
      </c>
      <c r="C11" s="36"/>
      <c r="D11" s="37"/>
      <c r="E11" s="34">
        <v>1E-3</v>
      </c>
      <c r="F11" s="35">
        <f t="shared" si="1"/>
        <v>1.9000000000000001</v>
      </c>
    </row>
    <row r="12" spans="1:7" ht="17.25" customHeight="1" x14ac:dyDescent="0.25">
      <c r="A12" s="31" t="s">
        <v>2</v>
      </c>
      <c r="B12" s="32">
        <f t="shared" si="0"/>
        <v>1900</v>
      </c>
      <c r="C12" s="36"/>
      <c r="D12" s="37"/>
      <c r="E12" s="34">
        <v>3.0000000000000001E-3</v>
      </c>
      <c r="F12" s="35">
        <f t="shared" si="1"/>
        <v>5.7</v>
      </c>
    </row>
    <row r="13" spans="1:7" ht="17.25" customHeight="1" x14ac:dyDescent="0.25">
      <c r="A13" s="31" t="s">
        <v>3</v>
      </c>
      <c r="B13" s="32">
        <f t="shared" si="0"/>
        <v>1900</v>
      </c>
      <c r="C13" s="36"/>
      <c r="D13" s="37"/>
      <c r="E13" s="34">
        <v>0.02</v>
      </c>
      <c r="F13" s="35">
        <f t="shared" si="1"/>
        <v>38</v>
      </c>
    </row>
    <row r="14" spans="1:7" ht="17.25" customHeight="1" x14ac:dyDescent="0.25">
      <c r="A14" s="31" t="s">
        <v>4</v>
      </c>
      <c r="B14" s="32">
        <f>$B$3*0.9825</f>
        <v>1866.75</v>
      </c>
      <c r="C14" s="33">
        <v>2.4E-2</v>
      </c>
      <c r="D14" s="32">
        <f>B14*C14</f>
        <v>44.802</v>
      </c>
      <c r="E14" s="39"/>
      <c r="F14" s="40"/>
      <c r="G14" s="41"/>
    </row>
    <row r="15" spans="1:7" ht="17.25" customHeight="1" x14ac:dyDescent="0.25">
      <c r="A15" s="31" t="s">
        <v>5</v>
      </c>
      <c r="B15" s="32">
        <f>$B$3*0.9825</f>
        <v>1866.75</v>
      </c>
      <c r="C15" s="33">
        <v>5.0999999999999997E-2</v>
      </c>
      <c r="D15" s="32">
        <f>B15*C15</f>
        <v>95.204249999999988</v>
      </c>
      <c r="E15" s="39"/>
      <c r="F15" s="40"/>
    </row>
    <row r="16" spans="1:7" ht="17.25" customHeight="1" x14ac:dyDescent="0.25">
      <c r="A16" s="31" t="s">
        <v>6</v>
      </c>
      <c r="B16" s="32">
        <f>$B$3*0.9825</f>
        <v>1866.75</v>
      </c>
      <c r="C16" s="33">
        <v>5.0000000000000001E-3</v>
      </c>
      <c r="D16" s="32">
        <f>B16*C16</f>
        <v>9.3337500000000002</v>
      </c>
      <c r="E16" s="39"/>
      <c r="F16" s="40"/>
    </row>
    <row r="17" spans="1:9" ht="17.25" customHeight="1" x14ac:dyDescent="0.25">
      <c r="A17" s="31" t="s">
        <v>18</v>
      </c>
      <c r="B17" s="32">
        <f>$B$3</f>
        <v>1900</v>
      </c>
      <c r="C17" s="42"/>
      <c r="D17" s="32"/>
      <c r="E17" s="43">
        <v>1.6000000000000001E-4</v>
      </c>
      <c r="F17" s="35">
        <f>B17*E17</f>
        <v>0.30400000000000005</v>
      </c>
      <c r="H17" s="44"/>
    </row>
    <row r="18" spans="1:9" ht="17.25" customHeight="1" x14ac:dyDescent="0.25">
      <c r="A18" s="31" t="s">
        <v>41</v>
      </c>
      <c r="B18" s="32"/>
      <c r="C18" s="42"/>
      <c r="D18" s="32"/>
      <c r="E18" s="43"/>
      <c r="F18" s="45">
        <f>-0.1098*B3</f>
        <v>-208.61999999999998</v>
      </c>
    </row>
    <row r="19" spans="1:9" ht="17.25" customHeight="1" x14ac:dyDescent="0.25">
      <c r="A19" s="46" t="s">
        <v>19</v>
      </c>
      <c r="B19" s="47"/>
      <c r="C19" s="36"/>
      <c r="D19" s="36"/>
      <c r="E19" s="39"/>
      <c r="F19" s="48"/>
    </row>
    <row r="20" spans="1:9" ht="17.25" customHeight="1" x14ac:dyDescent="0.25">
      <c r="A20" s="31" t="s">
        <v>7</v>
      </c>
      <c r="B20" s="32">
        <f>$B$3</f>
        <v>1900</v>
      </c>
      <c r="C20" s="33">
        <v>2.4E-2</v>
      </c>
      <c r="D20" s="32">
        <f>B20*C20</f>
        <v>45.6</v>
      </c>
      <c r="E20" s="34">
        <v>0.04</v>
      </c>
      <c r="F20" s="35">
        <f>B20*E20</f>
        <v>76</v>
      </c>
    </row>
    <row r="21" spans="1:9" ht="17.25" customHeight="1" x14ac:dyDescent="0.25">
      <c r="A21" s="49" t="s">
        <v>13</v>
      </c>
      <c r="B21" s="32">
        <f>$B$3</f>
        <v>1900</v>
      </c>
      <c r="C21" s="36"/>
      <c r="D21" s="37"/>
      <c r="E21" s="34">
        <v>2.5000000000000001E-3</v>
      </c>
      <c r="F21" s="35">
        <f>B21*E21</f>
        <v>4.75</v>
      </c>
    </row>
    <row r="22" spans="1:9" ht="17.25" customHeight="1" x14ac:dyDescent="0.25">
      <c r="A22" s="46" t="s">
        <v>8</v>
      </c>
      <c r="B22" s="37"/>
      <c r="C22" s="36"/>
      <c r="D22" s="37"/>
      <c r="E22" s="39"/>
      <c r="F22" s="40"/>
      <c r="G22" s="50"/>
      <c r="H22" s="50"/>
      <c r="I22" s="50"/>
    </row>
    <row r="23" spans="1:9" ht="17.25" customHeight="1" x14ac:dyDescent="0.25">
      <c r="A23" s="31" t="s">
        <v>20</v>
      </c>
      <c r="B23" s="32">
        <f>$B$3</f>
        <v>1900</v>
      </c>
      <c r="C23" s="33">
        <v>3.1E-2</v>
      </c>
      <c r="D23" s="32">
        <f>B23*C23</f>
        <v>58.9</v>
      </c>
      <c r="E23" s="34">
        <v>4.65E-2</v>
      </c>
      <c r="F23" s="35">
        <f>B23*E23</f>
        <v>88.35</v>
      </c>
      <c r="G23" s="50"/>
      <c r="H23" s="50"/>
      <c r="I23" s="50"/>
    </row>
    <row r="24" spans="1:9" ht="17.25" customHeight="1" x14ac:dyDescent="0.25">
      <c r="A24" s="31" t="s">
        <v>14</v>
      </c>
      <c r="B24" s="32">
        <f>$B$3</f>
        <v>1900</v>
      </c>
      <c r="C24" s="33">
        <v>8.0000000000000002E-3</v>
      </c>
      <c r="D24" s="32">
        <f>B24*C24</f>
        <v>15.200000000000001</v>
      </c>
      <c r="E24" s="34">
        <v>1.2E-2</v>
      </c>
      <c r="F24" s="35">
        <f>B24*E24</f>
        <v>22.8</v>
      </c>
      <c r="G24" s="50"/>
      <c r="H24" s="51"/>
      <c r="I24" s="50"/>
    </row>
    <row r="25" spans="1:9" ht="17.25" customHeight="1" x14ac:dyDescent="0.25">
      <c r="A25" s="52" t="s">
        <v>26</v>
      </c>
      <c r="B25" s="53"/>
      <c r="C25" s="54"/>
      <c r="D25" s="53">
        <v>25</v>
      </c>
      <c r="E25" s="55"/>
      <c r="F25" s="56">
        <v>60</v>
      </c>
      <c r="G25" s="50"/>
      <c r="H25" s="51"/>
      <c r="I25" s="50"/>
    </row>
    <row r="26" spans="1:9" ht="17.25" customHeight="1" x14ac:dyDescent="0.25">
      <c r="A26" s="31" t="s">
        <v>42</v>
      </c>
      <c r="B26" s="32">
        <f>B24</f>
        <v>1900</v>
      </c>
      <c r="C26" s="33">
        <v>7.4999999999999997E-3</v>
      </c>
      <c r="D26" s="32">
        <f>B26*C26</f>
        <v>14.25</v>
      </c>
      <c r="E26" s="34">
        <v>1.2500000000000001E-2</v>
      </c>
      <c r="F26" s="57">
        <f>E26*B26</f>
        <v>23.75</v>
      </c>
      <c r="H26" s="51"/>
    </row>
    <row r="27" spans="1:9" ht="17.25" customHeight="1" x14ac:dyDescent="0.25">
      <c r="A27" s="31" t="s">
        <v>43</v>
      </c>
      <c r="B27" s="32">
        <f>F25+F26</f>
        <v>83.75</v>
      </c>
      <c r="C27" s="33">
        <v>2.4E-2</v>
      </c>
      <c r="D27" s="32">
        <f>C27*B27</f>
        <v>2.0100000000000002</v>
      </c>
      <c r="E27" s="58"/>
      <c r="F27" s="57"/>
      <c r="H27" s="51"/>
    </row>
    <row r="28" spans="1:9" ht="17.25" customHeight="1" x14ac:dyDescent="0.25">
      <c r="A28" s="31" t="s">
        <v>44</v>
      </c>
      <c r="B28" s="32">
        <f>B27</f>
        <v>83.75</v>
      </c>
      <c r="C28" s="33">
        <v>5.0999999999999997E-2</v>
      </c>
      <c r="D28" s="32">
        <f>C28*B28</f>
        <v>4.2712499999999993</v>
      </c>
      <c r="E28" s="58"/>
      <c r="F28" s="57"/>
      <c r="H28" s="51"/>
    </row>
    <row r="29" spans="1:9" ht="17.25" customHeight="1" x14ac:dyDescent="0.25">
      <c r="A29" s="31" t="s">
        <v>45</v>
      </c>
      <c r="B29" s="32">
        <f>B28</f>
        <v>83.75</v>
      </c>
      <c r="C29" s="33">
        <v>5.0000000000000001E-3</v>
      </c>
      <c r="D29" s="32">
        <f>C29*B29</f>
        <v>0.41875000000000001</v>
      </c>
      <c r="E29" s="58"/>
      <c r="F29" s="57"/>
    </row>
    <row r="30" spans="1:9" ht="17.25" customHeight="1" x14ac:dyDescent="0.25">
      <c r="A30" s="59" t="s">
        <v>21</v>
      </c>
      <c r="B30" s="60"/>
      <c r="C30" s="47"/>
      <c r="D30" s="61">
        <f>SUM(D6:D29)</f>
        <v>466.99</v>
      </c>
      <c r="E30" s="62"/>
      <c r="F30" s="63">
        <f>SUM(F6:F29)</f>
        <v>639.99399999999991</v>
      </c>
    </row>
    <row r="31" spans="1:9" ht="17.25" customHeight="1" thickBot="1" x14ac:dyDescent="0.3">
      <c r="A31" s="64" t="s">
        <v>46</v>
      </c>
      <c r="B31" s="65"/>
      <c r="C31" s="66"/>
      <c r="D31" s="67">
        <f>B3-D30</f>
        <v>1433.01</v>
      </c>
      <c r="E31" s="68"/>
      <c r="F31" s="69"/>
    </row>
    <row r="32" spans="1:9" ht="23.25" customHeight="1" thickBot="1" x14ac:dyDescent="0.3">
      <c r="A32" s="192" t="s">
        <v>47</v>
      </c>
      <c r="B32" s="193"/>
      <c r="C32" s="193"/>
      <c r="D32" s="70">
        <f>1900-466.99+0.42+2.01+44.8+9.33+60</f>
        <v>1549.57</v>
      </c>
    </row>
    <row r="33" spans="1:6" ht="24" customHeight="1" x14ac:dyDescent="0.25">
      <c r="A33" s="71"/>
      <c r="B33" s="71"/>
      <c r="C33" s="71"/>
      <c r="D33" s="72"/>
      <c r="E33" s="71"/>
      <c r="F33" s="72"/>
    </row>
    <row r="34" spans="1:6" ht="24" customHeight="1" x14ac:dyDescent="0.25">
      <c r="A34" s="71"/>
      <c r="B34" s="71"/>
      <c r="C34" s="71"/>
      <c r="D34" s="71"/>
      <c r="E34" s="71"/>
      <c r="F34" s="71"/>
    </row>
    <row r="35" spans="1:6" x14ac:dyDescent="0.25">
      <c r="A35" s="71"/>
      <c r="B35" s="71"/>
      <c r="C35" s="71"/>
      <c r="D35" s="71"/>
      <c r="E35" s="71"/>
      <c r="F35" s="71"/>
    </row>
    <row r="36" spans="1:6" x14ac:dyDescent="0.25">
      <c r="A36" s="71"/>
      <c r="B36" s="71"/>
      <c r="C36" s="71"/>
      <c r="D36" s="71"/>
      <c r="E36" s="71"/>
      <c r="F36" s="71"/>
    </row>
    <row r="37" spans="1:6" x14ac:dyDescent="0.25">
      <c r="A37" s="71"/>
      <c r="B37" s="71"/>
      <c r="C37" s="71"/>
      <c r="D37" s="71"/>
      <c r="E37" s="71"/>
      <c r="F37" s="71"/>
    </row>
    <row r="38" spans="1:6" x14ac:dyDescent="0.25">
      <c r="A38" s="71"/>
      <c r="B38" s="71"/>
      <c r="C38" s="71"/>
      <c r="D38" s="71"/>
      <c r="E38" s="71"/>
      <c r="F38" s="71"/>
    </row>
    <row r="39" spans="1:6" x14ac:dyDescent="0.25">
      <c r="A39" s="71"/>
      <c r="B39" s="71"/>
      <c r="C39" s="71"/>
      <c r="D39" s="71"/>
      <c r="E39" s="71"/>
      <c r="F39" s="71"/>
    </row>
    <row r="40" spans="1:6" x14ac:dyDescent="0.25">
      <c r="A40" s="71"/>
      <c r="B40" s="71"/>
      <c r="C40" s="71"/>
      <c r="D40" s="71"/>
      <c r="E40" s="71"/>
      <c r="F40" s="71"/>
    </row>
  </sheetData>
  <mergeCells count="8">
    <mergeCell ref="F4:F5"/>
    <mergeCell ref="A32:C32"/>
    <mergeCell ref="A1:E1"/>
    <mergeCell ref="A4:A5"/>
    <mergeCell ref="B4:B5"/>
    <mergeCell ref="C4:C5"/>
    <mergeCell ref="D4:D5"/>
    <mergeCell ref="E4:E5"/>
  </mergeCells>
  <pageMargins left="0" right="0" top="0" bottom="0" header="0" footer="0"/>
  <pageSetup paperSize="9" orientation="landscape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Normal="100" workbookViewId="0">
      <selection activeCell="I4" sqref="I4"/>
    </sheetView>
  </sheetViews>
  <sheetFormatPr baseColWidth="10" defaultRowHeight="12" x14ac:dyDescent="0.25"/>
  <cols>
    <col min="1" max="1" width="46.28515625" style="26" customWidth="1"/>
    <col min="2" max="2" width="16" style="26" customWidth="1"/>
    <col min="3" max="3" width="14.140625" style="26" customWidth="1"/>
    <col min="4" max="4" width="14.7109375" style="26" customWidth="1"/>
    <col min="5" max="5" width="14.28515625" style="26" bestFit="1" customWidth="1"/>
    <col min="6" max="6" width="13.85546875" style="26" bestFit="1" customWidth="1"/>
    <col min="7" max="7" width="23.7109375" style="26" customWidth="1"/>
    <col min="8" max="8" width="25" style="26" bestFit="1" customWidth="1"/>
    <col min="9" max="9" width="15.28515625" style="26" bestFit="1" customWidth="1"/>
    <col min="10" max="10" width="11.42578125" style="26"/>
    <col min="11" max="11" width="12" style="26" bestFit="1" customWidth="1"/>
    <col min="12" max="16384" width="11.42578125" style="26"/>
  </cols>
  <sheetData>
    <row r="1" spans="1:11" ht="18" x14ac:dyDescent="0.25">
      <c r="A1" s="194" t="s">
        <v>22</v>
      </c>
      <c r="B1" s="195"/>
      <c r="C1" s="195"/>
      <c r="D1" s="195"/>
      <c r="E1" s="195"/>
    </row>
    <row r="2" spans="1:11" ht="15" thickBot="1" x14ac:dyDescent="0.3">
      <c r="C2" s="27"/>
      <c r="D2" s="27"/>
      <c r="E2" s="27"/>
      <c r="F2" s="27"/>
    </row>
    <row r="3" spans="1:11" ht="24" customHeight="1" thickBot="1" x14ac:dyDescent="0.3">
      <c r="A3" s="28" t="s">
        <v>9</v>
      </c>
      <c r="B3" s="29">
        <v>1850</v>
      </c>
      <c r="C3" s="30"/>
      <c r="D3" s="30"/>
      <c r="E3" s="30"/>
      <c r="F3" s="30"/>
    </row>
    <row r="4" spans="1:11" ht="18" customHeight="1" x14ac:dyDescent="0.25">
      <c r="A4" s="196"/>
      <c r="B4" s="198" t="s">
        <v>15</v>
      </c>
      <c r="C4" s="198" t="s">
        <v>23</v>
      </c>
      <c r="D4" s="198" t="s">
        <v>10</v>
      </c>
      <c r="E4" s="200" t="s">
        <v>24</v>
      </c>
      <c r="F4" s="190" t="s">
        <v>16</v>
      </c>
      <c r="H4" s="26">
        <f>0.2809/0.6</f>
        <v>0.46816666666666668</v>
      </c>
    </row>
    <row r="5" spans="1:11" ht="18" customHeight="1" x14ac:dyDescent="0.25">
      <c r="A5" s="197"/>
      <c r="B5" s="199"/>
      <c r="C5" s="199"/>
      <c r="D5" s="199"/>
      <c r="E5" s="201"/>
      <c r="F5" s="191"/>
      <c r="H5" s="26">
        <f>((1.6*9.76*151.6666/1850)-1)</f>
        <v>0.28023006789189187</v>
      </c>
    </row>
    <row r="6" spans="1:11" ht="17.25" customHeight="1" x14ac:dyDescent="0.25">
      <c r="A6" s="31" t="s">
        <v>0</v>
      </c>
      <c r="B6" s="32">
        <f>$B$3</f>
        <v>1850</v>
      </c>
      <c r="C6" s="33">
        <v>7.4999999999999997E-3</v>
      </c>
      <c r="D6" s="32">
        <f>B6*C6</f>
        <v>13.875</v>
      </c>
      <c r="E6" s="34">
        <f>'[2]v 12 Grille de cotisations'!D9</f>
        <v>0.12889999999999999</v>
      </c>
      <c r="F6" s="35">
        <f>B6*E6</f>
        <v>238.46499999999997</v>
      </c>
      <c r="H6" s="26">
        <f>H5*H4</f>
        <v>0.13119437678472071</v>
      </c>
      <c r="I6" s="26">
        <f>ROUND(H6,4)</f>
        <v>0.13120000000000001</v>
      </c>
      <c r="J6" s="26">
        <f>1900*I6</f>
        <v>249.28000000000003</v>
      </c>
    </row>
    <row r="7" spans="1:11" ht="17.25" customHeight="1" thickBot="1" x14ac:dyDescent="0.3">
      <c r="A7" s="31" t="s">
        <v>1</v>
      </c>
      <c r="B7" s="32">
        <f>B6</f>
        <v>1850</v>
      </c>
      <c r="C7" s="33">
        <f>'[2]v 12 Grille de cotisations'!C22</f>
        <v>6.9000000000000006E-2</v>
      </c>
      <c r="D7" s="32">
        <f>B7*C7</f>
        <v>127.65</v>
      </c>
      <c r="E7" s="34">
        <f>'[2]v 12 Grille de cotisations'!D22</f>
        <v>8.5500000000000007E-2</v>
      </c>
      <c r="F7" s="35">
        <f t="shared" ref="F7:F14" si="0">B7*E7</f>
        <v>158.17500000000001</v>
      </c>
    </row>
    <row r="8" spans="1:11" ht="17.25" customHeight="1" x14ac:dyDescent="0.25">
      <c r="A8" s="31" t="s">
        <v>1</v>
      </c>
      <c r="B8" s="32">
        <f>B7</f>
        <v>1850</v>
      </c>
      <c r="C8" s="33">
        <f>'[2]v 12 Grille de cotisations'!C10</f>
        <v>4.0000000000000001E-3</v>
      </c>
      <c r="D8" s="32">
        <f>B8*C8</f>
        <v>7.4</v>
      </c>
      <c r="E8" s="34">
        <f>'[2]v 12 Grille de cotisations'!D10</f>
        <v>1.9E-2</v>
      </c>
      <c r="F8" s="35">
        <f t="shared" si="0"/>
        <v>35.15</v>
      </c>
      <c r="H8" s="230"/>
      <c r="I8" s="231" t="s">
        <v>124</v>
      </c>
      <c r="J8" s="231" t="s">
        <v>125</v>
      </c>
      <c r="K8" s="232" t="s">
        <v>123</v>
      </c>
    </row>
    <row r="9" spans="1:11" ht="17.25" customHeight="1" x14ac:dyDescent="0.25">
      <c r="A9" s="31" t="s">
        <v>17</v>
      </c>
      <c r="B9" s="32">
        <f t="shared" ref="B9:B14" si="1">B8</f>
        <v>1850</v>
      </c>
      <c r="C9" s="36"/>
      <c r="D9" s="37"/>
      <c r="E9" s="38">
        <v>0.01</v>
      </c>
      <c r="F9" s="35">
        <f t="shared" si="0"/>
        <v>18.5</v>
      </c>
      <c r="H9" s="233" t="s">
        <v>121</v>
      </c>
      <c r="I9" s="234">
        <f>D21</f>
        <v>44.4</v>
      </c>
      <c r="J9" s="234">
        <f>F21+F22</f>
        <v>77.7</v>
      </c>
      <c r="K9" s="235">
        <f>SUM(I9:J9)</f>
        <v>122.1</v>
      </c>
    </row>
    <row r="10" spans="1:11" ht="17.25" customHeight="1" x14ac:dyDescent="0.25">
      <c r="A10" s="31" t="s">
        <v>11</v>
      </c>
      <c r="B10" s="32">
        <f t="shared" si="1"/>
        <v>1850</v>
      </c>
      <c r="C10" s="36"/>
      <c r="D10" s="37"/>
      <c r="E10" s="34">
        <v>3.4500000000000003E-2</v>
      </c>
      <c r="F10" s="35">
        <f t="shared" si="0"/>
        <v>63.825000000000003</v>
      </c>
      <c r="H10" s="233" t="s">
        <v>122</v>
      </c>
      <c r="I10" s="234">
        <f>SUM(D6:D17)+D28+D29+D30</f>
        <v>300.94099999999997</v>
      </c>
      <c r="J10" s="234">
        <f>SUM(F6:F19)</f>
        <v>318.96600000000001</v>
      </c>
      <c r="K10" s="235">
        <f>SUM(I10:J10)</f>
        <v>619.90699999999993</v>
      </c>
    </row>
    <row r="11" spans="1:11" ht="17.25" customHeight="1" x14ac:dyDescent="0.25">
      <c r="A11" s="31" t="s">
        <v>12</v>
      </c>
      <c r="B11" s="32">
        <f t="shared" si="1"/>
        <v>1850</v>
      </c>
      <c r="C11" s="36"/>
      <c r="D11" s="37"/>
      <c r="E11" s="34">
        <v>1E-3</v>
      </c>
      <c r="F11" s="35">
        <f t="shared" si="0"/>
        <v>1.85</v>
      </c>
      <c r="H11" s="236" t="s">
        <v>126</v>
      </c>
      <c r="I11" s="234">
        <f>SUM(I9:I10)</f>
        <v>345.34099999999995</v>
      </c>
      <c r="J11" s="234">
        <f>SUM(J9:J10)</f>
        <v>396.666</v>
      </c>
      <c r="K11" s="235">
        <f>SUM(I11:J11)</f>
        <v>742.00699999999995</v>
      </c>
    </row>
    <row r="12" spans="1:11" ht="17.25" customHeight="1" x14ac:dyDescent="0.25">
      <c r="A12" s="31" t="s">
        <v>2</v>
      </c>
      <c r="B12" s="32">
        <f t="shared" si="1"/>
        <v>1850</v>
      </c>
      <c r="C12" s="36"/>
      <c r="D12" s="37"/>
      <c r="E12" s="34">
        <v>3.0000000000000001E-3</v>
      </c>
      <c r="F12" s="35">
        <f t="shared" si="0"/>
        <v>5.55</v>
      </c>
      <c r="H12" s="233"/>
      <c r="I12" s="237"/>
      <c r="J12" s="237"/>
      <c r="K12" s="238"/>
    </row>
    <row r="13" spans="1:11" ht="17.25" customHeight="1" x14ac:dyDescent="0.25">
      <c r="A13" s="31" t="s">
        <v>3</v>
      </c>
      <c r="B13" s="32">
        <f t="shared" si="1"/>
        <v>1850</v>
      </c>
      <c r="C13" s="36"/>
      <c r="D13" s="37"/>
      <c r="E13" s="34">
        <v>2.5000000000000001E-2</v>
      </c>
      <c r="F13" s="35">
        <f t="shared" si="0"/>
        <v>46.25</v>
      </c>
      <c r="H13" s="233" t="s">
        <v>111</v>
      </c>
      <c r="I13" s="234">
        <f>D24+D25</f>
        <v>72.150000000000006</v>
      </c>
      <c r="J13" s="234">
        <f>F24+F25</f>
        <v>108.22500000000001</v>
      </c>
      <c r="K13" s="235">
        <f>SUM(I13:J13)</f>
        <v>180.375</v>
      </c>
    </row>
    <row r="14" spans="1:11" ht="17.25" customHeight="1" x14ac:dyDescent="0.25">
      <c r="A14" s="31" t="s">
        <v>92</v>
      </c>
      <c r="B14" s="32">
        <f t="shared" si="1"/>
        <v>1850</v>
      </c>
      <c r="C14" s="36"/>
      <c r="D14" s="37"/>
      <c r="E14" s="34">
        <v>1E-4</v>
      </c>
      <c r="F14" s="35">
        <f t="shared" si="0"/>
        <v>0.185</v>
      </c>
      <c r="H14" s="233" t="s">
        <v>127</v>
      </c>
      <c r="I14" s="234">
        <f>D26+D27</f>
        <v>43.47</v>
      </c>
      <c r="J14" s="234">
        <f>F26+F27</f>
        <v>82.575000000000003</v>
      </c>
      <c r="K14" s="235">
        <f>SUM(I14:J14)</f>
        <v>126.045</v>
      </c>
    </row>
    <row r="15" spans="1:11" ht="17.25" customHeight="1" x14ac:dyDescent="0.25">
      <c r="A15" s="31" t="s">
        <v>4</v>
      </c>
      <c r="B15" s="32">
        <f>$B$3*0.9825</f>
        <v>1817.625</v>
      </c>
      <c r="C15" s="33">
        <v>2.4E-2</v>
      </c>
      <c r="D15" s="32">
        <f>B15*C15</f>
        <v>43.622999999999998</v>
      </c>
      <c r="E15" s="39"/>
      <c r="F15" s="40"/>
      <c r="H15" s="236" t="s">
        <v>128</v>
      </c>
      <c r="I15" s="234">
        <f>SUM(I13:I14)</f>
        <v>115.62</v>
      </c>
      <c r="J15" s="234">
        <f>SUM(J13:J14)</f>
        <v>190.8</v>
      </c>
      <c r="K15" s="235">
        <f>SUM(I15:J15)</f>
        <v>306.42</v>
      </c>
    </row>
    <row r="16" spans="1:11" ht="17.25" customHeight="1" x14ac:dyDescent="0.25">
      <c r="A16" s="31" t="s">
        <v>5</v>
      </c>
      <c r="B16" s="32">
        <f>$B$3*0.9825</f>
        <v>1817.625</v>
      </c>
      <c r="C16" s="33">
        <v>5.0999999999999997E-2</v>
      </c>
      <c r="D16" s="32">
        <f>B16*C16</f>
        <v>92.698875000000001</v>
      </c>
      <c r="E16" s="39"/>
      <c r="F16" s="40"/>
      <c r="G16" s="85"/>
      <c r="H16" s="240"/>
      <c r="I16" s="241"/>
      <c r="J16" s="237"/>
      <c r="K16" s="238"/>
    </row>
    <row r="17" spans="1:11" ht="17.25" customHeight="1" x14ac:dyDescent="0.25">
      <c r="A17" s="31" t="s">
        <v>6</v>
      </c>
      <c r="B17" s="32">
        <f>$B$3*0.9825</f>
        <v>1817.625</v>
      </c>
      <c r="C17" s="33">
        <v>5.0000000000000001E-3</v>
      </c>
      <c r="D17" s="32">
        <f>B17*C17</f>
        <v>9.0881249999999998</v>
      </c>
      <c r="E17" s="39"/>
      <c r="F17" s="40"/>
      <c r="G17" s="84"/>
      <c r="H17" s="242" t="s">
        <v>129</v>
      </c>
      <c r="I17" s="243"/>
      <c r="J17" s="239">
        <f>F33</f>
        <v>12.58</v>
      </c>
      <c r="K17" s="244">
        <f>J17</f>
        <v>12.58</v>
      </c>
    </row>
    <row r="18" spans="1:11" ht="17.25" customHeight="1" x14ac:dyDescent="0.25">
      <c r="A18" s="31" t="s">
        <v>91</v>
      </c>
      <c r="B18" s="32">
        <f>$B$3</f>
        <v>1850</v>
      </c>
      <c r="C18" s="42"/>
      <c r="D18" s="32"/>
      <c r="E18" s="43">
        <v>1.6000000000000001E-4</v>
      </c>
      <c r="F18" s="35">
        <f>B18*E18</f>
        <v>0.29600000000000004</v>
      </c>
      <c r="G18" s="84"/>
      <c r="H18" s="242" t="s">
        <v>130</v>
      </c>
      <c r="I18" s="245"/>
      <c r="J18" s="239">
        <f>F34</f>
        <v>18.5</v>
      </c>
      <c r="K18" s="244">
        <f>J18</f>
        <v>18.5</v>
      </c>
    </row>
    <row r="19" spans="1:11" ht="17.25" customHeight="1" x14ac:dyDescent="0.25">
      <c r="A19" s="31" t="s">
        <v>137</v>
      </c>
      <c r="B19" s="32"/>
      <c r="C19" s="42"/>
      <c r="D19" s="32"/>
      <c r="E19" s="43"/>
      <c r="F19" s="45">
        <v>-249.28</v>
      </c>
      <c r="G19" s="84"/>
      <c r="H19" s="242" t="s">
        <v>131</v>
      </c>
      <c r="I19" s="243"/>
      <c r="J19" s="239">
        <f>SUM(J17:J18)</f>
        <v>31.08</v>
      </c>
      <c r="K19" s="244">
        <f>SUM(K17:K18)</f>
        <v>31.08</v>
      </c>
    </row>
    <row r="20" spans="1:11" ht="17.25" customHeight="1" x14ac:dyDescent="0.25">
      <c r="A20" s="46" t="s">
        <v>19</v>
      </c>
      <c r="B20" s="111"/>
      <c r="C20" s="36"/>
      <c r="D20" s="36"/>
      <c r="E20" s="39"/>
      <c r="F20" s="48"/>
      <c r="G20" s="84"/>
      <c r="H20" s="242"/>
      <c r="I20" s="245"/>
      <c r="J20" s="237"/>
      <c r="K20" s="238"/>
    </row>
    <row r="21" spans="1:11" ht="17.25" customHeight="1" x14ac:dyDescent="0.25">
      <c r="A21" s="31" t="s">
        <v>7</v>
      </c>
      <c r="B21" s="32">
        <f>$B$3</f>
        <v>1850</v>
      </c>
      <c r="C21" s="33">
        <v>2.4E-2</v>
      </c>
      <c r="D21" s="32">
        <f>B21*C21</f>
        <v>44.4</v>
      </c>
      <c r="E21" s="34">
        <v>0.04</v>
      </c>
      <c r="F21" s="35">
        <f>B21*E21</f>
        <v>74</v>
      </c>
      <c r="G21" s="84"/>
      <c r="H21" s="240" t="s">
        <v>132</v>
      </c>
      <c r="I21" s="246">
        <f>I15+I11</f>
        <v>460.96099999999996</v>
      </c>
      <c r="J21" s="246">
        <f>J19+J15+J11</f>
        <v>618.54600000000005</v>
      </c>
      <c r="K21" s="247">
        <f>K19+K15+K11</f>
        <v>1079.5070000000001</v>
      </c>
    </row>
    <row r="22" spans="1:11" ht="17.25" customHeight="1" x14ac:dyDescent="0.25">
      <c r="A22" s="31" t="s">
        <v>13</v>
      </c>
      <c r="B22" s="32">
        <f>$B$3</f>
        <v>1850</v>
      </c>
      <c r="C22" s="36"/>
      <c r="D22" s="37"/>
      <c r="E22" s="34">
        <v>2E-3</v>
      </c>
      <c r="F22" s="35">
        <f>B22*E22</f>
        <v>3.7</v>
      </c>
      <c r="G22" s="84"/>
      <c r="H22" s="240"/>
      <c r="I22" s="241"/>
      <c r="J22" s="237"/>
      <c r="K22" s="238"/>
    </row>
    <row r="23" spans="1:11" ht="17.25" customHeight="1" thickBot="1" x14ac:dyDescent="0.3">
      <c r="A23" s="46" t="s">
        <v>115</v>
      </c>
      <c r="B23" s="37"/>
      <c r="C23" s="36"/>
      <c r="D23" s="37"/>
      <c r="E23" s="39"/>
      <c r="F23" s="40"/>
      <c r="G23" s="84"/>
      <c r="H23" s="248" t="s">
        <v>133</v>
      </c>
      <c r="I23" s="249">
        <f>D37</f>
        <v>460.96100000000001</v>
      </c>
      <c r="J23" s="249">
        <f>F37</f>
        <v>618.54600000000016</v>
      </c>
      <c r="K23" s="250">
        <f>SUM(I23:J23)</f>
        <v>1079.5070000000001</v>
      </c>
    </row>
    <row r="24" spans="1:11" ht="17.25" customHeight="1" x14ac:dyDescent="0.25">
      <c r="A24" s="31" t="s">
        <v>20</v>
      </c>
      <c r="B24" s="32">
        <f>$B$3</f>
        <v>1850</v>
      </c>
      <c r="C24" s="33">
        <v>3.1E-2</v>
      </c>
      <c r="D24" s="32">
        <f>B24*C24</f>
        <v>57.35</v>
      </c>
      <c r="E24" s="34">
        <v>4.65E-2</v>
      </c>
      <c r="F24" s="35">
        <f>B24*E24</f>
        <v>86.025000000000006</v>
      </c>
      <c r="G24" s="84"/>
      <c r="H24" s="86"/>
    </row>
    <row r="25" spans="1:11" ht="17.25" customHeight="1" x14ac:dyDescent="0.25">
      <c r="A25" s="31" t="s">
        <v>14</v>
      </c>
      <c r="B25" s="32">
        <f>$B$3</f>
        <v>1850</v>
      </c>
      <c r="C25" s="33">
        <v>8.0000000000000002E-3</v>
      </c>
      <c r="D25" s="32">
        <f>B25*C25</f>
        <v>14.8</v>
      </c>
      <c r="E25" s="34">
        <v>1.2E-2</v>
      </c>
      <c r="F25" s="35">
        <f>B25*E25</f>
        <v>22.2</v>
      </c>
      <c r="G25" s="84"/>
      <c r="H25" s="86"/>
      <c r="I25" s="202"/>
    </row>
    <row r="26" spans="1:11" ht="17.25" customHeight="1" x14ac:dyDescent="0.25">
      <c r="A26" s="52" t="s">
        <v>26</v>
      </c>
      <c r="B26" s="53"/>
      <c r="C26" s="54"/>
      <c r="D26" s="53">
        <v>32</v>
      </c>
      <c r="E26" s="55"/>
      <c r="F26" s="56">
        <v>65</v>
      </c>
      <c r="G26" s="84"/>
      <c r="H26" s="86"/>
      <c r="I26" s="203"/>
    </row>
    <row r="27" spans="1:11" ht="17.25" customHeight="1" x14ac:dyDescent="0.25">
      <c r="A27" s="31" t="s">
        <v>42</v>
      </c>
      <c r="B27" s="32">
        <f>B25</f>
        <v>1850</v>
      </c>
      <c r="C27" s="33">
        <v>6.1999999999999998E-3</v>
      </c>
      <c r="D27" s="32">
        <f>B27*C27</f>
        <v>11.469999999999999</v>
      </c>
      <c r="E27" s="34">
        <v>9.4999999999999998E-3</v>
      </c>
      <c r="F27" s="57">
        <f>E27*B27</f>
        <v>17.574999999999999</v>
      </c>
    </row>
    <row r="28" spans="1:11" ht="17.25" customHeight="1" x14ac:dyDescent="0.25">
      <c r="A28" s="31" t="s">
        <v>43</v>
      </c>
      <c r="B28" s="32">
        <f>F26+F27</f>
        <v>82.575000000000003</v>
      </c>
      <c r="C28" s="33">
        <v>2.4E-2</v>
      </c>
      <c r="D28" s="32">
        <f>C28*B28</f>
        <v>1.9818</v>
      </c>
      <c r="E28" s="58"/>
      <c r="F28" s="57"/>
      <c r="G28" s="84"/>
      <c r="H28" s="86"/>
      <c r="I28" s="82"/>
    </row>
    <row r="29" spans="1:11" ht="17.25" customHeight="1" x14ac:dyDescent="0.25">
      <c r="A29" s="31" t="s">
        <v>44</v>
      </c>
      <c r="B29" s="32">
        <f>B28</f>
        <v>82.575000000000003</v>
      </c>
      <c r="C29" s="33">
        <v>5.0999999999999997E-2</v>
      </c>
      <c r="D29" s="32">
        <f>C29*B29</f>
        <v>4.2113249999999995</v>
      </c>
      <c r="E29" s="58"/>
      <c r="F29" s="57"/>
      <c r="G29" s="84"/>
      <c r="H29" s="82"/>
      <c r="I29" s="1"/>
    </row>
    <row r="30" spans="1:11" ht="17.25" customHeight="1" x14ac:dyDescent="0.25">
      <c r="A30" s="31" t="s">
        <v>45</v>
      </c>
      <c r="B30" s="32">
        <f>B29</f>
        <v>82.575000000000003</v>
      </c>
      <c r="C30" s="33">
        <v>5.0000000000000001E-3</v>
      </c>
      <c r="D30" s="32">
        <f>C30*B30</f>
        <v>0.41287500000000005</v>
      </c>
      <c r="E30" s="58"/>
      <c r="F30" s="57"/>
      <c r="G30" s="84"/>
      <c r="H30" s="51"/>
    </row>
    <row r="31" spans="1:11" ht="17.25" customHeight="1" x14ac:dyDescent="0.25">
      <c r="A31" s="31"/>
      <c r="B31" s="32"/>
      <c r="C31" s="33"/>
      <c r="D31" s="32"/>
      <c r="E31" s="58"/>
      <c r="F31" s="57"/>
      <c r="G31" s="84"/>
      <c r="H31" s="51"/>
    </row>
    <row r="32" spans="1:11" ht="23.25" customHeight="1" x14ac:dyDescent="0.25">
      <c r="A32" s="46" t="s">
        <v>116</v>
      </c>
      <c r="B32" s="32"/>
      <c r="C32" s="33"/>
      <c r="D32" s="32"/>
      <c r="E32" s="58"/>
      <c r="F32" s="57"/>
      <c r="G32" s="84"/>
      <c r="H32" s="82"/>
      <c r="I32" s="1"/>
    </row>
    <row r="33" spans="1:9" ht="24" customHeight="1" x14ac:dyDescent="0.25">
      <c r="A33" s="31" t="s">
        <v>113</v>
      </c>
      <c r="B33" s="32">
        <f>B18</f>
        <v>1850</v>
      </c>
      <c r="C33" s="33"/>
      <c r="D33" s="32"/>
      <c r="E33" s="58">
        <v>6.7999999999999996E-3</v>
      </c>
      <c r="F33" s="57">
        <f>E33*B33</f>
        <v>12.58</v>
      </c>
    </row>
    <row r="34" spans="1:9" ht="24" customHeight="1" x14ac:dyDescent="0.25">
      <c r="A34" s="31" t="s">
        <v>117</v>
      </c>
      <c r="B34" s="32">
        <f>B33</f>
        <v>1850</v>
      </c>
      <c r="C34" s="33"/>
      <c r="D34" s="32"/>
      <c r="E34" s="58">
        <v>0.01</v>
      </c>
      <c r="F34" s="57">
        <f>E34*B34</f>
        <v>18.5</v>
      </c>
      <c r="G34" s="83"/>
      <c r="H34" s="82"/>
      <c r="I34" s="1"/>
    </row>
    <row r="35" spans="1:9" x14ac:dyDescent="0.25">
      <c r="A35" s="31"/>
      <c r="B35" s="32"/>
      <c r="C35" s="33"/>
      <c r="D35" s="32"/>
      <c r="E35" s="58"/>
      <c r="F35" s="57"/>
    </row>
    <row r="36" spans="1:9" x14ac:dyDescent="0.25">
      <c r="A36" s="31"/>
      <c r="B36" s="32"/>
      <c r="C36" s="33"/>
      <c r="D36" s="32"/>
      <c r="E36" s="58"/>
      <c r="F36" s="57"/>
    </row>
    <row r="37" spans="1:9" x14ac:dyDescent="0.25">
      <c r="A37" s="59" t="s">
        <v>21</v>
      </c>
      <c r="B37" s="60"/>
      <c r="C37" s="111"/>
      <c r="D37" s="61">
        <f>SUM(D6:D30)</f>
        <v>460.96100000000001</v>
      </c>
      <c r="E37" s="62"/>
      <c r="F37" s="63">
        <f>SUM(F6:F34)</f>
        <v>618.54600000000016</v>
      </c>
    </row>
    <row r="38" spans="1:9" ht="13.5" thickBot="1" x14ac:dyDescent="0.3">
      <c r="A38" s="64" t="s">
        <v>118</v>
      </c>
      <c r="B38" s="65"/>
      <c r="C38" s="66"/>
      <c r="D38" s="67">
        <f>B3-D37</f>
        <v>1389.039</v>
      </c>
      <c r="E38" s="68"/>
      <c r="F38" s="69"/>
    </row>
    <row r="39" spans="1:9" x14ac:dyDescent="0.25">
      <c r="A39" s="71"/>
      <c r="B39" s="71"/>
      <c r="C39" s="71"/>
      <c r="D39" s="71"/>
      <c r="E39" s="71"/>
      <c r="F39" s="71"/>
    </row>
  </sheetData>
  <mergeCells count="10">
    <mergeCell ref="I17:I18"/>
    <mergeCell ref="I19:I20"/>
    <mergeCell ref="I25:I26"/>
    <mergeCell ref="F4:F5"/>
    <mergeCell ref="A1:E1"/>
    <mergeCell ref="A4:A5"/>
    <mergeCell ref="B4:B5"/>
    <mergeCell ref="C4:C5"/>
    <mergeCell ref="D4:D5"/>
    <mergeCell ref="E4:E5"/>
  </mergeCells>
  <pageMargins left="0" right="0" top="0" bottom="0" header="0" footer="0"/>
  <pageSetup paperSize="9" orientation="landscape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zoomScaleNormal="100" workbookViewId="0">
      <selection activeCell="I6" sqref="I6"/>
    </sheetView>
  </sheetViews>
  <sheetFormatPr baseColWidth="10" defaultRowHeight="12" x14ac:dyDescent="0.25"/>
  <cols>
    <col min="1" max="1" width="54" style="26" customWidth="1"/>
    <col min="2" max="2" width="12" style="26" bestFit="1" customWidth="1"/>
    <col min="3" max="3" width="8.28515625" style="26" bestFit="1" customWidth="1"/>
    <col min="4" max="4" width="13" style="26" bestFit="1" customWidth="1"/>
    <col min="5" max="5" width="9" style="26" bestFit="1" customWidth="1"/>
    <col min="6" max="6" width="22.7109375" style="26" customWidth="1"/>
    <col min="7" max="7" width="21.7109375" style="114" bestFit="1" customWidth="1"/>
    <col min="8" max="8" width="25" style="115" bestFit="1" customWidth="1"/>
    <col min="9" max="11" width="12" style="26" bestFit="1" customWidth="1"/>
    <col min="12" max="16384" width="11.42578125" style="26"/>
  </cols>
  <sheetData>
    <row r="1" spans="1:12" ht="15" customHeight="1" thickBot="1" x14ac:dyDescent="0.25">
      <c r="A1" s="204" t="s">
        <v>30</v>
      </c>
      <c r="B1" s="205"/>
      <c r="C1" s="205"/>
      <c r="D1" s="205"/>
      <c r="E1" s="205"/>
      <c r="F1" s="113">
        <v>8000</v>
      </c>
    </row>
    <row r="2" spans="1:12" ht="15" customHeight="1" thickBot="1" x14ac:dyDescent="0.25">
      <c r="A2" s="116"/>
      <c r="B2" s="117"/>
      <c r="C2" s="117"/>
      <c r="D2" s="117"/>
      <c r="E2" s="117"/>
      <c r="F2" s="117"/>
    </row>
    <row r="3" spans="1:12" ht="15" customHeight="1" x14ac:dyDescent="0.2">
      <c r="A3" s="118" t="s">
        <v>9</v>
      </c>
      <c r="B3" s="119">
        <v>8000</v>
      </c>
      <c r="C3" s="120"/>
      <c r="D3" s="120"/>
      <c r="E3" s="120"/>
      <c r="F3" s="120"/>
    </row>
    <row r="4" spans="1:12" ht="15" customHeight="1" x14ac:dyDescent="0.25">
      <c r="A4" s="206"/>
      <c r="B4" s="207" t="s">
        <v>15</v>
      </c>
      <c r="C4" s="207" t="s">
        <v>23</v>
      </c>
      <c r="D4" s="207" t="s">
        <v>10</v>
      </c>
      <c r="E4" s="208" t="s">
        <v>24</v>
      </c>
      <c r="F4" s="208" t="s">
        <v>16</v>
      </c>
    </row>
    <row r="5" spans="1:12" ht="15" customHeight="1" x14ac:dyDescent="0.25">
      <c r="A5" s="206"/>
      <c r="B5" s="207"/>
      <c r="C5" s="207"/>
      <c r="D5" s="207"/>
      <c r="E5" s="208"/>
      <c r="F5" s="208"/>
    </row>
    <row r="6" spans="1:12" ht="15" customHeight="1" x14ac:dyDescent="0.25">
      <c r="A6" s="121" t="s">
        <v>93</v>
      </c>
      <c r="B6" s="122">
        <f>$B$3</f>
        <v>8000</v>
      </c>
      <c r="C6" s="123">
        <v>7.4999999999999997E-3</v>
      </c>
      <c r="D6" s="122">
        <f>B6*C6</f>
        <v>60</v>
      </c>
      <c r="E6" s="124">
        <v>0.12889999999999999</v>
      </c>
      <c r="F6" s="125">
        <f>B6*E6</f>
        <v>1031.1999999999998</v>
      </c>
    </row>
    <row r="7" spans="1:12" ht="15" customHeight="1" thickBot="1" x14ac:dyDescent="0.3">
      <c r="A7" s="121" t="s">
        <v>94</v>
      </c>
      <c r="B7" s="122">
        <v>3269</v>
      </c>
      <c r="C7" s="123">
        <v>6.9000000000000006E-2</v>
      </c>
      <c r="D7" s="122">
        <f>B7*C7</f>
        <v>225.56100000000001</v>
      </c>
      <c r="E7" s="124">
        <v>8.5500000000000007E-2</v>
      </c>
      <c r="F7" s="125">
        <f t="shared" ref="F7:F14" si="0">B7*E7</f>
        <v>279.49950000000001</v>
      </c>
    </row>
    <row r="8" spans="1:12" ht="15" customHeight="1" x14ac:dyDescent="0.25">
      <c r="A8" s="121" t="s">
        <v>95</v>
      </c>
      <c r="B8" s="122">
        <f>B6</f>
        <v>8000</v>
      </c>
      <c r="C8" s="123">
        <v>4.0000000000000001E-3</v>
      </c>
      <c r="D8" s="122">
        <f>B8*C8</f>
        <v>32</v>
      </c>
      <c r="E8" s="124">
        <v>1.9E-2</v>
      </c>
      <c r="F8" s="125">
        <f t="shared" si="0"/>
        <v>152</v>
      </c>
      <c r="H8" s="230"/>
      <c r="I8" s="231" t="s">
        <v>124</v>
      </c>
      <c r="J8" s="231" t="s">
        <v>125</v>
      </c>
      <c r="K8" s="232" t="s">
        <v>123</v>
      </c>
    </row>
    <row r="9" spans="1:12" ht="15" customHeight="1" x14ac:dyDescent="0.25">
      <c r="A9" s="121" t="s">
        <v>96</v>
      </c>
      <c r="B9" s="122">
        <f>B8</f>
        <v>8000</v>
      </c>
      <c r="C9" s="126"/>
      <c r="D9" s="127"/>
      <c r="E9" s="128">
        <v>0.01</v>
      </c>
      <c r="F9" s="125">
        <f t="shared" si="0"/>
        <v>80</v>
      </c>
      <c r="H9" s="233" t="s">
        <v>121</v>
      </c>
      <c r="I9" s="234">
        <f>D22</f>
        <v>192</v>
      </c>
      <c r="J9" s="234">
        <f>F22+F23</f>
        <v>336</v>
      </c>
      <c r="K9" s="235">
        <f>SUM(I9:J9)</f>
        <v>528</v>
      </c>
    </row>
    <row r="10" spans="1:12" ht="15" customHeight="1" x14ac:dyDescent="0.25">
      <c r="A10" s="121" t="s">
        <v>97</v>
      </c>
      <c r="B10" s="122">
        <f>B9</f>
        <v>8000</v>
      </c>
      <c r="C10" s="126"/>
      <c r="D10" s="127"/>
      <c r="E10" s="124">
        <v>3.4500000000000003E-2</v>
      </c>
      <c r="F10" s="125">
        <f t="shared" si="0"/>
        <v>276</v>
      </c>
      <c r="H10" s="233" t="s">
        <v>122</v>
      </c>
      <c r="I10" s="234">
        <f>SUM(D6:D17)+D40+D41+D42</f>
        <v>961.56379999999979</v>
      </c>
      <c r="J10" s="234">
        <f>SUM(F6:F19)</f>
        <v>2192.0485000000003</v>
      </c>
      <c r="K10" s="235">
        <f>SUM(I10:J10)</f>
        <v>3153.6123000000002</v>
      </c>
    </row>
    <row r="11" spans="1:12" ht="15" customHeight="1" x14ac:dyDescent="0.25">
      <c r="A11" s="121" t="s">
        <v>155</v>
      </c>
      <c r="B11" s="122">
        <f>B10</f>
        <v>8000</v>
      </c>
      <c r="C11" s="126"/>
      <c r="D11" s="127"/>
      <c r="E11" s="124">
        <v>1.7999999999999999E-2</v>
      </c>
      <c r="F11" s="125">
        <f t="shared" si="0"/>
        <v>144</v>
      </c>
      <c r="H11" s="236" t="s">
        <v>126</v>
      </c>
      <c r="I11" s="234">
        <f>SUM(I9:I10)</f>
        <v>1153.5637999999999</v>
      </c>
      <c r="J11" s="234">
        <f>SUM(J9:J10)</f>
        <v>2528.0485000000003</v>
      </c>
      <c r="K11" s="235">
        <f>SUM(I11:J11)</f>
        <v>3681.6123000000002</v>
      </c>
      <c r="L11" s="156">
        <f>K11+' bulletin non-cadre exemple'!K11</f>
        <v>4423.6193000000003</v>
      </c>
    </row>
    <row r="12" spans="1:12" ht="15" customHeight="1" x14ac:dyDescent="0.25">
      <c r="A12" s="121" t="s">
        <v>98</v>
      </c>
      <c r="B12" s="122">
        <f>B7</f>
        <v>3269</v>
      </c>
      <c r="C12" s="126"/>
      <c r="D12" s="127"/>
      <c r="E12" s="124">
        <v>1E-3</v>
      </c>
      <c r="F12" s="125">
        <f t="shared" si="0"/>
        <v>3.2690000000000001</v>
      </c>
      <c r="H12" s="233"/>
      <c r="I12" s="237"/>
      <c r="J12" s="237"/>
      <c r="K12" s="238"/>
    </row>
    <row r="13" spans="1:12" ht="15" customHeight="1" x14ac:dyDescent="0.25">
      <c r="A13" s="121" t="s">
        <v>99</v>
      </c>
      <c r="B13" s="122">
        <f>B3</f>
        <v>8000</v>
      </c>
      <c r="C13" s="126"/>
      <c r="D13" s="127"/>
      <c r="E13" s="124">
        <v>3.0000000000000001E-3</v>
      </c>
      <c r="F13" s="125">
        <f t="shared" si="0"/>
        <v>24</v>
      </c>
      <c r="H13" s="233" t="s">
        <v>111</v>
      </c>
      <c r="I13" s="234">
        <f>D26+D27+D28+D33+D34+D35</f>
        <v>551.4079999999999</v>
      </c>
      <c r="J13" s="234">
        <f>F26+F27+F28+F33+F34+F35</f>
        <v>876.42200000000003</v>
      </c>
      <c r="K13" s="235">
        <f>SUM(I13:J13)</f>
        <v>1427.83</v>
      </c>
    </row>
    <row r="14" spans="1:12" ht="15" customHeight="1" x14ac:dyDescent="0.25">
      <c r="A14" s="121" t="s">
        <v>100</v>
      </c>
      <c r="B14" s="122">
        <f>B13</f>
        <v>8000</v>
      </c>
      <c r="C14" s="126"/>
      <c r="D14" s="127"/>
      <c r="E14" s="124">
        <v>2.5000000000000001E-2</v>
      </c>
      <c r="F14" s="125">
        <f t="shared" si="0"/>
        <v>200</v>
      </c>
      <c r="H14" s="233" t="s">
        <v>127</v>
      </c>
      <c r="I14" s="239">
        <f>D37+D39</f>
        <v>81.599999999999994</v>
      </c>
      <c r="J14" s="239">
        <f>F37+F38+F39</f>
        <v>190.035</v>
      </c>
      <c r="K14" s="235">
        <f>SUM(I14:J14)</f>
        <v>271.63499999999999</v>
      </c>
    </row>
    <row r="15" spans="1:12" ht="15" customHeight="1" x14ac:dyDescent="0.25">
      <c r="A15" s="121" t="s">
        <v>4</v>
      </c>
      <c r="B15" s="122">
        <f>$B$3*0.9825</f>
        <v>7860</v>
      </c>
      <c r="C15" s="123">
        <v>2.4E-2</v>
      </c>
      <c r="D15" s="122">
        <f>B15*C15</f>
        <v>188.64000000000001</v>
      </c>
      <c r="E15" s="129"/>
      <c r="F15" s="130"/>
      <c r="H15" s="236" t="s">
        <v>128</v>
      </c>
      <c r="I15" s="234">
        <f>SUM(I13:I14)</f>
        <v>633.00799999999992</v>
      </c>
      <c r="J15" s="234">
        <f>SUM(J13:J14)</f>
        <v>1066.4570000000001</v>
      </c>
      <c r="K15" s="235">
        <f>SUM(I15:J15)</f>
        <v>1699.4650000000001</v>
      </c>
    </row>
    <row r="16" spans="1:12" ht="15" customHeight="1" x14ac:dyDescent="0.25">
      <c r="A16" s="121" t="s">
        <v>5</v>
      </c>
      <c r="B16" s="122">
        <f>$B$3*0.9825</f>
        <v>7860</v>
      </c>
      <c r="C16" s="123">
        <v>5.0999999999999997E-2</v>
      </c>
      <c r="D16" s="122">
        <f>B16*C16</f>
        <v>400.85999999999996</v>
      </c>
      <c r="E16" s="129"/>
      <c r="F16" s="130"/>
      <c r="H16" s="240"/>
      <c r="I16" s="241"/>
      <c r="J16" s="237"/>
      <c r="K16" s="238"/>
    </row>
    <row r="17" spans="1:12" ht="15" customHeight="1" x14ac:dyDescent="0.25">
      <c r="A17" s="121" t="s">
        <v>6</v>
      </c>
      <c r="B17" s="122">
        <f>$B$3*0.9825</f>
        <v>7860</v>
      </c>
      <c r="C17" s="123">
        <v>5.0000000000000001E-3</v>
      </c>
      <c r="D17" s="122">
        <f>B17*C17</f>
        <v>39.300000000000004</v>
      </c>
      <c r="E17" s="129"/>
      <c r="F17" s="130"/>
      <c r="H17" s="242" t="s">
        <v>129</v>
      </c>
      <c r="I17" s="243"/>
      <c r="J17" s="239">
        <f>F45</f>
        <v>54.4</v>
      </c>
      <c r="K17" s="244">
        <f>J17</f>
        <v>54.4</v>
      </c>
    </row>
    <row r="18" spans="1:12" ht="15" customHeight="1" x14ac:dyDescent="0.25">
      <c r="A18" s="31" t="s">
        <v>91</v>
      </c>
      <c r="B18" s="122">
        <f>$B$3</f>
        <v>8000</v>
      </c>
      <c r="C18" s="42"/>
      <c r="D18" s="32"/>
      <c r="E18" s="112">
        <v>1.6000000000000001E-4</v>
      </c>
      <c r="F18" s="125">
        <f>B18*E18</f>
        <v>1.28</v>
      </c>
      <c r="H18" s="242" t="s">
        <v>130</v>
      </c>
      <c r="I18" s="245"/>
      <c r="J18" s="239">
        <f>F46</f>
        <v>80</v>
      </c>
      <c r="K18" s="244">
        <f>J18</f>
        <v>80</v>
      </c>
    </row>
    <row r="19" spans="1:12" ht="15" customHeight="1" x14ac:dyDescent="0.25">
      <c r="A19" s="31" t="s">
        <v>92</v>
      </c>
      <c r="B19" s="122">
        <f>$B$3</f>
        <v>8000</v>
      </c>
      <c r="C19" s="42"/>
      <c r="D19" s="32"/>
      <c r="E19" s="34">
        <v>1E-4</v>
      </c>
      <c r="F19" s="125">
        <f>B19*E19</f>
        <v>0.8</v>
      </c>
      <c r="H19" s="242" t="s">
        <v>131</v>
      </c>
      <c r="I19" s="243"/>
      <c r="J19" s="239">
        <f>SUM(J17:J18)</f>
        <v>134.4</v>
      </c>
      <c r="K19" s="244">
        <f>SUM(K17:K18)</f>
        <v>134.4</v>
      </c>
    </row>
    <row r="20" spans="1:12" ht="15" customHeight="1" x14ac:dyDescent="0.25">
      <c r="A20" s="131"/>
      <c r="B20" s="132"/>
      <c r="C20" s="133"/>
      <c r="D20" s="132"/>
      <c r="E20" s="134"/>
      <c r="F20" s="132"/>
      <c r="G20" s="135"/>
      <c r="H20" s="242"/>
      <c r="I20" s="245"/>
      <c r="J20" s="237"/>
      <c r="K20" s="238"/>
    </row>
    <row r="21" spans="1:12" ht="15" customHeight="1" x14ac:dyDescent="0.25">
      <c r="A21" s="137" t="s">
        <v>19</v>
      </c>
      <c r="B21" s="137"/>
      <c r="C21" s="126"/>
      <c r="D21" s="126"/>
      <c r="E21" s="129"/>
      <c r="F21" s="138"/>
      <c r="G21" s="135"/>
      <c r="H21" s="240" t="s">
        <v>132</v>
      </c>
      <c r="I21" s="246">
        <f>I15+I11</f>
        <v>1786.5717999999997</v>
      </c>
      <c r="J21" s="246">
        <f>J19+J15+J11</f>
        <v>3728.9055000000008</v>
      </c>
      <c r="K21" s="247">
        <f>K19+K15+K11</f>
        <v>5515.4773000000005</v>
      </c>
    </row>
    <row r="22" spans="1:12" ht="15" customHeight="1" x14ac:dyDescent="0.25">
      <c r="A22" s="121" t="s">
        <v>101</v>
      </c>
      <c r="B22" s="122">
        <f>$B$3</f>
        <v>8000</v>
      </c>
      <c r="C22" s="123">
        <v>2.4E-2</v>
      </c>
      <c r="D22" s="122">
        <f>B22*C22</f>
        <v>192</v>
      </c>
      <c r="E22" s="124">
        <v>0.04</v>
      </c>
      <c r="F22" s="125">
        <f>B22*E22</f>
        <v>320</v>
      </c>
      <c r="G22" s="135"/>
      <c r="H22" s="240"/>
      <c r="I22" s="241"/>
      <c r="J22" s="237"/>
      <c r="K22" s="238"/>
    </row>
    <row r="23" spans="1:12" ht="15" customHeight="1" thickBot="1" x14ac:dyDescent="0.3">
      <c r="A23" s="121" t="s">
        <v>102</v>
      </c>
      <c r="B23" s="122">
        <f>$B$3</f>
        <v>8000</v>
      </c>
      <c r="C23" s="126"/>
      <c r="D23" s="127"/>
      <c r="E23" s="124">
        <v>2E-3</v>
      </c>
      <c r="F23" s="125">
        <f>B23*E23</f>
        <v>16</v>
      </c>
      <c r="G23" s="135"/>
      <c r="H23" s="248" t="s">
        <v>133</v>
      </c>
      <c r="I23" s="249">
        <f>D48</f>
        <v>1786.5717999999999</v>
      </c>
      <c r="J23" s="249">
        <f>F48</f>
        <v>3728.9055000000003</v>
      </c>
      <c r="K23" s="250">
        <f>SUM(I23:J23)</f>
        <v>5515.4773000000005</v>
      </c>
    </row>
    <row r="24" spans="1:12" ht="14.25" customHeight="1" x14ac:dyDescent="0.25">
      <c r="A24" s="131"/>
      <c r="B24" s="132"/>
      <c r="C24" s="139"/>
      <c r="D24" s="132"/>
      <c r="E24" s="140"/>
      <c r="F24" s="132"/>
      <c r="G24" s="141"/>
      <c r="I24" s="135"/>
    </row>
    <row r="25" spans="1:12" ht="14.25" customHeight="1" x14ac:dyDescent="0.25">
      <c r="A25" s="137" t="s">
        <v>8</v>
      </c>
      <c r="B25" s="127"/>
      <c r="C25" s="126"/>
      <c r="D25" s="127"/>
      <c r="E25" s="129"/>
      <c r="F25" s="130"/>
      <c r="G25" s="141"/>
      <c r="I25" s="135"/>
    </row>
    <row r="26" spans="1:12" ht="14.25" customHeight="1" x14ac:dyDescent="0.25">
      <c r="A26" s="121" t="s">
        <v>103</v>
      </c>
      <c r="B26" s="122">
        <f>B27</f>
        <v>3269</v>
      </c>
      <c r="C26" s="123">
        <v>3.1E-2</v>
      </c>
      <c r="D26" s="122">
        <f>B26*C26</f>
        <v>101.339</v>
      </c>
      <c r="E26" s="124">
        <v>4.65E-2</v>
      </c>
      <c r="F26" s="125">
        <f>B26*E26</f>
        <v>152.0085</v>
      </c>
      <c r="G26" s="141"/>
      <c r="I26" s="135"/>
    </row>
    <row r="27" spans="1:12" ht="14.25" customHeight="1" x14ac:dyDescent="0.25">
      <c r="A27" s="121" t="s">
        <v>104</v>
      </c>
      <c r="B27" s="122">
        <f>B7</f>
        <v>3269</v>
      </c>
      <c r="C27" s="123">
        <v>8.0000000000000002E-3</v>
      </c>
      <c r="D27" s="122">
        <f>B27*C27</f>
        <v>26.152000000000001</v>
      </c>
      <c r="E27" s="124">
        <v>1.2E-2</v>
      </c>
      <c r="F27" s="125">
        <f>B27*E27</f>
        <v>39.228000000000002</v>
      </c>
      <c r="G27" s="141"/>
      <c r="I27" s="135"/>
    </row>
    <row r="28" spans="1:12" ht="14.25" customHeight="1" x14ac:dyDescent="0.25">
      <c r="A28" s="121" t="s">
        <v>105</v>
      </c>
      <c r="B28" s="122">
        <f>B22-B26</f>
        <v>4731</v>
      </c>
      <c r="C28" s="123">
        <v>8.9999999999999993E-3</v>
      </c>
      <c r="D28" s="122">
        <f>B28*C28</f>
        <v>42.578999999999994</v>
      </c>
      <c r="E28" s="124">
        <v>1.2999999999999999E-2</v>
      </c>
      <c r="F28" s="125">
        <f>B28*E28</f>
        <v>61.503</v>
      </c>
      <c r="G28" s="135"/>
      <c r="H28" s="136"/>
      <c r="I28" s="135"/>
    </row>
    <row r="29" spans="1:12" ht="14.25" customHeight="1" x14ac:dyDescent="0.25">
      <c r="A29" s="131"/>
      <c r="B29" s="122"/>
      <c r="C29" s="123"/>
      <c r="D29" s="132"/>
      <c r="E29" s="140"/>
      <c r="F29" s="132"/>
      <c r="G29" s="135"/>
      <c r="I29" s="135"/>
    </row>
    <row r="30" spans="1:12" ht="14.25" customHeight="1" x14ac:dyDescent="0.25">
      <c r="A30" s="121"/>
      <c r="B30" s="127"/>
      <c r="C30" s="126"/>
      <c r="D30" s="127"/>
      <c r="E30" s="142"/>
      <c r="F30" s="142"/>
      <c r="G30" s="135"/>
      <c r="I30" s="135"/>
    </row>
    <row r="31" spans="1:12" ht="14.25" customHeight="1" x14ac:dyDescent="0.25">
      <c r="A31" s="137" t="s">
        <v>31</v>
      </c>
      <c r="B31" s="127"/>
      <c r="C31" s="126"/>
      <c r="D31" s="127"/>
      <c r="E31" s="142"/>
      <c r="F31" s="142"/>
      <c r="G31" s="135"/>
      <c r="I31" s="135"/>
    </row>
    <row r="32" spans="1:12" ht="14.25" customHeight="1" x14ac:dyDescent="0.25">
      <c r="A32" s="121"/>
      <c r="B32" s="127"/>
      <c r="C32" s="126"/>
      <c r="D32" s="127"/>
      <c r="E32" s="142"/>
      <c r="F32" s="142"/>
      <c r="G32" s="135"/>
      <c r="I32" s="135"/>
      <c r="L32" s="156"/>
    </row>
    <row r="33" spans="1:9" ht="14.25" customHeight="1" x14ac:dyDescent="0.25">
      <c r="A33" s="121" t="s">
        <v>106</v>
      </c>
      <c r="B33" s="122">
        <f>B28</f>
        <v>4731</v>
      </c>
      <c r="C33" s="123">
        <v>7.8E-2</v>
      </c>
      <c r="D33" s="143">
        <f>B33*C33</f>
        <v>369.01799999999997</v>
      </c>
      <c r="E33" s="144">
        <v>0.1275</v>
      </c>
      <c r="F33" s="145">
        <f>E33*B33</f>
        <v>603.20249999999999</v>
      </c>
      <c r="G33" s="135"/>
      <c r="I33" s="135"/>
    </row>
    <row r="34" spans="1:9" ht="14.25" customHeight="1" x14ac:dyDescent="0.25">
      <c r="A34" s="121" t="s">
        <v>107</v>
      </c>
      <c r="B34" s="122">
        <f>B22</f>
        <v>8000</v>
      </c>
      <c r="C34" s="123">
        <v>1.2999999999999999E-3</v>
      </c>
      <c r="D34" s="143">
        <f>B34*C34</f>
        <v>10.4</v>
      </c>
      <c r="E34" s="144">
        <v>2.2000000000000001E-3</v>
      </c>
      <c r="F34" s="145">
        <f>E34*B34</f>
        <v>17.600000000000001</v>
      </c>
      <c r="G34" s="135"/>
      <c r="H34" s="136"/>
      <c r="I34" s="209"/>
    </row>
    <row r="35" spans="1:9" ht="14.25" customHeight="1" x14ac:dyDescent="0.25">
      <c r="A35" s="121" t="s">
        <v>108</v>
      </c>
      <c r="B35" s="122">
        <f>B34</f>
        <v>8000</v>
      </c>
      <c r="C35" s="146">
        <v>2.4000000000000001E-4</v>
      </c>
      <c r="D35" s="143">
        <f>B35*C35</f>
        <v>1.9200000000000002</v>
      </c>
      <c r="E35" s="147">
        <v>3.6000000000000002E-4</v>
      </c>
      <c r="F35" s="145">
        <f>E35*B35</f>
        <v>2.8800000000000003</v>
      </c>
      <c r="G35" s="135"/>
      <c r="H35" s="136"/>
      <c r="I35" s="210"/>
    </row>
    <row r="36" spans="1:9" ht="14.25" customHeight="1" x14ac:dyDescent="0.25">
      <c r="A36" s="121"/>
      <c r="B36" s="122"/>
      <c r="C36" s="126"/>
      <c r="D36" s="127"/>
      <c r="E36" s="142"/>
      <c r="F36" s="142"/>
      <c r="G36" s="135"/>
    </row>
    <row r="37" spans="1:9" ht="14.25" customHeight="1" x14ac:dyDescent="0.25">
      <c r="A37" s="121" t="s">
        <v>26</v>
      </c>
      <c r="B37" s="127"/>
      <c r="C37" s="126"/>
      <c r="D37" s="143">
        <v>32</v>
      </c>
      <c r="E37" s="145"/>
      <c r="F37" s="145">
        <v>65</v>
      </c>
      <c r="G37" s="135"/>
    </row>
    <row r="38" spans="1:9" ht="14.25" customHeight="1" x14ac:dyDescent="0.25">
      <c r="A38" s="121" t="s">
        <v>109</v>
      </c>
      <c r="B38" s="122">
        <f>B27</f>
        <v>3269</v>
      </c>
      <c r="C38" s="126"/>
      <c r="D38" s="143"/>
      <c r="E38" s="148">
        <v>1.4999999999999999E-2</v>
      </c>
      <c r="F38" s="145">
        <f>E38*B38</f>
        <v>49.034999999999997</v>
      </c>
      <c r="G38" s="135"/>
      <c r="H38" s="149"/>
      <c r="I38" s="209"/>
    </row>
    <row r="39" spans="1:9" ht="14.25" customHeight="1" x14ac:dyDescent="0.25">
      <c r="A39" s="121" t="s">
        <v>110</v>
      </c>
      <c r="B39" s="122">
        <f>B35</f>
        <v>8000</v>
      </c>
      <c r="C39" s="123">
        <v>6.1999999999999998E-3</v>
      </c>
      <c r="D39" s="143">
        <f>C39*B39</f>
        <v>49.6</v>
      </c>
      <c r="E39" s="148">
        <v>9.4999999999999998E-3</v>
      </c>
      <c r="F39" s="145">
        <f>E39*B39</f>
        <v>76</v>
      </c>
      <c r="G39" s="135"/>
      <c r="H39" s="149"/>
      <c r="I39" s="210"/>
    </row>
    <row r="40" spans="1:9" ht="14.25" customHeight="1" x14ac:dyDescent="0.25">
      <c r="A40" s="121" t="s">
        <v>27</v>
      </c>
      <c r="B40" s="143">
        <f>F37+F38+F39</f>
        <v>190.035</v>
      </c>
      <c r="C40" s="123">
        <v>5.0999999999999997E-2</v>
      </c>
      <c r="D40" s="143">
        <f>C40*B40</f>
        <v>9.6917849999999994</v>
      </c>
      <c r="E40" s="142"/>
      <c r="F40" s="142"/>
      <c r="G40" s="135"/>
    </row>
    <row r="41" spans="1:9" ht="14.25" customHeight="1" x14ac:dyDescent="0.25">
      <c r="A41" s="121" t="s">
        <v>28</v>
      </c>
      <c r="B41" s="143">
        <f>B40</f>
        <v>190.035</v>
      </c>
      <c r="C41" s="123">
        <v>2.4E-2</v>
      </c>
      <c r="D41" s="143">
        <f>C41*B41</f>
        <v>4.5608399999999998</v>
      </c>
      <c r="E41" s="142"/>
      <c r="F41" s="142"/>
      <c r="G41" s="135"/>
      <c r="H41" s="149"/>
      <c r="I41" s="115"/>
    </row>
    <row r="42" spans="1:9" ht="14.25" customHeight="1" x14ac:dyDescent="0.25">
      <c r="A42" s="121" t="s">
        <v>29</v>
      </c>
      <c r="B42" s="143">
        <f>B41</f>
        <v>190.035</v>
      </c>
      <c r="C42" s="123">
        <v>5.0000000000000001E-3</v>
      </c>
      <c r="D42" s="143">
        <f>C42*B42</f>
        <v>0.95017499999999999</v>
      </c>
      <c r="E42" s="142"/>
      <c r="F42" s="142"/>
    </row>
    <row r="43" spans="1:9" ht="14.25" customHeight="1" x14ac:dyDescent="0.25">
      <c r="A43" s="131"/>
      <c r="B43" s="127"/>
      <c r="C43" s="126"/>
      <c r="D43" s="150"/>
      <c r="E43" s="142"/>
      <c r="F43" s="142"/>
    </row>
    <row r="44" spans="1:9" ht="14.25" customHeight="1" x14ac:dyDescent="0.25">
      <c r="A44" s="163" t="s">
        <v>112</v>
      </c>
      <c r="B44" s="127"/>
      <c r="C44" s="126"/>
      <c r="D44" s="150"/>
      <c r="E44" s="142"/>
      <c r="F44" s="142"/>
    </row>
    <row r="45" spans="1:9" ht="14.25" customHeight="1" x14ac:dyDescent="0.25">
      <c r="A45" s="164" t="s">
        <v>113</v>
      </c>
      <c r="B45" s="150">
        <f>F1</f>
        <v>8000</v>
      </c>
      <c r="C45" s="126"/>
      <c r="D45" s="150"/>
      <c r="E45" s="144">
        <v>6.7999999999999996E-3</v>
      </c>
      <c r="F45" s="165">
        <f>E45*B45</f>
        <v>54.4</v>
      </c>
    </row>
    <row r="46" spans="1:9" ht="14.25" customHeight="1" x14ac:dyDescent="0.25">
      <c r="A46" s="164" t="s">
        <v>114</v>
      </c>
      <c r="B46" s="150">
        <f>B45</f>
        <v>8000</v>
      </c>
      <c r="C46" s="126"/>
      <c r="D46" s="150"/>
      <c r="E46" s="144">
        <v>0.01</v>
      </c>
      <c r="F46" s="165">
        <f>E46*B46</f>
        <v>80</v>
      </c>
    </row>
    <row r="47" spans="1:9" ht="14.25" customHeight="1" x14ac:dyDescent="0.25">
      <c r="A47" s="131"/>
      <c r="B47" s="127"/>
      <c r="C47" s="126"/>
      <c r="D47" s="150"/>
      <c r="E47" s="142"/>
      <c r="F47" s="142"/>
    </row>
    <row r="48" spans="1:9" ht="14.25" customHeight="1" x14ac:dyDescent="0.25">
      <c r="A48" s="151" t="s">
        <v>21</v>
      </c>
      <c r="B48" s="152"/>
      <c r="C48" s="137"/>
      <c r="D48" s="122">
        <f>SUM(D6:D43)</f>
        <v>1786.5717999999999</v>
      </c>
      <c r="E48" s="142"/>
      <c r="F48" s="122">
        <f>SUM(F6:F46)</f>
        <v>3728.9055000000003</v>
      </c>
      <c r="G48" s="135"/>
      <c r="H48" s="153"/>
    </row>
    <row r="49" spans="1:10" ht="14.25" customHeight="1" x14ac:dyDescent="0.25">
      <c r="A49" s="151" t="s">
        <v>32</v>
      </c>
      <c r="B49" s="152"/>
      <c r="C49" s="137"/>
      <c r="D49" s="154">
        <f>B3-D48</f>
        <v>6213.4282000000003</v>
      </c>
      <c r="E49" s="155"/>
      <c r="F49" s="142"/>
      <c r="G49" s="135"/>
      <c r="H49" s="153"/>
      <c r="J49" s="156"/>
    </row>
    <row r="50" spans="1:10" ht="14.25" customHeight="1" thickBot="1" x14ac:dyDescent="0.3">
      <c r="A50" s="157" t="s">
        <v>33</v>
      </c>
      <c r="B50" s="158"/>
      <c r="C50" s="159"/>
      <c r="D50" s="160">
        <f>B3-D48+F37+D42+D41+D17+D15</f>
        <v>6511.8792150000008</v>
      </c>
      <c r="E50" s="161"/>
      <c r="F50" s="161"/>
    </row>
    <row r="51" spans="1:10" ht="24" customHeight="1" x14ac:dyDescent="0.2">
      <c r="A51" s="71"/>
      <c r="B51" s="162"/>
      <c r="C51" s="162"/>
      <c r="D51" s="162"/>
      <c r="E51" s="162"/>
      <c r="F51" s="162"/>
    </row>
    <row r="52" spans="1:10" ht="24" customHeight="1" x14ac:dyDescent="0.25">
      <c r="A52" s="71"/>
      <c r="B52" s="71"/>
      <c r="C52" s="71"/>
      <c r="D52" s="72"/>
      <c r="E52" s="71"/>
      <c r="F52" s="72"/>
    </row>
    <row r="53" spans="1:10" ht="24" customHeight="1" x14ac:dyDescent="0.25">
      <c r="A53" s="71"/>
      <c r="B53" s="71"/>
      <c r="C53" s="71"/>
      <c r="D53" s="71"/>
      <c r="E53" s="71"/>
      <c r="F53" s="71"/>
      <c r="G53" s="166"/>
    </row>
    <row r="54" spans="1:10" x14ac:dyDescent="0.25">
      <c r="A54" s="71"/>
      <c r="B54" s="71"/>
      <c r="C54" s="71"/>
      <c r="D54" s="71"/>
      <c r="E54" s="71"/>
      <c r="F54" s="71"/>
    </row>
    <row r="55" spans="1:10" x14ac:dyDescent="0.25">
      <c r="A55" s="71"/>
      <c r="B55" s="71"/>
      <c r="C55" s="71"/>
      <c r="D55" s="71"/>
      <c r="E55" s="71"/>
      <c r="F55" s="71"/>
    </row>
    <row r="56" spans="1:10" x14ac:dyDescent="0.25">
      <c r="A56" s="71"/>
      <c r="B56" s="71"/>
      <c r="C56" s="71"/>
      <c r="D56" s="71"/>
      <c r="E56" s="71"/>
      <c r="F56" s="71"/>
    </row>
    <row r="57" spans="1:10" x14ac:dyDescent="0.25">
      <c r="A57" s="71"/>
      <c r="B57" s="71"/>
      <c r="C57" s="71"/>
      <c r="D57" s="71"/>
      <c r="E57" s="71"/>
      <c r="F57" s="71"/>
    </row>
    <row r="58" spans="1:10" x14ac:dyDescent="0.25">
      <c r="A58" s="71"/>
      <c r="B58" s="71"/>
      <c r="C58" s="71"/>
      <c r="D58" s="71"/>
      <c r="E58" s="71"/>
      <c r="F58" s="71"/>
    </row>
    <row r="59" spans="1:10" x14ac:dyDescent="0.25">
      <c r="A59" s="71"/>
      <c r="B59" s="71"/>
      <c r="C59" s="71"/>
      <c r="D59" s="71"/>
      <c r="E59" s="71"/>
      <c r="F59" s="71"/>
    </row>
  </sheetData>
  <mergeCells count="11">
    <mergeCell ref="I34:I35"/>
    <mergeCell ref="I38:I39"/>
    <mergeCell ref="F4:F5"/>
    <mergeCell ref="I17:I18"/>
    <mergeCell ref="I19:I20"/>
    <mergeCell ref="A1:E1"/>
    <mergeCell ref="A4:A5"/>
    <mergeCell ref="B4:B5"/>
    <mergeCell ref="C4:C5"/>
    <mergeCell ref="D4:D5"/>
    <mergeCell ref="E4:E5"/>
  </mergeCells>
  <pageMargins left="0" right="0" top="0" bottom="0" header="0" footer="0"/>
  <pageSetup paperSize="9" orientation="landscape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"/>
  <sheetViews>
    <sheetView topLeftCell="A22" workbookViewId="0">
      <selection activeCell="M29" sqref="M29"/>
    </sheetView>
  </sheetViews>
  <sheetFormatPr baseColWidth="10" defaultRowHeight="15" x14ac:dyDescent="0.25"/>
  <cols>
    <col min="1" max="1" width="11.42578125" style="2"/>
    <col min="2" max="2" width="78.85546875" style="2" bestFit="1" customWidth="1"/>
    <col min="3" max="3" width="15.5703125" style="2" customWidth="1"/>
    <col min="4" max="4" width="11.42578125" style="2"/>
    <col min="5" max="5" width="14.5703125" style="2" customWidth="1"/>
    <col min="6" max="6" width="13.85546875" style="2" bestFit="1" customWidth="1"/>
    <col min="7" max="8" width="0" style="2" hidden="1" customWidth="1"/>
    <col min="9" max="9" width="14.140625" style="2" hidden="1" customWidth="1"/>
    <col min="10" max="11" width="0" style="2" hidden="1" customWidth="1"/>
    <col min="12" max="16384" width="11.42578125" style="2"/>
  </cols>
  <sheetData>
    <row r="1" spans="2:10" ht="23.25" x14ac:dyDescent="0.25">
      <c r="B1" s="75" t="s">
        <v>25</v>
      </c>
    </row>
    <row r="2" spans="2:10" ht="15.75" thickBot="1" x14ac:dyDescent="0.3"/>
    <row r="3" spans="2:10" ht="22.5" customHeight="1" x14ac:dyDescent="0.25">
      <c r="B3" s="3"/>
      <c r="C3" s="4" t="s">
        <v>34</v>
      </c>
      <c r="D3" s="4" t="s">
        <v>35</v>
      </c>
      <c r="E3" s="5" t="s">
        <v>36</v>
      </c>
      <c r="G3" s="81"/>
      <c r="H3" s="170" t="s">
        <v>134</v>
      </c>
      <c r="I3" s="171" t="s">
        <v>135</v>
      </c>
      <c r="J3" s="2" t="s">
        <v>136</v>
      </c>
    </row>
    <row r="4" spans="2:10" ht="21" customHeight="1" x14ac:dyDescent="0.25">
      <c r="B4" s="11" t="s">
        <v>48</v>
      </c>
      <c r="C4" s="87">
        <f>' bulletin cadre'!B3+' bulletin non-cadre exemple'!B3</f>
        <v>9850</v>
      </c>
      <c r="D4" s="7">
        <v>2.5000000000000001E-2</v>
      </c>
      <c r="E4" s="24">
        <f t="shared" ref="E4:E13" si="0">ROUND(C4*D4,0)</f>
        <v>246</v>
      </c>
      <c r="F4" s="168">
        <f>C4*D4</f>
        <v>246.25</v>
      </c>
      <c r="H4" s="169">
        <v>148.5</v>
      </c>
      <c r="I4" s="169">
        <v>343.2</v>
      </c>
      <c r="J4" s="172">
        <f>SUM(H4:I4)</f>
        <v>491.7</v>
      </c>
    </row>
    <row r="5" spans="2:10" ht="21" customHeight="1" x14ac:dyDescent="0.25">
      <c r="B5" s="8" t="s">
        <v>119</v>
      </c>
      <c r="C5" s="87">
        <f>C4</f>
        <v>9850</v>
      </c>
      <c r="D5" s="7">
        <f>0.75%+12.89%+0.4%+1.9%+0.3%</f>
        <v>0.16240000000000002</v>
      </c>
      <c r="E5" s="24">
        <f t="shared" si="0"/>
        <v>1600</v>
      </c>
      <c r="F5" s="168">
        <f t="shared" ref="F5:F16" si="1">C5*D5</f>
        <v>1599.64</v>
      </c>
      <c r="H5" s="169">
        <v>998.91499999999996</v>
      </c>
      <c r="I5" s="169">
        <v>2228.9403000000002</v>
      </c>
      <c r="J5" s="172">
        <f>SUM(H5:I5)</f>
        <v>3227.8553000000002</v>
      </c>
    </row>
    <row r="6" spans="2:10" ht="21" customHeight="1" x14ac:dyDescent="0.25">
      <c r="B6" s="8" t="s">
        <v>49</v>
      </c>
      <c r="C6" s="87">
        <f>C5</f>
        <v>9850</v>
      </c>
      <c r="D6" s="7">
        <v>3.4500000000000003E-2</v>
      </c>
      <c r="E6" s="24">
        <f t="shared" si="0"/>
        <v>340</v>
      </c>
      <c r="F6" s="168">
        <f t="shared" si="1"/>
        <v>339.82500000000005</v>
      </c>
      <c r="H6" s="169">
        <v>1147.415</v>
      </c>
      <c r="I6" s="169">
        <v>2572.1403</v>
      </c>
      <c r="J6" s="173">
        <f>SUM(H6:I6)</f>
        <v>3719.5553</v>
      </c>
    </row>
    <row r="7" spans="2:10" ht="21" customHeight="1" x14ac:dyDescent="0.25">
      <c r="B7" s="8" t="s">
        <v>50</v>
      </c>
      <c r="C7" s="87">
        <f>' bulletin cadre'!B3</f>
        <v>8000</v>
      </c>
      <c r="D7" s="7">
        <v>1.7999999999999999E-2</v>
      </c>
      <c r="E7" s="24">
        <f t="shared" si="0"/>
        <v>144</v>
      </c>
      <c r="F7" s="168">
        <f t="shared" si="1"/>
        <v>144</v>
      </c>
      <c r="H7" s="169"/>
      <c r="I7" s="169"/>
    </row>
    <row r="8" spans="2:10" ht="21" customHeight="1" x14ac:dyDescent="0.25">
      <c r="B8" s="8" t="s">
        <v>51</v>
      </c>
      <c r="C8" s="87">
        <f>3269+1850</f>
        <v>5119</v>
      </c>
      <c r="D8" s="7">
        <v>0.1545</v>
      </c>
      <c r="E8" s="24">
        <f t="shared" si="0"/>
        <v>791</v>
      </c>
      <c r="F8" s="168">
        <f t="shared" si="1"/>
        <v>790.88549999999998</v>
      </c>
      <c r="H8" s="169">
        <v>219.375</v>
      </c>
      <c r="I8" s="169">
        <v>779.35</v>
      </c>
      <c r="J8" s="172">
        <f>SUM(H8:I8)</f>
        <v>998.72500000000002</v>
      </c>
    </row>
    <row r="9" spans="2:10" ht="21" customHeight="1" x14ac:dyDescent="0.25">
      <c r="B9" s="8" t="s">
        <v>52</v>
      </c>
      <c r="C9" s="87">
        <f>C8</f>
        <v>5119</v>
      </c>
      <c r="D9" s="7">
        <v>1E-3</v>
      </c>
      <c r="E9" s="24">
        <f t="shared" si="0"/>
        <v>5</v>
      </c>
      <c r="F9" s="168">
        <f t="shared" si="1"/>
        <v>5.1189999999999998</v>
      </c>
      <c r="H9" s="169">
        <v>96</v>
      </c>
      <c r="I9" s="169">
        <v>184.23499999999999</v>
      </c>
      <c r="J9" s="172">
        <f>SUM(H9:I9)</f>
        <v>280.23500000000001</v>
      </c>
    </row>
    <row r="10" spans="2:10" ht="21" customHeight="1" x14ac:dyDescent="0.25">
      <c r="B10" s="8" t="s">
        <v>53</v>
      </c>
      <c r="C10" s="87">
        <f>C4</f>
        <v>9850</v>
      </c>
      <c r="D10" s="7">
        <v>0.01</v>
      </c>
      <c r="E10" s="24">
        <f t="shared" si="0"/>
        <v>99</v>
      </c>
      <c r="F10" s="168">
        <f t="shared" si="1"/>
        <v>98.5</v>
      </c>
      <c r="H10" s="169">
        <v>315.375</v>
      </c>
      <c r="I10" s="169">
        <v>963.58500000000004</v>
      </c>
      <c r="J10" s="173">
        <f>SUM(H10:I10)</f>
        <v>1278.96</v>
      </c>
    </row>
    <row r="11" spans="2:10" ht="21" customHeight="1" x14ac:dyDescent="0.25">
      <c r="B11" s="8" t="s">
        <v>54</v>
      </c>
      <c r="C11" s="87">
        <f>' bulletin non-cadre exemple'!B15+' bulletin non-cadre exemple'!B28+' bulletin cadre'!B40+' bulletin cadre'!B16</f>
        <v>9950.2350000000006</v>
      </c>
      <c r="D11" s="7">
        <v>0.08</v>
      </c>
      <c r="E11" s="24">
        <f t="shared" si="0"/>
        <v>796</v>
      </c>
      <c r="F11" s="168">
        <f t="shared" si="1"/>
        <v>796.01880000000006</v>
      </c>
      <c r="H11" s="169"/>
      <c r="I11" s="169"/>
    </row>
    <row r="12" spans="2:10" ht="21" customHeight="1" x14ac:dyDescent="0.25">
      <c r="B12" s="8" t="s">
        <v>55</v>
      </c>
      <c r="C12" s="87">
        <f>C4</f>
        <v>9850</v>
      </c>
      <c r="D12" s="25">
        <v>1.6000000000000001E-4</v>
      </c>
      <c r="E12" s="24">
        <f t="shared" si="0"/>
        <v>2</v>
      </c>
      <c r="F12" s="168">
        <f t="shared" si="1"/>
        <v>1.5760000000000001</v>
      </c>
      <c r="H12" s="169">
        <v>15.299999999999999</v>
      </c>
      <c r="I12" s="169">
        <v>35.36</v>
      </c>
      <c r="J12" s="172">
        <f>SUM(H12:I12)</f>
        <v>50.66</v>
      </c>
    </row>
    <row r="13" spans="2:10" ht="21" customHeight="1" x14ac:dyDescent="0.25">
      <c r="B13" s="8" t="s">
        <v>120</v>
      </c>
      <c r="C13" s="87">
        <f>C12</f>
        <v>9850</v>
      </c>
      <c r="D13" s="25">
        <v>1E-4</v>
      </c>
      <c r="E13" s="24">
        <f t="shared" si="0"/>
        <v>1</v>
      </c>
      <c r="F13" s="168">
        <f t="shared" si="1"/>
        <v>0.9850000000000001</v>
      </c>
      <c r="H13" s="169">
        <v>22.5</v>
      </c>
      <c r="I13" s="169">
        <v>52</v>
      </c>
      <c r="J13" s="172">
        <f>SUM(H13:I13)</f>
        <v>74.5</v>
      </c>
    </row>
    <row r="14" spans="2:10" ht="21" customHeight="1" x14ac:dyDescent="0.25">
      <c r="B14" s="8" t="s">
        <v>37</v>
      </c>
      <c r="C14" s="88"/>
      <c r="D14" s="6"/>
      <c r="E14" s="167">
        <f>-' bulletin non-cadre exemple'!F19*-1</f>
        <v>-249.28</v>
      </c>
      <c r="F14" s="175">
        <f>' bulletin non-cadre exemple'!F19</f>
        <v>-249.28</v>
      </c>
      <c r="H14" s="169">
        <v>37.799999999999997</v>
      </c>
      <c r="I14" s="169">
        <v>87.36</v>
      </c>
      <c r="J14" s="173">
        <f>SUM(H14:I14)</f>
        <v>125.16</v>
      </c>
    </row>
    <row r="15" spans="2:10" ht="21" customHeight="1" x14ac:dyDescent="0.25">
      <c r="B15" s="8" t="s">
        <v>56</v>
      </c>
      <c r="C15" s="87">
        <f>C4</f>
        <v>9850</v>
      </c>
      <c r="D15" s="7">
        <v>6.4000000000000001E-2</v>
      </c>
      <c r="E15" s="24">
        <f>ROUND(C15*D15,0)</f>
        <v>630</v>
      </c>
      <c r="F15" s="168">
        <f t="shared" si="1"/>
        <v>630.4</v>
      </c>
      <c r="H15" s="169"/>
      <c r="I15" s="169"/>
    </row>
    <row r="16" spans="2:10" ht="25.5" customHeight="1" x14ac:dyDescent="0.25">
      <c r="B16" s="8" t="s">
        <v>57</v>
      </c>
      <c r="C16" s="87">
        <f>C15</f>
        <v>9850</v>
      </c>
      <c r="D16" s="7">
        <v>2E-3</v>
      </c>
      <c r="E16" s="24">
        <f>ROUND(C16*D16,0)</f>
        <v>20</v>
      </c>
      <c r="F16" s="168">
        <f t="shared" si="1"/>
        <v>19.7</v>
      </c>
      <c r="H16" s="169">
        <v>1500.59</v>
      </c>
      <c r="I16" s="169">
        <v>3623.0852999999997</v>
      </c>
      <c r="J16" s="172">
        <f>SUM(H16:I16)</f>
        <v>5123.6752999999999</v>
      </c>
    </row>
    <row r="17" spans="2:10" ht="24" customHeight="1" thickBot="1" x14ac:dyDescent="0.3">
      <c r="B17" s="9" t="s">
        <v>38</v>
      </c>
      <c r="C17" s="10"/>
      <c r="D17" s="10"/>
      <c r="E17" s="76">
        <f>SUM(E4:E16)</f>
        <v>4424.7199999999993</v>
      </c>
      <c r="F17" s="176">
        <f>SUM(F4:F16)</f>
        <v>4423.6192999999994</v>
      </c>
      <c r="H17" s="169"/>
      <c r="I17" s="169"/>
    </row>
    <row r="18" spans="2:10" x14ac:dyDescent="0.25">
      <c r="H18" s="169">
        <v>1500.59</v>
      </c>
      <c r="I18" s="169">
        <v>3623.0853000000002</v>
      </c>
      <c r="J18" s="172">
        <f>SUM(H18:I18)</f>
        <v>5123.6752999999999</v>
      </c>
    </row>
    <row r="19" spans="2:10" ht="24" thickBot="1" x14ac:dyDescent="0.3">
      <c r="B19" s="75" t="s">
        <v>65</v>
      </c>
    </row>
    <row r="20" spans="2:10" ht="21" customHeight="1" x14ac:dyDescent="0.25">
      <c r="B20" s="12"/>
      <c r="C20" s="13" t="s">
        <v>34</v>
      </c>
      <c r="D20" s="13" t="s">
        <v>35</v>
      </c>
      <c r="E20" s="14" t="s">
        <v>36</v>
      </c>
    </row>
    <row r="21" spans="2:10" ht="21" customHeight="1" x14ac:dyDescent="0.25">
      <c r="B21" s="15"/>
      <c r="C21" s="16"/>
      <c r="D21" s="17"/>
      <c r="E21" s="18"/>
    </row>
    <row r="22" spans="2:10" ht="21" customHeight="1" x14ac:dyDescent="0.25">
      <c r="B22" s="19" t="s">
        <v>39</v>
      </c>
      <c r="C22" s="16"/>
      <c r="D22" s="17"/>
      <c r="E22" s="18"/>
    </row>
    <row r="23" spans="2:10" ht="21" customHeight="1" x14ac:dyDescent="0.25">
      <c r="B23" s="15" t="s">
        <v>58</v>
      </c>
      <c r="C23" s="77">
        <f>+' bulletin cadre'!B33</f>
        <v>4731</v>
      </c>
      <c r="D23" s="20">
        <f>7.8%+0.9%+12.75%+1.3%</f>
        <v>0.22750000000000001</v>
      </c>
      <c r="E23" s="78">
        <f>C23*D23</f>
        <v>1076.3025</v>
      </c>
    </row>
    <row r="24" spans="2:10" ht="21" customHeight="1" x14ac:dyDescent="0.25">
      <c r="B24" s="15" t="s">
        <v>59</v>
      </c>
      <c r="C24" s="77">
        <f>' bulletin cadre'!B3</f>
        <v>8000</v>
      </c>
      <c r="D24" s="17">
        <v>3.5000000000000001E-3</v>
      </c>
      <c r="E24" s="78">
        <f>C24*D24</f>
        <v>28</v>
      </c>
    </row>
    <row r="25" spans="2:10" ht="21" customHeight="1" x14ac:dyDescent="0.25">
      <c r="B25" s="15" t="s">
        <v>60</v>
      </c>
      <c r="C25" s="77">
        <f>' bulletin cadre'!B26</f>
        <v>3269</v>
      </c>
      <c r="D25" s="17">
        <f>3.1%+4.65%+0.8%+1.2%</f>
        <v>9.7500000000000017E-2</v>
      </c>
      <c r="E25" s="78">
        <f>C25*D25</f>
        <v>318.72750000000008</v>
      </c>
    </row>
    <row r="26" spans="2:10" ht="21" customHeight="1" x14ac:dyDescent="0.25">
      <c r="B26" s="19" t="s">
        <v>40</v>
      </c>
      <c r="C26" s="16"/>
      <c r="D26" s="17"/>
      <c r="E26" s="18"/>
    </row>
    <row r="27" spans="2:10" ht="21" customHeight="1" x14ac:dyDescent="0.25">
      <c r="B27" s="15" t="s">
        <v>60</v>
      </c>
      <c r="C27" s="77">
        <f>' bulletin non-cadre exemple'!B3</f>
        <v>1850</v>
      </c>
      <c r="D27" s="17">
        <v>9.7500000000000003E-2</v>
      </c>
      <c r="E27" s="78">
        <f>C27*D27</f>
        <v>180.375</v>
      </c>
    </row>
    <row r="28" spans="2:10" ht="21" customHeight="1" x14ac:dyDescent="0.25">
      <c r="B28" s="15"/>
      <c r="C28" s="16"/>
      <c r="D28" s="17"/>
      <c r="E28" s="18"/>
    </row>
    <row r="29" spans="2:10" ht="21" customHeight="1" x14ac:dyDescent="0.25">
      <c r="B29" s="15" t="s">
        <v>61</v>
      </c>
      <c r="C29" s="77">
        <f>C25</f>
        <v>3269</v>
      </c>
      <c r="D29" s="17">
        <v>5.9999999999999995E-4</v>
      </c>
      <c r="E29" s="78">
        <f>C29*D29</f>
        <v>1.9613999999999998</v>
      </c>
    </row>
    <row r="30" spans="2:10" ht="21" customHeight="1" x14ac:dyDescent="0.25">
      <c r="B30" s="15" t="s">
        <v>62</v>
      </c>
      <c r="C30" s="77">
        <f>C23</f>
        <v>4731</v>
      </c>
      <c r="D30" s="17">
        <v>5.9999999999999995E-4</v>
      </c>
      <c r="E30" s="78">
        <f>C30*D30</f>
        <v>2.8385999999999996</v>
      </c>
    </row>
    <row r="31" spans="2:10" ht="21" customHeight="1" x14ac:dyDescent="0.25">
      <c r="B31" s="21"/>
      <c r="C31" s="16"/>
      <c r="D31" s="16"/>
      <c r="E31" s="18"/>
    </row>
    <row r="32" spans="2:10" ht="21" customHeight="1" thickBot="1" x14ac:dyDescent="0.3">
      <c r="B32" s="22" t="s">
        <v>38</v>
      </c>
      <c r="C32" s="23"/>
      <c r="D32" s="23"/>
      <c r="E32" s="79">
        <f>SUM(E23:E30)</f>
        <v>1608.2050000000002</v>
      </c>
      <c r="G32" s="168">
        <f>E32+E41</f>
        <v>2005.8850000000002</v>
      </c>
    </row>
    <row r="34" spans="2:11" ht="24" thickBot="1" x14ac:dyDescent="0.3">
      <c r="B34" s="75" t="s">
        <v>66</v>
      </c>
    </row>
    <row r="35" spans="2:11" ht="21" customHeight="1" x14ac:dyDescent="0.25">
      <c r="B35" s="12"/>
      <c r="C35" s="13" t="s">
        <v>34</v>
      </c>
      <c r="D35" s="13" t="s">
        <v>35</v>
      </c>
      <c r="E35" s="14" t="s">
        <v>36</v>
      </c>
    </row>
    <row r="36" spans="2:11" ht="21" customHeight="1" x14ac:dyDescent="0.25">
      <c r="B36" s="15"/>
      <c r="C36" s="16"/>
      <c r="D36" s="17"/>
      <c r="E36" s="18"/>
    </row>
    <row r="37" spans="2:11" ht="21" customHeight="1" x14ac:dyDescent="0.25">
      <c r="B37" s="15" t="s">
        <v>26</v>
      </c>
      <c r="C37" s="16"/>
      <c r="D37" s="17"/>
      <c r="E37" s="222">
        <f>' bulletin cadre'!D37+' bulletin cadre'!F37+' bulletin non-cadre exemple'!D26+' bulletin non-cadre exemple'!F26</f>
        <v>194</v>
      </c>
      <c r="K37" s="174">
        <f>E37</f>
        <v>194</v>
      </c>
    </row>
    <row r="38" spans="2:11" ht="21" customHeight="1" x14ac:dyDescent="0.25">
      <c r="B38" s="15" t="s">
        <v>63</v>
      </c>
      <c r="C38" s="77">
        <f>' bulletin cadre'!B38</f>
        <v>3269</v>
      </c>
      <c r="D38" s="20">
        <v>1.4999999999999999E-2</v>
      </c>
      <c r="E38" s="78">
        <f>D38*C38</f>
        <v>49.034999999999997</v>
      </c>
      <c r="K38" s="174">
        <f>' bulletin cadre'!F38</f>
        <v>49.034999999999997</v>
      </c>
    </row>
    <row r="39" spans="2:11" ht="21" customHeight="1" x14ac:dyDescent="0.25">
      <c r="B39" s="15" t="s">
        <v>64</v>
      </c>
      <c r="C39" s="77">
        <f>8000+1850</f>
        <v>9850</v>
      </c>
      <c r="D39" s="17">
        <f>0.62%+0.95%</f>
        <v>1.5699999999999999E-2</v>
      </c>
      <c r="E39" s="78">
        <f>D39*C39</f>
        <v>154.64499999999998</v>
      </c>
      <c r="G39" s="174"/>
      <c r="K39" s="174">
        <f>' bulletin cadre'!F39+' bulletin cadre'!D39+' bulletin non-cadre exemple'!F27+' bulletin non-cadre exemple'!D27</f>
        <v>154.64499999999998</v>
      </c>
    </row>
    <row r="40" spans="2:11" ht="21" customHeight="1" x14ac:dyDescent="0.25">
      <c r="B40" s="15"/>
      <c r="C40" s="16"/>
      <c r="D40" s="17"/>
      <c r="E40" s="18"/>
    </row>
    <row r="41" spans="2:11" ht="21" customHeight="1" thickBot="1" x14ac:dyDescent="0.3">
      <c r="B41" s="73" t="s">
        <v>38</v>
      </c>
      <c r="C41" s="23"/>
      <c r="D41" s="74"/>
      <c r="E41" s="80">
        <f>SUM(E37:E40)</f>
        <v>397.67999999999995</v>
      </c>
      <c r="K41" s="174">
        <f>' bulletin cadre'!F37+' bulletin cadre'!F38+' bulletin cadre'!F39+' bulletin cadre'!D39+' bulletin non-cadre exemple'!F26+' bulletin non-cadre exemple'!F27+' bulletin non-cadre exemple'!D26+' bulletin non-cadre exemple'!D27</f>
        <v>365.67999999999995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Normal="100" workbookViewId="0">
      <selection activeCell="I4" sqref="I4"/>
    </sheetView>
  </sheetViews>
  <sheetFormatPr baseColWidth="10" defaultRowHeight="18.75" x14ac:dyDescent="0.25"/>
  <cols>
    <col min="1" max="1" width="21.85546875" style="89" customWidth="1"/>
    <col min="2" max="2" width="55.140625" style="89" bestFit="1" customWidth="1"/>
    <col min="3" max="3" width="19.28515625" style="89" customWidth="1"/>
    <col min="4" max="4" width="18.140625" style="89" customWidth="1"/>
    <col min="5" max="6" width="11.42578125" style="89"/>
    <col min="7" max="7" width="13.140625" style="89" hidden="1" customWidth="1"/>
    <col min="8" max="16384" width="11.42578125" style="89"/>
  </cols>
  <sheetData>
    <row r="1" spans="1:7" ht="25.5" customHeight="1" thickBot="1" x14ac:dyDescent="0.3">
      <c r="A1" s="178"/>
      <c r="B1" s="179" t="s">
        <v>78</v>
      </c>
      <c r="C1" s="178"/>
      <c r="D1" s="178"/>
    </row>
    <row r="2" spans="1:7" ht="25.5" customHeight="1" thickBot="1" x14ac:dyDescent="0.3">
      <c r="A2" s="180" t="s">
        <v>70</v>
      </c>
      <c r="B2" s="180" t="s">
        <v>67</v>
      </c>
      <c r="C2" s="181" t="s">
        <v>68</v>
      </c>
      <c r="D2" s="180" t="s">
        <v>69</v>
      </c>
    </row>
    <row r="3" spans="1:7" ht="25.5" customHeight="1" thickBot="1" x14ac:dyDescent="0.3">
      <c r="A3" s="182">
        <v>641</v>
      </c>
      <c r="B3" s="183" t="s">
        <v>71</v>
      </c>
      <c r="C3" s="184">
        <f>' bulletin cadre'!B3+' bulletin non-cadre exemple'!B3</f>
        <v>9850</v>
      </c>
      <c r="D3" s="185"/>
    </row>
    <row r="4" spans="1:7" ht="25.5" customHeight="1" thickBot="1" x14ac:dyDescent="0.3">
      <c r="A4" s="182">
        <v>431</v>
      </c>
      <c r="B4" s="183" t="s">
        <v>72</v>
      </c>
      <c r="C4" s="185"/>
      <c r="D4" s="184">
        <f>' bulletin non-cadre exemple'!I11+' bulletin cadre'!I11</f>
        <v>1498.9047999999998</v>
      </c>
      <c r="G4" s="98">
        <f>D4+D17</f>
        <v>4423.6193000000003</v>
      </c>
    </row>
    <row r="5" spans="1:7" ht="25.5" customHeight="1" thickBot="1" x14ac:dyDescent="0.3">
      <c r="A5" s="182">
        <v>437</v>
      </c>
      <c r="B5" s="183" t="s">
        <v>73</v>
      </c>
      <c r="C5" s="185"/>
      <c r="D5" s="184">
        <f>' bulletin non-cadre exemple'!I15+' bulletin cadre'!I15</f>
        <v>748.62799999999993</v>
      </c>
      <c r="G5" s="98">
        <f>D5+D19+D21</f>
        <v>2005.8850000000002</v>
      </c>
    </row>
    <row r="6" spans="1:7" ht="25.5" customHeight="1" thickBot="1" x14ac:dyDescent="0.3">
      <c r="A6" s="182">
        <v>425</v>
      </c>
      <c r="B6" s="183" t="s">
        <v>74</v>
      </c>
      <c r="C6" s="185"/>
      <c r="D6" s="184"/>
      <c r="G6" s="98"/>
    </row>
    <row r="7" spans="1:7" ht="25.5" customHeight="1" thickBot="1" x14ac:dyDescent="0.3">
      <c r="A7" s="182">
        <v>625</v>
      </c>
      <c r="B7" s="183" t="s">
        <v>75</v>
      </c>
      <c r="C7" s="186"/>
      <c r="D7" s="184"/>
    </row>
    <row r="8" spans="1:7" ht="25.5" customHeight="1" thickBot="1" x14ac:dyDescent="0.3">
      <c r="A8" s="182">
        <v>427</v>
      </c>
      <c r="B8" s="183" t="s">
        <v>76</v>
      </c>
      <c r="C8" s="185"/>
      <c r="D8" s="184"/>
    </row>
    <row r="9" spans="1:7" ht="25.5" customHeight="1" thickBot="1" x14ac:dyDescent="0.3">
      <c r="A9" s="182">
        <v>421</v>
      </c>
      <c r="B9" s="183" t="s">
        <v>77</v>
      </c>
      <c r="C9" s="185"/>
      <c r="D9" s="184">
        <f>' bulletin non-cadre exemple'!D38+' bulletin cadre'!D49</f>
        <v>7602.4672</v>
      </c>
    </row>
    <row r="10" spans="1:7" ht="25.5" customHeight="1" thickBot="1" x14ac:dyDescent="0.3">
      <c r="A10" s="182"/>
      <c r="B10" s="183" t="s">
        <v>136</v>
      </c>
      <c r="C10" s="184">
        <f>SUM(C3:C9)</f>
        <v>9850</v>
      </c>
      <c r="D10" s="184">
        <f>SUM(D3:D9)</f>
        <v>9850</v>
      </c>
    </row>
    <row r="11" spans="1:7" ht="25.5" customHeight="1" thickBot="1" x14ac:dyDescent="0.3">
      <c r="A11" s="178"/>
      <c r="B11" s="187" t="s">
        <v>79</v>
      </c>
      <c r="C11" s="178"/>
      <c r="D11" s="188"/>
    </row>
    <row r="12" spans="1:7" ht="25.5" customHeight="1" x14ac:dyDescent="0.25"/>
    <row r="13" spans="1:7" ht="25.5" customHeight="1" thickBot="1" x14ac:dyDescent="0.3">
      <c r="B13" s="90" t="s">
        <v>78</v>
      </c>
    </row>
    <row r="14" spans="1:7" ht="25.5" customHeight="1" thickBot="1" x14ac:dyDescent="0.3">
      <c r="A14" s="91" t="s">
        <v>70</v>
      </c>
      <c r="B14" s="91" t="s">
        <v>67</v>
      </c>
      <c r="C14" s="92" t="s">
        <v>68</v>
      </c>
      <c r="D14" s="93" t="s">
        <v>69</v>
      </c>
    </row>
    <row r="15" spans="1:7" ht="25.5" customHeight="1" thickBot="1" x14ac:dyDescent="0.3">
      <c r="A15" s="94">
        <v>6451</v>
      </c>
      <c r="B15" s="95" t="s">
        <v>80</v>
      </c>
      <c r="C15" s="96">
        <f>' bulletin non-cadre exemple'!J10+' bulletin cadre'!J10</f>
        <v>2511.0145000000002</v>
      </c>
      <c r="D15" s="97"/>
    </row>
    <row r="16" spans="1:7" ht="25.5" customHeight="1" thickBot="1" x14ac:dyDescent="0.3">
      <c r="A16" s="94">
        <v>6454</v>
      </c>
      <c r="B16" s="95" t="s">
        <v>81</v>
      </c>
      <c r="C16" s="96">
        <f>' bulletin non-cadre exemple'!J9+' bulletin cadre'!J9</f>
        <v>413.7</v>
      </c>
      <c r="D16" s="99"/>
    </row>
    <row r="17" spans="1:7" ht="25.5" customHeight="1" thickBot="1" x14ac:dyDescent="0.3">
      <c r="A17" s="94">
        <v>431</v>
      </c>
      <c r="B17" s="95" t="s">
        <v>72</v>
      </c>
      <c r="C17" s="96"/>
      <c r="D17" s="96">
        <f>C15+C16</f>
        <v>2924.7145</v>
      </c>
      <c r="G17" s="98"/>
    </row>
    <row r="18" spans="1:7" ht="25.5" customHeight="1" thickBot="1" x14ac:dyDescent="0.3">
      <c r="A18" s="94">
        <v>6453</v>
      </c>
      <c r="B18" s="95" t="s">
        <v>84</v>
      </c>
      <c r="C18" s="96">
        <f>' bulletin non-cadre exemple'!J13+' bulletin cadre'!J13</f>
        <v>984.64700000000005</v>
      </c>
      <c r="D18" s="96"/>
      <c r="G18" s="98"/>
    </row>
    <row r="19" spans="1:7" ht="25.5" customHeight="1" thickBot="1" x14ac:dyDescent="0.3">
      <c r="A19" s="94">
        <v>437</v>
      </c>
      <c r="B19" s="95" t="s">
        <v>73</v>
      </c>
      <c r="C19" s="96"/>
      <c r="D19" s="96">
        <f>C18</f>
        <v>984.64700000000005</v>
      </c>
      <c r="G19" s="98"/>
    </row>
    <row r="20" spans="1:7" ht="25.5" customHeight="1" thickBot="1" x14ac:dyDescent="0.3">
      <c r="A20" s="94">
        <v>6452</v>
      </c>
      <c r="B20" s="95" t="s">
        <v>82</v>
      </c>
      <c r="C20" s="110">
        <f>' bulletin cadre'!J14+' bulletin non-cadre exemple'!J14</f>
        <v>272.61</v>
      </c>
      <c r="D20" s="96"/>
      <c r="G20" s="101"/>
    </row>
    <row r="21" spans="1:7" ht="25.5" customHeight="1" thickBot="1" x14ac:dyDescent="0.3">
      <c r="A21" s="94">
        <v>437</v>
      </c>
      <c r="B21" s="95" t="s">
        <v>73</v>
      </c>
      <c r="C21" s="96"/>
      <c r="D21" s="110">
        <f>C20</f>
        <v>272.61</v>
      </c>
      <c r="G21" s="98"/>
    </row>
    <row r="22" spans="1:7" ht="25.5" customHeight="1" thickBot="1" x14ac:dyDescent="0.3">
      <c r="A22" s="177"/>
      <c r="B22" s="183" t="s">
        <v>136</v>
      </c>
      <c r="C22" s="184">
        <f>SUM(C15:C21)</f>
        <v>4181.9714999999997</v>
      </c>
      <c r="D22" s="184">
        <f>SUM(D15:D21)</f>
        <v>4181.9714999999997</v>
      </c>
      <c r="G22" s="98"/>
    </row>
    <row r="23" spans="1:7" ht="25.5" customHeight="1" x14ac:dyDescent="0.25">
      <c r="B23" s="100" t="s">
        <v>83</v>
      </c>
    </row>
    <row r="24" spans="1:7" ht="25.5" customHeight="1" x14ac:dyDescent="0.25"/>
    <row r="25" spans="1:7" ht="25.5" customHeight="1" thickBot="1" x14ac:dyDescent="0.3">
      <c r="B25" s="100" t="s">
        <v>90</v>
      </c>
    </row>
    <row r="26" spans="1:7" s="90" customFormat="1" ht="25.5" customHeight="1" x14ac:dyDescent="0.25">
      <c r="B26" s="102" t="s">
        <v>85</v>
      </c>
      <c r="C26" s="103">
        <f>D4+D17</f>
        <v>4423.6193000000003</v>
      </c>
    </row>
    <row r="27" spans="1:7" s="90" customFormat="1" ht="25.5" customHeight="1" x14ac:dyDescent="0.25">
      <c r="B27" s="104" t="s">
        <v>25</v>
      </c>
      <c r="C27" s="105">
        <f>Déclarations!E17</f>
        <v>4424.7199999999993</v>
      </c>
    </row>
    <row r="28" spans="1:7" s="90" customFormat="1" ht="25.5" customHeight="1" x14ac:dyDescent="0.25">
      <c r="B28" s="104"/>
      <c r="C28" s="106"/>
    </row>
    <row r="29" spans="1:7" s="90" customFormat="1" ht="25.5" customHeight="1" x14ac:dyDescent="0.25">
      <c r="B29" s="104" t="s">
        <v>86</v>
      </c>
      <c r="C29" s="105">
        <f>D21+D19+D5</f>
        <v>2005.885</v>
      </c>
    </row>
    <row r="30" spans="1:7" s="90" customFormat="1" ht="25.5" customHeight="1" x14ac:dyDescent="0.25">
      <c r="B30" s="104" t="s">
        <v>87</v>
      </c>
      <c r="C30" s="105">
        <f>Déclarations!E32</f>
        <v>1608.2050000000002</v>
      </c>
    </row>
    <row r="31" spans="1:7" s="90" customFormat="1" ht="25.5" customHeight="1" x14ac:dyDescent="0.25">
      <c r="B31" s="104" t="s">
        <v>88</v>
      </c>
      <c r="C31" s="107">
        <f>Déclarations!E41</f>
        <v>397.67999999999995</v>
      </c>
    </row>
    <row r="32" spans="1:7" s="90" customFormat="1" ht="25.5" customHeight="1" thickBot="1" x14ac:dyDescent="0.3">
      <c r="B32" s="108" t="s">
        <v>89</v>
      </c>
      <c r="C32" s="109">
        <f>SUM(C30:C31)</f>
        <v>2005.8850000000002</v>
      </c>
    </row>
    <row r="35" spans="2:2" x14ac:dyDescent="0.25">
      <c r="B35" s="100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K11" sqref="K11"/>
    </sheetView>
  </sheetViews>
  <sheetFormatPr baseColWidth="10" defaultRowHeight="15" x14ac:dyDescent="0.25"/>
  <cols>
    <col min="1" max="1" width="35.7109375" style="2" customWidth="1"/>
    <col min="2" max="2" width="11.42578125" style="2"/>
    <col min="3" max="3" width="15" style="2" customWidth="1"/>
    <col min="4" max="16384" width="11.42578125" style="2"/>
  </cols>
  <sheetData>
    <row r="1" spans="1:6" ht="21" x14ac:dyDescent="0.25">
      <c r="A1" s="211" t="s">
        <v>138</v>
      </c>
    </row>
    <row r="3" spans="1:6" ht="18.75" x14ac:dyDescent="0.25">
      <c r="A3" s="90" t="s">
        <v>139</v>
      </c>
    </row>
    <row r="4" spans="1:6" ht="15.75" thickBot="1" x14ac:dyDescent="0.3"/>
    <row r="5" spans="1:6" ht="30" x14ac:dyDescent="0.25">
      <c r="A5" s="212"/>
      <c r="B5" s="213" t="s">
        <v>124</v>
      </c>
      <c r="C5" s="214" t="s">
        <v>140</v>
      </c>
      <c r="D5" s="215" t="s">
        <v>141</v>
      </c>
    </row>
    <row r="6" spans="1:6" ht="21" customHeight="1" x14ac:dyDescent="0.25">
      <c r="A6" s="216" t="s">
        <v>142</v>
      </c>
      <c r="B6" s="217">
        <f>' bulletin cadre'!D48</f>
        <v>1786.5717999999999</v>
      </c>
      <c r="C6" s="217">
        <f>' bulletin cadre'!F48-' bulletin cadre'!F46-' bulletin cadre'!F45</f>
        <v>3594.5055000000002</v>
      </c>
      <c r="D6" s="218">
        <f>SUM(B6:C6)</f>
        <v>5381.0772999999999</v>
      </c>
    </row>
    <row r="7" spans="1:6" ht="21" customHeight="1" x14ac:dyDescent="0.25">
      <c r="A7" s="216" t="s">
        <v>143</v>
      </c>
      <c r="B7" s="217">
        <f>' bulletin non-cadre exemple'!D37</f>
        <v>460.96100000000001</v>
      </c>
      <c r="C7" s="217">
        <f>' bulletin non-cadre exemple'!F37-' bulletin non-cadre exemple'!F33-' bulletin non-cadre exemple'!F34</f>
        <v>587.46600000000012</v>
      </c>
      <c r="D7" s="218">
        <f>SUM(B7:C7)</f>
        <v>1048.4270000000001</v>
      </c>
    </row>
    <row r="8" spans="1:6" ht="21" customHeight="1" thickBot="1" x14ac:dyDescent="0.3">
      <c r="A8" s="219" t="s">
        <v>123</v>
      </c>
      <c r="B8" s="220">
        <f>SUM(B6:B7)</f>
        <v>2247.5328</v>
      </c>
      <c r="C8" s="220">
        <f>SUM(C6:C7)</f>
        <v>4181.9715000000006</v>
      </c>
      <c r="D8" s="221">
        <f>SUM(B8:C8)</f>
        <v>6429.5043000000005</v>
      </c>
      <c r="F8" s="168">
        <f>D8-B15</f>
        <v>-1.1006999999990512</v>
      </c>
    </row>
    <row r="10" spans="1:6" ht="18.75" x14ac:dyDescent="0.25">
      <c r="A10" s="90" t="s">
        <v>144</v>
      </c>
    </row>
    <row r="11" spans="1:6" ht="20.25" customHeight="1" thickBot="1" x14ac:dyDescent="0.3"/>
    <row r="12" spans="1:6" ht="20.25" customHeight="1" x14ac:dyDescent="0.25">
      <c r="A12" s="212" t="s">
        <v>72</v>
      </c>
      <c r="B12" s="223">
        <f>Déclarations!E17</f>
        <v>4424.7199999999993</v>
      </c>
      <c r="D12" s="168"/>
    </row>
    <row r="13" spans="1:6" ht="20.25" customHeight="1" x14ac:dyDescent="0.25">
      <c r="A13" s="216" t="s">
        <v>145</v>
      </c>
      <c r="B13" s="218">
        <f>Déclarations!E32</f>
        <v>1608.2050000000002</v>
      </c>
      <c r="D13" s="168"/>
    </row>
    <row r="14" spans="1:6" ht="20.25" customHeight="1" x14ac:dyDescent="0.25">
      <c r="A14" s="216" t="s">
        <v>146</v>
      </c>
      <c r="B14" s="224">
        <f>Déclarations!E41</f>
        <v>397.67999999999995</v>
      </c>
      <c r="D14" s="168"/>
    </row>
    <row r="15" spans="1:6" ht="20.25" customHeight="1" thickBot="1" x14ac:dyDescent="0.3">
      <c r="A15" s="219" t="s">
        <v>123</v>
      </c>
      <c r="B15" s="221">
        <f>SUM(B12:B14)</f>
        <v>6430.6049999999996</v>
      </c>
      <c r="D15" s="168"/>
    </row>
    <row r="18" spans="1:6" ht="18.75" x14ac:dyDescent="0.25">
      <c r="A18" s="90" t="s">
        <v>147</v>
      </c>
    </row>
    <row r="19" spans="1:6" ht="15.75" thickBot="1" x14ac:dyDescent="0.3"/>
    <row r="20" spans="1:6" s="189" customFormat="1" ht="20.25" customHeight="1" x14ac:dyDescent="0.25">
      <c r="A20" s="225"/>
      <c r="B20" s="226" t="s">
        <v>142</v>
      </c>
      <c r="C20" s="226" t="s">
        <v>148</v>
      </c>
      <c r="D20" s="226" t="s">
        <v>149</v>
      </c>
      <c r="E20" s="226" t="s">
        <v>150</v>
      </c>
      <c r="F20" s="227" t="s">
        <v>154</v>
      </c>
    </row>
    <row r="21" spans="1:6" ht="20.25" customHeight="1" x14ac:dyDescent="0.25">
      <c r="A21" s="216" t="s">
        <v>151</v>
      </c>
      <c r="B21" s="217">
        <f>' bulletin cadre'!K11</f>
        <v>3681.6123000000002</v>
      </c>
      <c r="C21" s="217">
        <f>' bulletin non-cadre exemple'!K11</f>
        <v>742.00699999999995</v>
      </c>
      <c r="D21" s="217">
        <f>SUM(B21:C21)</f>
        <v>4423.6193000000003</v>
      </c>
      <c r="E21" s="228">
        <f>B12</f>
        <v>4424.7199999999993</v>
      </c>
      <c r="F21" s="218">
        <f>E21-D21</f>
        <v>1.1006999999990512</v>
      </c>
    </row>
    <row r="22" spans="1:6" ht="20.25" customHeight="1" x14ac:dyDescent="0.25">
      <c r="A22" s="216" t="s">
        <v>152</v>
      </c>
      <c r="B22" s="217">
        <f>' bulletin cadre'!K13</f>
        <v>1427.83</v>
      </c>
      <c r="C22" s="217">
        <f>' bulletin non-cadre exemple'!K13</f>
        <v>180.375</v>
      </c>
      <c r="D22" s="217">
        <f>SUM(B22:C22)</f>
        <v>1608.2049999999999</v>
      </c>
      <c r="E22" s="228">
        <f t="shared" ref="E22:E23" si="0">B13</f>
        <v>1608.2050000000002</v>
      </c>
      <c r="F22" s="218">
        <f t="shared" ref="F22:F23" si="1">E22-D22</f>
        <v>0</v>
      </c>
    </row>
    <row r="23" spans="1:6" ht="20.25" customHeight="1" thickBot="1" x14ac:dyDescent="0.3">
      <c r="A23" s="219" t="s">
        <v>153</v>
      </c>
      <c r="B23" s="220">
        <f>' bulletin cadre'!K14</f>
        <v>271.63499999999999</v>
      </c>
      <c r="C23" s="220">
        <f>' bulletin non-cadre exemple'!K14</f>
        <v>126.045</v>
      </c>
      <c r="D23" s="220">
        <f>SUM(B23:C23)</f>
        <v>397.68</v>
      </c>
      <c r="E23" s="229">
        <f t="shared" si="0"/>
        <v>397.67999999999995</v>
      </c>
      <c r="F23" s="221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</vt:i4>
      </vt:variant>
    </vt:vector>
  </HeadingPairs>
  <TitlesOfParts>
    <vt:vector size="9" baseType="lpstr">
      <vt:lpstr>bulletin non-cadre</vt:lpstr>
      <vt:lpstr> bulletin non-cadre exemple</vt:lpstr>
      <vt:lpstr> bulletin cadre</vt:lpstr>
      <vt:lpstr>Déclarations</vt:lpstr>
      <vt:lpstr>Les écritures</vt:lpstr>
      <vt:lpstr>Vérifications</vt:lpstr>
      <vt:lpstr>' bulletin cadre'!_Toc409093540</vt:lpstr>
      <vt:lpstr>' bulletin non-cadre exemple'!_Toc409093540</vt:lpstr>
      <vt:lpstr>'bulletin non-cadre'!_Toc409093540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ARKHOS</dc:creator>
  <cp:lastModifiedBy>alain henry</cp:lastModifiedBy>
  <cp:lastPrinted>2016-01-11T14:37:38Z</cp:lastPrinted>
  <dcterms:created xsi:type="dcterms:W3CDTF">2015-03-28T14:18:36Z</dcterms:created>
  <dcterms:modified xsi:type="dcterms:W3CDTF">2017-02-17T09:49:51Z</dcterms:modified>
</cp:coreProperties>
</file>