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7" activeTab="0"/>
  </bookViews>
  <sheets>
    <sheet name="Enonce 1" sheetId="1" r:id="rId1"/>
    <sheet name="Corrigé 1" sheetId="2" r:id="rId2"/>
    <sheet name="Enonce 2" sheetId="3" r:id="rId3"/>
    <sheet name="Enoncé 2 Emprunt" sheetId="4" r:id="rId4"/>
    <sheet name="Corrigé 2" sheetId="5" r:id="rId5"/>
  </sheets>
  <definedNames/>
  <calcPr fullCalcOnLoad="1"/>
</workbook>
</file>

<file path=xl/sharedStrings.xml><?xml version="1.0" encoding="utf-8"?>
<sst xmlns="http://schemas.openxmlformats.org/spreadsheetml/2006/main" count="165" uniqueCount="119">
  <si>
    <t>Création d'une société au 1er janvier</t>
  </si>
  <si>
    <t xml:space="preserve">Données du cas </t>
  </si>
  <si>
    <t>Apports prévisionnels du créateur</t>
  </si>
  <si>
    <t xml:space="preserve">Ventes prévisionnelles mensuelles </t>
  </si>
  <si>
    <t>Délai de règlement clients</t>
  </si>
  <si>
    <t>30 jours</t>
  </si>
  <si>
    <t>Achats mensuels</t>
  </si>
  <si>
    <t>Paiement des fournisseurs</t>
  </si>
  <si>
    <t>au comptant</t>
  </si>
  <si>
    <t>Stock prévisionnel au 31/12</t>
  </si>
  <si>
    <t>Salaire brut du dirigeant</t>
  </si>
  <si>
    <t>Règlement du salaire en fin de mois</t>
  </si>
  <si>
    <t>Retenues salariales</t>
  </si>
  <si>
    <t>Retenues patronales</t>
  </si>
  <si>
    <t>Les cotisations trimestrielles sont réglées au 15 du mois suivant</t>
  </si>
  <si>
    <t>Services extérieurs mensuels réglés au comptant</t>
  </si>
  <si>
    <t>Frais de création en janvier payés au comptant</t>
  </si>
  <si>
    <t>Calcul du résultat net prévisionnel</t>
  </si>
  <si>
    <t>CA Annuel</t>
  </si>
  <si>
    <t>23000*12mois</t>
  </si>
  <si>
    <t>Achats</t>
  </si>
  <si>
    <t>15000*12mois</t>
  </si>
  <si>
    <t>Achats revendus</t>
  </si>
  <si>
    <t>180000-3000</t>
  </si>
  <si>
    <t>Salaire brut</t>
  </si>
  <si>
    <t>2000*12mois</t>
  </si>
  <si>
    <t>Charges patronales</t>
  </si>
  <si>
    <t>Services extérieurs</t>
  </si>
  <si>
    <t>Frais de création</t>
  </si>
  <si>
    <t>Amortissements</t>
  </si>
  <si>
    <t>20000/5ans</t>
  </si>
  <si>
    <t>Intérêts des emprunts</t>
  </si>
  <si>
    <t>Total des charges</t>
  </si>
  <si>
    <t>276000-271200</t>
  </si>
  <si>
    <t>Bénéfice prévisionnel</t>
  </si>
  <si>
    <t>Calcul du solde de trésorerie au 31/12</t>
  </si>
  <si>
    <t>Entrées</t>
  </si>
  <si>
    <t>Apport du dirigeant</t>
  </si>
  <si>
    <t>Règlements des clients</t>
  </si>
  <si>
    <t>Emprunt</t>
  </si>
  <si>
    <t>Total des encaissements</t>
  </si>
  <si>
    <t>Décaissements</t>
  </si>
  <si>
    <t xml:space="preserve">Salaires nets </t>
  </si>
  <si>
    <t>Déclaration de charges</t>
  </si>
  <si>
    <t>matériel</t>
  </si>
  <si>
    <t>Échéance emprunt</t>
  </si>
  <si>
    <t>Total décaissé</t>
  </si>
  <si>
    <t>2500*12mois</t>
  </si>
  <si>
    <t>30000*40%</t>
  </si>
  <si>
    <t>Achat d'un matériel de transport amorti sur 5 ans payé en janvier</t>
  </si>
  <si>
    <t>Emprunt  en janvier</t>
  </si>
  <si>
    <t>Échéance emprunt dont 600 € d'intérêts</t>
  </si>
  <si>
    <t>TRAVAUX A EFFECTUER</t>
  </si>
  <si>
    <t>Calculez le résultat comptable bénéfice ou perte au 31/12</t>
  </si>
  <si>
    <t>Calculez le solde de trésorerie au 31/12</t>
  </si>
  <si>
    <t xml:space="preserve">Prévisionnel de rentabilité et trésorerie </t>
  </si>
  <si>
    <t xml:space="preserve">Capital </t>
  </si>
  <si>
    <t>Achats mensuels HT</t>
  </si>
  <si>
    <t>Ventes  mensuelles HT</t>
  </si>
  <si>
    <t>Échéances emprunt (voir le tableau en feuille suivante)</t>
  </si>
  <si>
    <t>Taux de TVA</t>
  </si>
  <si>
    <t>Tableau d'échéance d'emprunts</t>
  </si>
  <si>
    <t>Taux d'intérêt annuel</t>
  </si>
  <si>
    <t>Taux d'interêt mensuel</t>
  </si>
  <si>
    <t>Durée en mois</t>
  </si>
  <si>
    <t>Mensualité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</si>
  <si>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</si>
  <si>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</si>
  <si>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</si>
  <si>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</si>
  <si>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</si>
  <si>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</si>
  <si>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</si>
  <si>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</si>
  <si>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</si>
  <si>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</si>
  <si>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</si>
  <si>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</si>
  <si>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</si>
  <si>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Échéances</t>
  </si>
  <si>
    <t>Capital</t>
  </si>
  <si>
    <t>Interêts</t>
  </si>
  <si>
    <t>Remboursement</t>
  </si>
  <si>
    <t>Totaux</t>
  </si>
  <si>
    <t>TVA payée durant l'année</t>
  </si>
  <si>
    <t>Calculez le résultat prévisionnel au 31/12</t>
  </si>
  <si>
    <t>6 000 € HT</t>
  </si>
  <si>
    <t>4 000 € HT</t>
  </si>
  <si>
    <t>5 000 * 12 mois</t>
  </si>
  <si>
    <t>60 000 * 40%</t>
  </si>
  <si>
    <t>4 000 * 12mois</t>
  </si>
  <si>
    <t>20000 / 5 ans</t>
  </si>
  <si>
    <t>80 000 * 11 mois * 120%</t>
  </si>
  <si>
    <t>55000 * 12 mois *120%</t>
  </si>
  <si>
    <t>4 000 * 12 Mois * 120%</t>
  </si>
  <si>
    <t>50 000 *120%</t>
  </si>
  <si>
    <t>Voir feuille suivante</t>
  </si>
  <si>
    <t>6 000 * 120%</t>
  </si>
  <si>
    <t>2 000 * 12 * 120%</t>
  </si>
  <si>
    <t>20 000 * 120%</t>
  </si>
  <si>
    <t>3 000 * 120%</t>
  </si>
  <si>
    <t>Stock de marchandises au 31/12 évalué</t>
  </si>
  <si>
    <t>Salaire brut du dirigeant. Le salaire net est réglé en fin de mois</t>
  </si>
  <si>
    <t>80 000* 12mois</t>
  </si>
  <si>
    <t>55 000 * 12 mois</t>
  </si>
  <si>
    <t>Stocks</t>
  </si>
  <si>
    <t>660 000 - 45 000</t>
  </si>
  <si>
    <t>Bénéfice prévisionnel avant impôt</t>
  </si>
  <si>
    <t>960 000 - 765 295</t>
  </si>
  <si>
    <t>Soit le 15/4, 15/7, 15/10 et 15/01. Seuls 3 trimestres (9 mois) sont donc réglés durant l'année.</t>
  </si>
  <si>
    <t>Soit le 15/4, 15/7, 15/10 et 15/01 soit 9 mois réglés</t>
  </si>
  <si>
    <t>23 000 * 11mois *120%</t>
  </si>
  <si>
    <t>15000 * 12 mois * 120%</t>
  </si>
  <si>
    <t>(2500*77%) * 12 mois</t>
  </si>
  <si>
    <t>2500 * 9 mois * (23%+40%)</t>
  </si>
  <si>
    <t>(5000*77%) * 12 mois</t>
  </si>
  <si>
    <t>5 000 * 9 mois * (23%+40%)</t>
  </si>
  <si>
    <t>Solde de trésorerie au 31/12 = 1 206 000 - 1 024 673</t>
  </si>
  <si>
    <t>Solde de trésorerie au 31/12 = 283000 – 314275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</si>
</sst>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[Red]\-#,##0\ [$€-40C]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0.0%"/>
    <numFmt numFmtId="168" formatCode="0.000%"/>
    <numFmt numFmtId="169" formatCode="0.0000%"/>
    <numFmt numFmtId="170" formatCode="#,##0.00\ &quot;€&quot;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66" fontId="0" fillId="0" borderId="16" xfId="46" applyNumberFormat="1" applyBorder="1" applyAlignment="1">
      <alignment vertical="center"/>
    </xf>
    <xf numFmtId="166" fontId="0" fillId="0" borderId="18" xfId="46" applyNumberFormat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66" fontId="0" fillId="0" borderId="16" xfId="46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0" fontId="0" fillId="0" borderId="2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14" xfId="46" applyBorder="1" applyAlignment="1">
      <alignment vertical="center"/>
    </xf>
    <xf numFmtId="168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0" fontId="0" fillId="0" borderId="18" xfId="0" applyNumberForma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0" fontId="0" fillId="0" borderId="24" xfId="0" applyNumberFormat="1" applyBorder="1" applyAlignment="1">
      <alignment vertical="center"/>
    </xf>
    <xf numFmtId="170" fontId="0" fillId="0" borderId="16" xfId="0" applyNumberFormat="1" applyBorder="1" applyAlignment="1">
      <alignment vertical="center"/>
    </xf>
    <xf numFmtId="170" fontId="0" fillId="0" borderId="25" xfId="0" applyNumberFormat="1" applyBorder="1" applyAlignment="1">
      <alignment vertical="center"/>
    </xf>
    <xf numFmtId="170" fontId="0" fillId="0" borderId="24" xfId="0" applyNumberFormat="1" applyBorder="1" applyAlignment="1">
      <alignment horizontal="center" vertical="center"/>
    </xf>
    <xf numFmtId="170" fontId="0" fillId="0" borderId="25" xfId="0" applyNumberForma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0" fontId="2" fillId="0" borderId="27" xfId="0" applyNumberFormat="1" applyFont="1" applyBorder="1" applyAlignment="1">
      <alignment vertical="center"/>
    </xf>
    <xf numFmtId="170" fontId="2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166" fontId="0" fillId="0" borderId="30" xfId="46" applyNumberFormat="1" applyBorder="1" applyAlignment="1">
      <alignment vertical="center"/>
    </xf>
    <xf numFmtId="164" fontId="0" fillId="35" borderId="10" xfId="0" applyNumberFormat="1" applyFill="1" applyBorder="1" applyAlignment="1">
      <alignment vertical="center"/>
    </xf>
    <xf numFmtId="164" fontId="2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zoomScalePageLayoutView="0" workbookViewId="0" topLeftCell="A4">
      <selection activeCell="B17" sqref="B17"/>
    </sheetView>
  </sheetViews>
  <sheetFormatPr defaultColWidth="11.57421875" defaultRowHeight="12.75"/>
  <cols>
    <col min="1" max="1" width="55.57421875" style="1" customWidth="1"/>
    <col min="2" max="2" width="11.8515625" style="1" bestFit="1" customWidth="1"/>
    <col min="3" max="16384" width="11.57421875" style="1" customWidth="1"/>
  </cols>
  <sheetData>
    <row r="1" ht="13.5" thickBot="1"/>
    <row r="2" ht="18.75" thickBot="1">
      <c r="A2" s="10" t="s">
        <v>0</v>
      </c>
    </row>
    <row r="3" ht="13.5" thickBot="1"/>
    <row r="4" ht="18.75" customHeight="1" thickBot="1">
      <c r="A4" s="11" t="s">
        <v>1</v>
      </c>
    </row>
    <row r="5" spans="1:2" ht="19.5" customHeight="1">
      <c r="A5" s="12" t="s">
        <v>2</v>
      </c>
      <c r="B5" s="13">
        <v>10000</v>
      </c>
    </row>
    <row r="6" spans="1:2" ht="19.5" customHeight="1">
      <c r="A6" s="14" t="s">
        <v>3</v>
      </c>
      <c r="B6" s="15">
        <v>23000</v>
      </c>
    </row>
    <row r="7" spans="1:2" ht="19.5" customHeight="1">
      <c r="A7" s="14" t="s">
        <v>4</v>
      </c>
      <c r="B7" s="16" t="s">
        <v>5</v>
      </c>
    </row>
    <row r="8" spans="1:2" ht="19.5" customHeight="1">
      <c r="A8" s="14" t="s">
        <v>6</v>
      </c>
      <c r="B8" s="16">
        <v>15000</v>
      </c>
    </row>
    <row r="9" spans="1:2" ht="19.5" customHeight="1">
      <c r="A9" s="14" t="s">
        <v>7</v>
      </c>
      <c r="B9" s="16" t="s">
        <v>8</v>
      </c>
    </row>
    <row r="10" spans="1:2" ht="19.5" customHeight="1">
      <c r="A10" s="14" t="s">
        <v>9</v>
      </c>
      <c r="B10" s="16">
        <v>3000</v>
      </c>
    </row>
    <row r="11" spans="1:2" ht="19.5" customHeight="1">
      <c r="A11" s="14" t="s">
        <v>10</v>
      </c>
      <c r="B11" s="15">
        <v>2500</v>
      </c>
    </row>
    <row r="12" spans="1:2" ht="19.5" customHeight="1">
      <c r="A12" s="14" t="s">
        <v>11</v>
      </c>
      <c r="B12" s="17"/>
    </row>
    <row r="13" spans="1:2" ht="19.5" customHeight="1">
      <c r="A13" s="14" t="s">
        <v>12</v>
      </c>
      <c r="B13" s="18">
        <v>0.23</v>
      </c>
    </row>
    <row r="14" spans="1:2" ht="19.5" customHeight="1">
      <c r="A14" s="14" t="s">
        <v>13</v>
      </c>
      <c r="B14" s="18">
        <v>0.4</v>
      </c>
    </row>
    <row r="15" spans="1:2" ht="19.5" customHeight="1">
      <c r="A15" s="14" t="s">
        <v>14</v>
      </c>
      <c r="B15" s="17"/>
    </row>
    <row r="16" spans="1:2" ht="19.5" customHeight="1">
      <c r="A16" s="14" t="s">
        <v>110</v>
      </c>
      <c r="B16" s="17"/>
    </row>
    <row r="17" spans="1:2" ht="19.5" customHeight="1">
      <c r="A17" s="14" t="s">
        <v>15</v>
      </c>
      <c r="B17" s="21">
        <v>2000</v>
      </c>
    </row>
    <row r="18" spans="1:2" ht="19.5" customHeight="1">
      <c r="A18" s="14" t="s">
        <v>16</v>
      </c>
      <c r="B18" s="21">
        <v>3000</v>
      </c>
    </row>
    <row r="19" spans="1:2" ht="19.5" customHeight="1">
      <c r="A19" s="19" t="s">
        <v>49</v>
      </c>
      <c r="B19" s="21">
        <v>20000</v>
      </c>
    </row>
    <row r="20" spans="1:2" ht="19.5" customHeight="1">
      <c r="A20" s="19" t="s">
        <v>50</v>
      </c>
      <c r="B20" s="21">
        <v>20000</v>
      </c>
    </row>
    <row r="21" spans="1:2" ht="19.5" customHeight="1" thickBot="1">
      <c r="A21" s="20" t="s">
        <v>51</v>
      </c>
      <c r="B21" s="22">
        <v>4600</v>
      </c>
    </row>
    <row r="24" ht="15.75">
      <c r="A24" s="2" t="s">
        <v>52</v>
      </c>
    </row>
    <row r="26" spans="1:2" ht="21.75" customHeight="1">
      <c r="A26" s="23" t="s">
        <v>53</v>
      </c>
      <c r="B26" s="24"/>
    </row>
    <row r="27" spans="1:2" ht="21.75" customHeight="1">
      <c r="A27" s="23" t="s">
        <v>54</v>
      </c>
      <c r="B27" s="24"/>
    </row>
  </sheetData>
  <sheetProtection selectLockedCells="1" selectUnlockedCells="1"/>
  <printOptions horizontalCentered="1"/>
  <pageMargins left="0.7874015748031497" right="0.7874015748031497" top="0.4724409448818898" bottom="1.062992125984252" header="0.7874015748031497" footer="0.787401574803149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33"/>
  <sheetViews>
    <sheetView zoomScalePageLayoutView="0" workbookViewId="0" topLeftCell="A16">
      <selection activeCell="F29" sqref="F29"/>
    </sheetView>
  </sheetViews>
  <sheetFormatPr defaultColWidth="11.57421875" defaultRowHeight="12.75"/>
  <cols>
    <col min="1" max="1" width="22.140625" style="1" customWidth="1"/>
    <col min="2" max="2" width="35.7109375" style="1" bestFit="1" customWidth="1"/>
    <col min="3" max="16384" width="11.57421875" style="1" customWidth="1"/>
  </cols>
  <sheetData>
    <row r="1" spans="1:2" ht="15.75">
      <c r="A1" s="2" t="s">
        <v>17</v>
      </c>
      <c r="B1"/>
    </row>
    <row r="2" ht="18.75" customHeight="1"/>
    <row r="3" spans="1:3" ht="18.75" customHeight="1">
      <c r="A3" s="3" t="s">
        <v>18</v>
      </c>
      <c r="B3" s="3" t="s">
        <v>19</v>
      </c>
      <c r="C3" s="4">
        <f>23000*12</f>
        <v>276000</v>
      </c>
    </row>
    <row r="4" spans="1:3" ht="18.75" customHeight="1">
      <c r="A4" s="3" t="s">
        <v>20</v>
      </c>
      <c r="B4" s="3" t="s">
        <v>21</v>
      </c>
      <c r="C4" s="4">
        <f>15000*12</f>
        <v>180000</v>
      </c>
    </row>
    <row r="5" spans="1:3" ht="18.75" customHeight="1">
      <c r="A5" s="3" t="s">
        <v>22</v>
      </c>
      <c r="B5" s="3" t="s">
        <v>23</v>
      </c>
      <c r="C5" s="5">
        <v>177000</v>
      </c>
    </row>
    <row r="6" spans="1:3" ht="18.75" customHeight="1">
      <c r="A6" s="3" t="s">
        <v>24</v>
      </c>
      <c r="B6" s="3" t="s">
        <v>47</v>
      </c>
      <c r="C6" s="5">
        <f>2500*12</f>
        <v>30000</v>
      </c>
    </row>
    <row r="7" spans="1:3" ht="18.75" customHeight="1">
      <c r="A7" s="3" t="s">
        <v>26</v>
      </c>
      <c r="B7" s="3" t="s">
        <v>48</v>
      </c>
      <c r="C7" s="5">
        <f>+C6*0.4</f>
        <v>12000</v>
      </c>
    </row>
    <row r="8" spans="1:3" ht="18.75" customHeight="1">
      <c r="A8" s="3" t="s">
        <v>27</v>
      </c>
      <c r="B8" s="3" t="s">
        <v>25</v>
      </c>
      <c r="C8" s="5">
        <v>24000</v>
      </c>
    </row>
    <row r="9" spans="1:3" ht="18.75" customHeight="1">
      <c r="A9" s="3" t="s">
        <v>28</v>
      </c>
      <c r="B9" s="3"/>
      <c r="C9" s="5">
        <v>3000</v>
      </c>
    </row>
    <row r="10" spans="1:3" ht="18.75" customHeight="1">
      <c r="A10" s="3" t="s">
        <v>29</v>
      </c>
      <c r="B10" s="3" t="s">
        <v>30</v>
      </c>
      <c r="C10" s="5">
        <v>4000</v>
      </c>
    </row>
    <row r="11" spans="1:3" ht="18.75" customHeight="1">
      <c r="A11" s="3" t="s">
        <v>31</v>
      </c>
      <c r="B11" s="3"/>
      <c r="C11" s="5">
        <v>600</v>
      </c>
    </row>
    <row r="12" spans="1:3" ht="18.75" customHeight="1">
      <c r="A12" s="3" t="s">
        <v>32</v>
      </c>
      <c r="B12" s="3" t="s">
        <v>33</v>
      </c>
      <c r="C12" s="6">
        <f>+C11+C10+C9+C8+C7+C6+C5</f>
        <v>250600</v>
      </c>
    </row>
    <row r="13" spans="1:3" ht="18.75" customHeight="1">
      <c r="A13" s="7" t="s">
        <v>34</v>
      </c>
      <c r="B13" s="3"/>
      <c r="C13" s="8">
        <f>+C3-C12</f>
        <v>25400</v>
      </c>
    </row>
    <row r="14" ht="18.75" customHeight="1"/>
    <row r="15" ht="18.75" customHeight="1">
      <c r="A15" s="2" t="s">
        <v>35</v>
      </c>
    </row>
    <row r="16" ht="18.75" customHeight="1"/>
    <row r="17" spans="1:3" ht="19.5" customHeight="1">
      <c r="A17" s="7" t="s">
        <v>36</v>
      </c>
      <c r="B17" s="3"/>
      <c r="C17" s="3"/>
    </row>
    <row r="18" spans="1:3" ht="19.5" customHeight="1">
      <c r="A18" s="3" t="s">
        <v>37</v>
      </c>
      <c r="B18" s="9"/>
      <c r="C18" s="4">
        <v>10000</v>
      </c>
    </row>
    <row r="19" spans="1:3" ht="19.5" customHeight="1">
      <c r="A19" s="3" t="s">
        <v>38</v>
      </c>
      <c r="B19" s="3" t="s">
        <v>111</v>
      </c>
      <c r="C19" s="4">
        <f>23000*11*1.2</f>
        <v>303600</v>
      </c>
    </row>
    <row r="20" spans="1:3" ht="19.5" customHeight="1">
      <c r="A20" s="3" t="s">
        <v>39</v>
      </c>
      <c r="B20" s="3"/>
      <c r="C20" s="4">
        <v>20000</v>
      </c>
    </row>
    <row r="21" spans="1:3" ht="19.5" customHeight="1">
      <c r="A21" s="7" t="s">
        <v>40</v>
      </c>
      <c r="B21" s="7"/>
      <c r="C21" s="8">
        <f>SUM(C18:C20)</f>
        <v>333600</v>
      </c>
    </row>
    <row r="22" spans="1:3" ht="19.5" customHeight="1">
      <c r="A22" s="3"/>
      <c r="B22" s="3"/>
      <c r="C22" s="4"/>
    </row>
    <row r="23" spans="1:3" ht="19.5" customHeight="1">
      <c r="A23" s="7" t="s">
        <v>41</v>
      </c>
      <c r="B23" s="3"/>
      <c r="C23" s="4"/>
    </row>
    <row r="24" spans="1:3" ht="19.5" customHeight="1">
      <c r="A24" s="3" t="s">
        <v>20</v>
      </c>
      <c r="B24" s="3" t="s">
        <v>112</v>
      </c>
      <c r="C24" s="4">
        <f>'Enonce 1'!B8*12*1.2</f>
        <v>216000</v>
      </c>
    </row>
    <row r="25" spans="1:3" ht="19.5" customHeight="1">
      <c r="A25" s="3" t="s">
        <v>42</v>
      </c>
      <c r="B25" s="3" t="s">
        <v>113</v>
      </c>
      <c r="C25" s="4">
        <f>'Enonce 1'!B11*0.77*12</f>
        <v>23100</v>
      </c>
    </row>
    <row r="26" spans="1:3" ht="19.5" customHeight="1">
      <c r="A26" s="3" t="s">
        <v>43</v>
      </c>
      <c r="B26" s="3" t="s">
        <v>114</v>
      </c>
      <c r="C26" s="4">
        <f>2500*9*0.63</f>
        <v>14175</v>
      </c>
    </row>
    <row r="27" spans="1:3" ht="19.5" customHeight="1">
      <c r="A27" s="3" t="s">
        <v>27</v>
      </c>
      <c r="B27" s="3" t="s">
        <v>98</v>
      </c>
      <c r="C27" s="4">
        <f>2000*12*1.2</f>
        <v>28800</v>
      </c>
    </row>
    <row r="28" spans="1:3" ht="19.5" customHeight="1">
      <c r="A28" s="3" t="s">
        <v>44</v>
      </c>
      <c r="B28" s="3" t="s">
        <v>99</v>
      </c>
      <c r="C28" s="4">
        <v>24000</v>
      </c>
    </row>
    <row r="29" spans="1:3" ht="19.5" customHeight="1">
      <c r="A29" s="3" t="s">
        <v>45</v>
      </c>
      <c r="B29" s="3"/>
      <c r="C29" s="4">
        <v>4600</v>
      </c>
    </row>
    <row r="30" spans="1:3" ht="19.5" customHeight="1">
      <c r="A30" s="3" t="s">
        <v>28</v>
      </c>
      <c r="B30" s="3" t="s">
        <v>100</v>
      </c>
      <c r="C30" s="4">
        <f>'Enonce 1'!B18*1.2</f>
        <v>3600</v>
      </c>
    </row>
    <row r="31" spans="1:3" ht="19.5" customHeight="1">
      <c r="A31" s="7" t="s">
        <v>46</v>
      </c>
      <c r="B31" s="7"/>
      <c r="C31" s="8">
        <f>SUM(C24:C30)</f>
        <v>314275</v>
      </c>
    </row>
    <row r="32" spans="1:3" ht="19.5" customHeight="1">
      <c r="A32" s="3"/>
      <c r="B32" s="3"/>
      <c r="C32"/>
    </row>
    <row r="33" spans="1:3" ht="19.5" customHeight="1">
      <c r="A33" s="7" t="s">
        <v>118</v>
      </c>
      <c r="B33" s="3"/>
      <c r="C33" s="8">
        <f>C21-C31</f>
        <v>19325</v>
      </c>
    </row>
  </sheetData>
  <sheetProtection selectLockedCells="1" selectUnlockedCells="1"/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B17" sqref="B17"/>
    </sheetView>
  </sheetViews>
  <sheetFormatPr defaultColWidth="11.57421875" defaultRowHeight="12.75"/>
  <cols>
    <col min="1" max="1" width="80.421875" style="1" bestFit="1" customWidth="1"/>
    <col min="2" max="2" width="11.28125" style="1" bestFit="1" customWidth="1"/>
    <col min="3" max="16384" width="11.57421875" style="1" customWidth="1"/>
  </cols>
  <sheetData>
    <row r="1" ht="13.5" thickBot="1"/>
    <row r="2" ht="18.75" thickBot="1">
      <c r="A2" s="10" t="s">
        <v>55</v>
      </c>
    </row>
    <row r="3" ht="13.5" thickBot="1"/>
    <row r="4" ht="18.75" customHeight="1" thickBot="1">
      <c r="A4" s="11" t="s">
        <v>1</v>
      </c>
    </row>
    <row r="5" spans="1:2" ht="19.5" customHeight="1">
      <c r="A5" s="12" t="s">
        <v>56</v>
      </c>
      <c r="B5" s="13">
        <v>100000</v>
      </c>
    </row>
    <row r="6" spans="1:2" ht="19.5" customHeight="1">
      <c r="A6" s="26" t="s">
        <v>60</v>
      </c>
      <c r="B6" s="27">
        <v>0.2</v>
      </c>
    </row>
    <row r="7" spans="1:2" ht="19.5" customHeight="1">
      <c r="A7" s="14" t="s">
        <v>58</v>
      </c>
      <c r="B7" s="15">
        <v>80000</v>
      </c>
    </row>
    <row r="8" spans="1:2" ht="19.5" customHeight="1">
      <c r="A8" s="14" t="s">
        <v>4</v>
      </c>
      <c r="B8" s="16" t="s">
        <v>5</v>
      </c>
    </row>
    <row r="9" spans="1:2" ht="19.5" customHeight="1">
      <c r="A9" s="14" t="s">
        <v>57</v>
      </c>
      <c r="B9" s="16">
        <v>55000</v>
      </c>
    </row>
    <row r="10" spans="1:2" ht="19.5" customHeight="1">
      <c r="A10" s="14" t="s">
        <v>7</v>
      </c>
      <c r="B10" s="16" t="s">
        <v>8</v>
      </c>
    </row>
    <row r="11" spans="1:2" ht="19.5" customHeight="1">
      <c r="A11" s="14" t="s">
        <v>101</v>
      </c>
      <c r="B11" s="16">
        <v>45000</v>
      </c>
    </row>
    <row r="12" spans="1:2" ht="19.5" customHeight="1">
      <c r="A12" s="14" t="s">
        <v>102</v>
      </c>
      <c r="B12" s="15">
        <v>5000</v>
      </c>
    </row>
    <row r="13" spans="1:2" ht="19.5" customHeight="1">
      <c r="A13" s="14" t="s">
        <v>12</v>
      </c>
      <c r="B13" s="18">
        <v>0.23</v>
      </c>
    </row>
    <row r="14" spans="1:2" ht="19.5" customHeight="1">
      <c r="A14" s="14" t="s">
        <v>13</v>
      </c>
      <c r="B14" s="18">
        <v>0.4</v>
      </c>
    </row>
    <row r="15" spans="1:2" ht="19.5" customHeight="1">
      <c r="A15" s="14" t="s">
        <v>14</v>
      </c>
      <c r="B15" s="17"/>
    </row>
    <row r="16" spans="1:2" ht="19.5" customHeight="1">
      <c r="A16" s="14" t="s">
        <v>109</v>
      </c>
      <c r="B16" s="17"/>
    </row>
    <row r="17" spans="1:2" ht="19.5" customHeight="1">
      <c r="A17" s="14" t="s">
        <v>15</v>
      </c>
      <c r="B17" s="25" t="s">
        <v>87</v>
      </c>
    </row>
    <row r="18" spans="1:2" ht="19.5" customHeight="1">
      <c r="A18" s="14" t="s">
        <v>16</v>
      </c>
      <c r="B18" s="25" t="s">
        <v>86</v>
      </c>
    </row>
    <row r="19" spans="1:2" ht="19.5" customHeight="1">
      <c r="A19" s="19" t="s">
        <v>49</v>
      </c>
      <c r="B19" s="21">
        <v>50000</v>
      </c>
    </row>
    <row r="20" spans="1:2" ht="19.5" customHeight="1">
      <c r="A20" s="19" t="s">
        <v>50</v>
      </c>
      <c r="B20" s="21">
        <v>50000</v>
      </c>
    </row>
    <row r="21" spans="1:2" ht="19.5" customHeight="1">
      <c r="A21" s="45" t="s">
        <v>84</v>
      </c>
      <c r="B21" s="46">
        <v>22000</v>
      </c>
    </row>
    <row r="22" spans="1:2" ht="19.5" customHeight="1" thickBot="1">
      <c r="A22" s="20" t="s">
        <v>59</v>
      </c>
      <c r="B22" s="22"/>
    </row>
    <row r="25" ht="15.75">
      <c r="A25" s="2" t="s">
        <v>52</v>
      </c>
    </row>
    <row r="27" spans="1:2" ht="21.75" customHeight="1">
      <c r="A27" s="23" t="s">
        <v>85</v>
      </c>
      <c r="B27" s="24"/>
    </row>
    <row r="28" spans="1:2" ht="21.75" customHeight="1">
      <c r="A28" s="23" t="s">
        <v>54</v>
      </c>
      <c r="B28" s="24"/>
    </row>
  </sheetData>
  <sheetProtection selectLockedCells="1" selectUnlockedCells="1"/>
  <printOptions horizontalCentered="1"/>
  <pageMargins left="0.3937007874015748" right="0.3937007874015748" top="0.4724409448818898" bottom="1.062992125984252" header="0.7874015748031497" footer="0.7874015748031497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J9" sqref="J9"/>
    </sheetView>
  </sheetViews>
  <sheetFormatPr defaultColWidth="11.57421875" defaultRowHeight="12.75"/>
  <cols>
    <col min="1" max="1" width="20.57421875" style="1" customWidth="1"/>
    <col min="2" max="2" width="11.8515625" style="1" bestFit="1" customWidth="1"/>
    <col min="3" max="4" width="11.57421875" style="1" customWidth="1"/>
    <col min="5" max="5" width="15.8515625" style="1" bestFit="1" customWidth="1"/>
    <col min="6" max="16384" width="11.57421875" style="1" customWidth="1"/>
  </cols>
  <sheetData>
    <row r="2" spans="1:6" ht="20.25">
      <c r="A2" s="49" t="s">
        <v>61</v>
      </c>
      <c r="B2" s="49"/>
      <c r="C2" s="49"/>
      <c r="D2" s="49"/>
      <c r="E2" s="49"/>
      <c r="F2" s="49"/>
    </row>
    <row r="3" ht="29.25" customHeight="1" thickBot="1"/>
    <row r="4" spans="1:2" ht="18" customHeight="1">
      <c r="A4" s="28" t="s">
        <v>39</v>
      </c>
      <c r="B4" s="29">
        <v>50000</v>
      </c>
    </row>
    <row r="5" spans="1:2" ht="18" customHeight="1">
      <c r="A5" s="19" t="s">
        <v>62</v>
      </c>
      <c r="B5" s="30">
        <v>0.05</v>
      </c>
    </row>
    <row r="6" spans="1:2" ht="18" customHeight="1">
      <c r="A6" s="19" t="s">
        <v>63</v>
      </c>
      <c r="B6" s="30">
        <f>B5/12</f>
        <v>0.004166666666666667</v>
      </c>
    </row>
    <row r="7" spans="1:2" ht="18" customHeight="1">
      <c r="A7" s="19" t="s">
        <v>64</v>
      </c>
      <c r="B7" s="31">
        <v>60</v>
      </c>
    </row>
    <row r="8" spans="1:2" ht="18" customHeight="1">
      <c r="A8" s="19"/>
      <c r="B8" s="31"/>
    </row>
    <row r="9" spans="1:2" ht="18" customHeight="1" thickBot="1">
      <c r="A9" s="20" t="s">
        <v>65</v>
      </c>
      <c r="B9" s="32">
        <f>PMT(B6,B7,B4)*-1</f>
        <v>943.5616822005468</v>
      </c>
    </row>
    <row r="11" ht="13.5" thickBot="1"/>
    <row r="12" spans="1:6" ht="18" customHeight="1">
      <c r="A12" s="33" t="s">
        <v>66</v>
      </c>
      <c r="B12" s="34" t="s">
        <v>80</v>
      </c>
      <c r="C12" s="34" t="s">
        <v>79</v>
      </c>
      <c r="D12" s="34" t="s">
        <v>81</v>
      </c>
      <c r="E12" s="34" t="s">
        <v>82</v>
      </c>
      <c r="F12" s="35" t="s">
        <v>80</v>
      </c>
    </row>
    <row r="13" spans="1:6" ht="18" customHeight="1">
      <c r="A13" s="19" t="s">
        <v>67</v>
      </c>
      <c r="B13" s="36">
        <f>B4</f>
        <v>50000</v>
      </c>
      <c r="C13" s="39">
        <f>$B$9</f>
        <v>943.5616822005468</v>
      </c>
      <c r="D13" s="39">
        <f>B13*$B$6</f>
        <v>208.33333333333334</v>
      </c>
      <c r="E13" s="39">
        <f>C13-D13</f>
        <v>735.2283488672134</v>
      </c>
      <c r="F13" s="37">
        <f>B13-E13</f>
        <v>49264.77165113279</v>
      </c>
    </row>
    <row r="14" spans="1:6" ht="18" customHeight="1">
      <c r="A14" s="19" t="s">
        <v>68</v>
      </c>
      <c r="B14" s="36">
        <f>F13</f>
        <v>49264.77165113279</v>
      </c>
      <c r="C14" s="39">
        <f aca="true" t="shared" si="0" ref="C14:C24">$B$9</f>
        <v>943.5616822005468</v>
      </c>
      <c r="D14" s="39">
        <f aca="true" t="shared" si="1" ref="D14:D24">B14*$B$6</f>
        <v>205.26988187971995</v>
      </c>
      <c r="E14" s="39">
        <f aca="true" t="shared" si="2" ref="E14:E24">C14-D14</f>
        <v>738.2918003208268</v>
      </c>
      <c r="F14" s="37">
        <f aca="true" t="shared" si="3" ref="F14:F24">B14-E14</f>
        <v>48526.479850811964</v>
      </c>
    </row>
    <row r="15" spans="1:6" ht="18" customHeight="1">
      <c r="A15" s="19" t="s">
        <v>69</v>
      </c>
      <c r="B15" s="36">
        <f aca="true" t="shared" si="4" ref="B15:B24">F14</f>
        <v>48526.479850811964</v>
      </c>
      <c r="C15" s="39">
        <f t="shared" si="0"/>
        <v>943.5616822005468</v>
      </c>
      <c r="D15" s="39">
        <f t="shared" si="1"/>
        <v>202.19366604504984</v>
      </c>
      <c r="E15" s="39">
        <f t="shared" si="2"/>
        <v>741.3680161554969</v>
      </c>
      <c r="F15" s="37">
        <f t="shared" si="3"/>
        <v>47785.11183465647</v>
      </c>
    </row>
    <row r="16" spans="1:6" ht="18" customHeight="1">
      <c r="A16" s="19" t="s">
        <v>70</v>
      </c>
      <c r="B16" s="36">
        <f t="shared" si="4"/>
        <v>47785.11183465647</v>
      </c>
      <c r="C16" s="39">
        <f t="shared" si="0"/>
        <v>943.5616822005468</v>
      </c>
      <c r="D16" s="39">
        <f t="shared" si="1"/>
        <v>199.10463264440196</v>
      </c>
      <c r="E16" s="39">
        <f t="shared" si="2"/>
        <v>744.4570495561449</v>
      </c>
      <c r="F16" s="37">
        <f t="shared" si="3"/>
        <v>47040.65478510033</v>
      </c>
    </row>
    <row r="17" spans="1:6" ht="18" customHeight="1">
      <c r="A17" s="19" t="s">
        <v>71</v>
      </c>
      <c r="B17" s="36">
        <f t="shared" si="4"/>
        <v>47040.65478510033</v>
      </c>
      <c r="C17" s="39">
        <f t="shared" si="0"/>
        <v>943.5616822005468</v>
      </c>
      <c r="D17" s="39">
        <f t="shared" si="1"/>
        <v>196.00272827125136</v>
      </c>
      <c r="E17" s="39">
        <f t="shared" si="2"/>
        <v>747.5589539292954</v>
      </c>
      <c r="F17" s="37">
        <f t="shared" si="3"/>
        <v>46293.095831171035</v>
      </c>
    </row>
    <row r="18" spans="1:6" ht="18" customHeight="1">
      <c r="A18" s="19" t="s">
        <v>72</v>
      </c>
      <c r="B18" s="36">
        <f t="shared" si="4"/>
        <v>46293.095831171035</v>
      </c>
      <c r="C18" s="39">
        <f t="shared" si="0"/>
        <v>943.5616822005468</v>
      </c>
      <c r="D18" s="39">
        <f t="shared" si="1"/>
        <v>192.88789929654598</v>
      </c>
      <c r="E18" s="39">
        <f t="shared" si="2"/>
        <v>750.6737829040007</v>
      </c>
      <c r="F18" s="37">
        <f t="shared" si="3"/>
        <v>45542.422048267035</v>
      </c>
    </row>
    <row r="19" spans="1:6" ht="18" customHeight="1">
      <c r="A19" s="19" t="s">
        <v>73</v>
      </c>
      <c r="B19" s="36">
        <f t="shared" si="4"/>
        <v>45542.422048267035</v>
      </c>
      <c r="C19" s="39">
        <f t="shared" si="0"/>
        <v>943.5616822005468</v>
      </c>
      <c r="D19" s="39">
        <f t="shared" si="1"/>
        <v>189.76009186777932</v>
      </c>
      <c r="E19" s="39">
        <f t="shared" si="2"/>
        <v>753.8015903327674</v>
      </c>
      <c r="F19" s="37">
        <f t="shared" si="3"/>
        <v>44788.62045793427</v>
      </c>
    </row>
    <row r="20" spans="1:6" ht="18" customHeight="1">
      <c r="A20" s="19" t="s">
        <v>74</v>
      </c>
      <c r="B20" s="36">
        <f t="shared" si="4"/>
        <v>44788.62045793427</v>
      </c>
      <c r="C20" s="39">
        <f t="shared" si="0"/>
        <v>943.5616822005468</v>
      </c>
      <c r="D20" s="39">
        <f t="shared" si="1"/>
        <v>186.61925190805945</v>
      </c>
      <c r="E20" s="39">
        <f t="shared" si="2"/>
        <v>756.9424302924873</v>
      </c>
      <c r="F20" s="37">
        <f t="shared" si="3"/>
        <v>44031.67802764178</v>
      </c>
    </row>
    <row r="21" spans="1:6" ht="18" customHeight="1">
      <c r="A21" s="19" t="s">
        <v>75</v>
      </c>
      <c r="B21" s="36">
        <f t="shared" si="4"/>
        <v>44031.67802764178</v>
      </c>
      <c r="C21" s="39">
        <f t="shared" si="0"/>
        <v>943.5616822005468</v>
      </c>
      <c r="D21" s="39">
        <f t="shared" si="1"/>
        <v>183.46532511517407</v>
      </c>
      <c r="E21" s="39">
        <f t="shared" si="2"/>
        <v>760.0963570853727</v>
      </c>
      <c r="F21" s="37">
        <f t="shared" si="3"/>
        <v>43271.58167055641</v>
      </c>
    </row>
    <row r="22" spans="1:6" ht="18" customHeight="1">
      <c r="A22" s="19" t="s">
        <v>76</v>
      </c>
      <c r="B22" s="36">
        <f t="shared" si="4"/>
        <v>43271.58167055641</v>
      </c>
      <c r="C22" s="39">
        <f t="shared" si="0"/>
        <v>943.5616822005468</v>
      </c>
      <c r="D22" s="39">
        <f t="shared" si="1"/>
        <v>180.29825696065168</v>
      </c>
      <c r="E22" s="39">
        <f t="shared" si="2"/>
        <v>763.2634252398951</v>
      </c>
      <c r="F22" s="37">
        <f t="shared" si="3"/>
        <v>42508.318245316514</v>
      </c>
    </row>
    <row r="23" spans="1:6" ht="18" customHeight="1">
      <c r="A23" s="19" t="s">
        <v>77</v>
      </c>
      <c r="B23" s="36">
        <f t="shared" si="4"/>
        <v>42508.318245316514</v>
      </c>
      <c r="C23" s="39">
        <f t="shared" si="0"/>
        <v>943.5616822005468</v>
      </c>
      <c r="D23" s="39">
        <f t="shared" si="1"/>
        <v>177.11799268881882</v>
      </c>
      <c r="E23" s="39">
        <f t="shared" si="2"/>
        <v>766.4436895117279</v>
      </c>
      <c r="F23" s="37">
        <f t="shared" si="3"/>
        <v>41741.87455580479</v>
      </c>
    </row>
    <row r="24" spans="1:6" ht="18" customHeight="1" thickBot="1">
      <c r="A24" s="20" t="s">
        <v>78</v>
      </c>
      <c r="B24" s="38">
        <f t="shared" si="4"/>
        <v>41741.87455580479</v>
      </c>
      <c r="C24" s="40">
        <f t="shared" si="0"/>
        <v>943.5616822005468</v>
      </c>
      <c r="D24" s="40">
        <f t="shared" si="1"/>
        <v>173.9244773158533</v>
      </c>
      <c r="E24" s="40">
        <f t="shared" si="2"/>
        <v>769.6372048846935</v>
      </c>
      <c r="F24" s="32">
        <f t="shared" si="3"/>
        <v>40972.23735092009</v>
      </c>
    </row>
    <row r="25" ht="13.5" thickBot="1"/>
    <row r="26" spans="1:4" ht="17.25" customHeight="1" thickBot="1">
      <c r="A26" s="41" t="s">
        <v>83</v>
      </c>
      <c r="B26" s="42"/>
      <c r="C26" s="43">
        <f>SUM(C13:C25)</f>
        <v>11322.740186406561</v>
      </c>
      <c r="D26" s="44">
        <f>SUM(D13:D25)</f>
        <v>2294.9775373266393</v>
      </c>
    </row>
  </sheetData>
  <sheetProtection selectLockedCells="1" selectUnlockedCells="1"/>
  <mergeCells count="1">
    <mergeCell ref="A2:F2"/>
  </mergeCells>
  <printOptions horizontalCentered="1"/>
  <pageMargins left="0.5905511811023623" right="0.5905511811023623" top="0.4724409448818898" bottom="0.8661417322834646" header="0.7874015748031497" footer="0.787401574803149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35"/>
  <sheetViews>
    <sheetView zoomScalePageLayoutView="0" workbookViewId="0" topLeftCell="A19">
      <selection activeCell="A36" sqref="A36"/>
    </sheetView>
  </sheetViews>
  <sheetFormatPr defaultColWidth="11.57421875" defaultRowHeight="12.75"/>
  <cols>
    <col min="1" max="1" width="33.421875" style="1" customWidth="1"/>
    <col min="2" max="2" width="37.00390625" style="1" bestFit="1" customWidth="1"/>
    <col min="3" max="16384" width="11.57421875" style="1" customWidth="1"/>
  </cols>
  <sheetData>
    <row r="1" spans="1:2" ht="15.75">
      <c r="A1" s="2" t="s">
        <v>17</v>
      </c>
      <c r="B1"/>
    </row>
    <row r="2" ht="18.75" customHeight="1"/>
    <row r="3" spans="1:3" ht="18.75" customHeight="1">
      <c r="A3" s="3" t="s">
        <v>18</v>
      </c>
      <c r="B3" s="3" t="s">
        <v>103</v>
      </c>
      <c r="C3" s="4">
        <f>'Enonce 2'!B7*12</f>
        <v>960000</v>
      </c>
    </row>
    <row r="4" spans="1:3" ht="18.75" customHeight="1">
      <c r="A4" s="3" t="s">
        <v>20</v>
      </c>
      <c r="B4" s="3" t="s">
        <v>104</v>
      </c>
      <c r="C4" s="47">
        <f>'Enonce 2'!B9*12</f>
        <v>660000</v>
      </c>
    </row>
    <row r="5" spans="1:3" ht="18.75" customHeight="1">
      <c r="A5" s="3" t="s">
        <v>105</v>
      </c>
      <c r="B5" s="3"/>
      <c r="C5" s="47">
        <f>'Enonce 2'!B11</f>
        <v>45000</v>
      </c>
    </row>
    <row r="6" spans="1:3" ht="18.75" customHeight="1">
      <c r="A6" s="3" t="s">
        <v>22</v>
      </c>
      <c r="B6" s="3" t="s">
        <v>106</v>
      </c>
      <c r="C6" s="47">
        <f>C4-C5</f>
        <v>615000</v>
      </c>
    </row>
    <row r="7" spans="1:3" ht="18.75" customHeight="1">
      <c r="A7" s="3" t="s">
        <v>24</v>
      </c>
      <c r="B7" s="3" t="s">
        <v>88</v>
      </c>
      <c r="C7" s="47">
        <f>'Enonce 2'!B12*12</f>
        <v>60000</v>
      </c>
    </row>
    <row r="8" spans="1:3" ht="18.75" customHeight="1">
      <c r="A8" s="3" t="s">
        <v>26</v>
      </c>
      <c r="B8" s="3" t="s">
        <v>89</v>
      </c>
      <c r="C8" s="47">
        <f>+C7*0.4</f>
        <v>24000</v>
      </c>
    </row>
    <row r="9" spans="1:3" ht="18.75" customHeight="1">
      <c r="A9" s="3" t="s">
        <v>27</v>
      </c>
      <c r="B9" s="3" t="s">
        <v>90</v>
      </c>
      <c r="C9" s="47">
        <v>48000</v>
      </c>
    </row>
    <row r="10" spans="1:3" ht="18.75" customHeight="1">
      <c r="A10" s="3" t="s">
        <v>28</v>
      </c>
      <c r="B10" s="3"/>
      <c r="C10" s="47">
        <v>6000</v>
      </c>
    </row>
    <row r="11" spans="1:3" ht="18.75" customHeight="1">
      <c r="A11" s="3" t="s">
        <v>29</v>
      </c>
      <c r="B11" s="3" t="s">
        <v>91</v>
      </c>
      <c r="C11" s="47">
        <f>'Enonce 2'!B19/5</f>
        <v>10000</v>
      </c>
    </row>
    <row r="12" spans="1:3" ht="18.75" customHeight="1">
      <c r="A12" s="3" t="s">
        <v>31</v>
      </c>
      <c r="B12" s="3"/>
      <c r="C12" s="47">
        <f>'Enoncé 2 Emprunt'!D26</f>
        <v>2294.9775373266393</v>
      </c>
    </row>
    <row r="13" spans="1:3" ht="18.75" customHeight="1">
      <c r="A13" s="3" t="s">
        <v>32</v>
      </c>
      <c r="C13" s="48">
        <f>SUM(C6:C12)</f>
        <v>765294.9775373266</v>
      </c>
    </row>
    <row r="14" spans="1:3" ht="18.75" customHeight="1">
      <c r="A14" s="7" t="s">
        <v>107</v>
      </c>
      <c r="B14" s="3" t="s">
        <v>108</v>
      </c>
      <c r="C14" s="8">
        <f>+C3-C13</f>
        <v>194705.02246267337</v>
      </c>
    </row>
    <row r="15" ht="18.75" customHeight="1"/>
    <row r="16" ht="18.75" customHeight="1">
      <c r="A16" s="2" t="s">
        <v>35</v>
      </c>
    </row>
    <row r="17" ht="18.75" customHeight="1"/>
    <row r="18" spans="1:3" ht="19.5" customHeight="1">
      <c r="A18" s="7" t="s">
        <v>36</v>
      </c>
      <c r="B18" s="3"/>
      <c r="C18" s="3"/>
    </row>
    <row r="19" spans="1:3" ht="19.5" customHeight="1">
      <c r="A19" s="3" t="s">
        <v>80</v>
      </c>
      <c r="B19" s="9"/>
      <c r="C19" s="4">
        <f>'Enonce 2'!B5</f>
        <v>100000</v>
      </c>
    </row>
    <row r="20" spans="1:3" ht="19.5" customHeight="1">
      <c r="A20" s="3" t="s">
        <v>38</v>
      </c>
      <c r="B20" s="3" t="s">
        <v>92</v>
      </c>
      <c r="C20" s="4">
        <f>'Enonce 2'!B7*1.2*11</f>
        <v>1056000</v>
      </c>
    </row>
    <row r="21" spans="1:3" ht="19.5" customHeight="1">
      <c r="A21" s="3" t="s">
        <v>39</v>
      </c>
      <c r="B21" s="3"/>
      <c r="C21" s="4">
        <f>50000</f>
        <v>50000</v>
      </c>
    </row>
    <row r="22" spans="1:3" ht="19.5" customHeight="1">
      <c r="A22" s="7" t="s">
        <v>40</v>
      </c>
      <c r="B22" s="7"/>
      <c r="C22" s="8">
        <f>SUM(C19:C21)</f>
        <v>1206000</v>
      </c>
    </row>
    <row r="23" spans="1:3" ht="19.5" customHeight="1">
      <c r="A23" s="3"/>
      <c r="B23" s="3"/>
      <c r="C23" s="4"/>
    </row>
    <row r="24" spans="1:3" ht="19.5" customHeight="1">
      <c r="A24" s="7" t="s">
        <v>41</v>
      </c>
      <c r="B24" s="3"/>
      <c r="C24" s="4"/>
    </row>
    <row r="25" spans="1:3" ht="19.5" customHeight="1">
      <c r="A25" s="3" t="s">
        <v>20</v>
      </c>
      <c r="B25" s="3" t="s">
        <v>93</v>
      </c>
      <c r="C25" s="4">
        <f>'Enonce 2'!B9*12*1.2</f>
        <v>792000</v>
      </c>
    </row>
    <row r="26" spans="1:3" ht="19.5" customHeight="1">
      <c r="A26" s="3" t="s">
        <v>42</v>
      </c>
      <c r="B26" s="3" t="s">
        <v>115</v>
      </c>
      <c r="C26" s="4">
        <f>'Enonce 2'!B12*0.77*12</f>
        <v>46200</v>
      </c>
    </row>
    <row r="27" spans="1:3" ht="19.5" customHeight="1">
      <c r="A27" s="3" t="s">
        <v>43</v>
      </c>
      <c r="B27" s="3" t="s">
        <v>116</v>
      </c>
      <c r="C27" s="4">
        <f>'Enonce 2'!B12*9*0.63</f>
        <v>28350</v>
      </c>
    </row>
    <row r="28" spans="1:3" ht="19.5" customHeight="1">
      <c r="A28" s="3" t="s">
        <v>27</v>
      </c>
      <c r="B28" s="3" t="s">
        <v>94</v>
      </c>
      <c r="C28" s="4">
        <f>4000*12*1.2</f>
        <v>57600</v>
      </c>
    </row>
    <row r="29" spans="1:3" ht="19.5" customHeight="1">
      <c r="A29" s="3" t="s">
        <v>44</v>
      </c>
      <c r="B29" s="3" t="s">
        <v>95</v>
      </c>
      <c r="C29" s="4">
        <f>'Enonce 2'!B19*1.2</f>
        <v>60000</v>
      </c>
    </row>
    <row r="30" spans="1:3" ht="19.5" customHeight="1">
      <c r="A30" s="3" t="s">
        <v>45</v>
      </c>
      <c r="B30" s="3" t="s">
        <v>96</v>
      </c>
      <c r="C30" s="4">
        <f>'Enoncé 2 Emprunt'!C26</f>
        <v>11322.740186406561</v>
      </c>
    </row>
    <row r="31" spans="1:3" ht="19.5" customHeight="1">
      <c r="A31" s="3" t="s">
        <v>28</v>
      </c>
      <c r="B31" s="3" t="s">
        <v>97</v>
      </c>
      <c r="C31" s="4">
        <f>6000*1.2</f>
        <v>7200</v>
      </c>
    </row>
    <row r="32" spans="1:3" ht="19.5" customHeight="1">
      <c r="A32" s="3" t="s">
        <v>84</v>
      </c>
      <c r="B32" s="3"/>
      <c r="C32" s="4">
        <f>'Enonce 2'!B21</f>
        <v>22000</v>
      </c>
    </row>
    <row r="33" spans="1:3" ht="19.5" customHeight="1">
      <c r="A33" s="7" t="s">
        <v>46</v>
      </c>
      <c r="B33" s="7"/>
      <c r="C33" s="8">
        <f>SUM(C25:C32)</f>
        <v>1024672.7401864065</v>
      </c>
    </row>
    <row r="34" spans="1:3" ht="19.5" customHeight="1">
      <c r="A34" s="3"/>
      <c r="B34" s="3"/>
      <c r="C34"/>
    </row>
    <row r="35" spans="1:3" ht="19.5" customHeight="1">
      <c r="A35" s="7" t="s">
        <v>117</v>
      </c>
      <c r="B35" s="3"/>
      <c r="C35" s="8">
        <f>C22-C33</f>
        <v>181327.25981359347</v>
      </c>
    </row>
  </sheetData>
  <sheetProtection selectLockedCells="1" selectUnlockedCells="1"/>
  <printOptions horizontalCentered="1"/>
  <pageMargins left="0.5905511811023623" right="0.5905511811023623" top="0.6692913385826772" bottom="0.8661417322834646" header="0.7874015748031497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henry</dc:creator>
  <cp:keywords/>
  <dc:description/>
  <cp:lastModifiedBy>alain henry</cp:lastModifiedBy>
  <cp:lastPrinted>2016-11-09T09:23:52Z</cp:lastPrinted>
  <dcterms:created xsi:type="dcterms:W3CDTF">2016-01-19T12:21:33Z</dcterms:created>
  <dcterms:modified xsi:type="dcterms:W3CDTF">2017-04-18T09:04:46Z</dcterms:modified>
  <cp:category/>
  <cp:version/>
  <cp:contentType/>
  <cp:contentStatus/>
</cp:coreProperties>
</file>